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4.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comments5.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0.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12.xml" ContentType="application/vnd.openxmlformats-officedocument.spreadsheetml.comments+xml"/>
  <Override PartName="/xl/threadedComments/threadedComment5.xml" ContentType="application/vnd.ms-excel.threadedcomments+xml"/>
  <Override PartName="/xl/drawings/drawing13.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ccdralg-my.sharepoint.com/personal/cpsantos_ccdr-alg_pt/Documents/Ambiente de Trabalho/DOCUMENTOS/Calculadoras de emissões de GEE/"/>
    </mc:Choice>
  </mc:AlternateContent>
  <xr:revisionPtr revIDLastSave="0" documentId="8_{B9B5D04C-48DA-49D4-8588-AFDCFFC771C3}" xr6:coauthVersionLast="47" xr6:coauthVersionMax="47" xr10:uidLastSave="{00000000-0000-0000-0000-000000000000}"/>
  <workbookProtection workbookAlgorithmName="SHA-512" workbookHashValue="BEQl28z6nTdT+hOpgyvc3SzZ5ppl+jw7QdJq/eBIp+b3fdcP1hYVljpvrJGCNlKCoN3Y6qXz+++OUObiYlZbcA==" workbookSaltValue="hK4y0f6319f98mNWJ7jbGg==" workbookSpinCount="100000" lockStructure="1"/>
  <bookViews>
    <workbookView xWindow="28680" yWindow="-60" windowWidth="29040" windowHeight="15720" tabRatio="845" xr2:uid="{BA83CB33-3910-46A1-AAAA-691A41DA43AD}"/>
  </bookViews>
  <sheets>
    <sheet name="Início" sheetId="109" r:id="rId1"/>
    <sheet name="Dados gerais" sheetId="2" state="hidden" r:id="rId2"/>
    <sheet name="Índice" sheetId="107" r:id="rId3"/>
    <sheet name="PFs_Instruções e PFs" sheetId="111" r:id="rId4"/>
    <sheet name="TR_Triagem" sheetId="83" r:id="rId5"/>
    <sheet name="ID_Identificação do projeto" sheetId="110" r:id="rId6"/>
    <sheet name="IC_todos os projetos" sheetId="101" r:id="rId7"/>
    <sheet name="TM1_micromobilidade " sheetId="84" r:id="rId8"/>
    <sheet name="FACalc_micromobilidade" sheetId="91" state="hidden" r:id="rId9"/>
    <sheet name="TM2_rodovia" sheetId="85" r:id="rId10"/>
    <sheet name="TM3_ferrovia e metro" sheetId="88" r:id="rId11"/>
    <sheet name="FACalc_rodovia" sheetId="104" state="hidden" r:id="rId12"/>
    <sheet name="FACalc_ferrovia" sheetId="105" state="hidden" r:id="rId13"/>
    <sheet name="TM4_vias navegáveis interiores" sheetId="86" r:id="rId14"/>
    <sheet name="FACalc_vias navegáveis int." sheetId="106" state="hidden" r:id="rId15"/>
    <sheet name="TM5_parques de estacionamento" sheetId="113" r:id="rId16"/>
    <sheet name="FAListas" sheetId="80" state="hidden" r:id="rId17"/>
    <sheet name="FACalc_parquesestacionamento" sheetId="114" state="hidden" r:id="rId18"/>
    <sheet name="RE_resultados" sheetId="73" r:id="rId19"/>
    <sheet name="Cálculos adicionais_utilizador" sheetId="82" r:id="rId20"/>
    <sheet name="Glossário" sheetId="64" r:id="rId21"/>
    <sheet name="Fatores de Emissão" sheetId="27" r:id="rId22"/>
    <sheet name="Fatores de Conversão" sheetId="30" r:id="rId23"/>
    <sheet name="Ficha técnica+ atualizações" sheetId="59" r:id="rId24"/>
  </sheets>
  <externalReferences>
    <externalReference r:id="rId25"/>
    <externalReference r:id="rId26"/>
    <externalReference r:id="rId27"/>
  </externalReferences>
  <definedNames>
    <definedName name="_xlnm._FilterDatabase" localSheetId="21" hidden="1">'Fatores de Emissão'!#REF!</definedName>
    <definedName name="Ano">[1]Introdução!$E$25</definedName>
    <definedName name="Antracite">#REF!</definedName>
    <definedName name="Fugitivas_otros">[2]Datos!$C$710:$C$720</definedName>
    <definedName name="gwp_CH4">'[3]Fatores de Emissão'!$E$236</definedName>
    <definedName name="gwp_CO2">'[3]Fatores de Emissão'!$E$235</definedName>
    <definedName name="gwp_N2O">'[3]Fatores de Emissão'!$E$237</definedName>
    <definedName name="lista_setor">[3]Listas!$D$2:$D$6</definedName>
    <definedName name="total_TeD_up_CO2bio">'[3]Transp.&amp; Distribuição(Upstream)'!$F$350</definedName>
    <definedName name="versao_ferramenta">[1]Atualizações!$B$11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6" i="114" l="1"/>
  <c r="K18" i="91"/>
  <c r="K17" i="91"/>
  <c r="K16" i="91"/>
  <c r="K15" i="91"/>
  <c r="K14" i="91"/>
  <c r="K16" i="104"/>
  <c r="K15" i="104"/>
  <c r="K14" i="104"/>
  <c r="K13" i="104"/>
  <c r="K12" i="104"/>
  <c r="K11" i="104"/>
  <c r="K10" i="104"/>
  <c r="E16" i="27"/>
  <c r="D55" i="104"/>
  <c r="K106" i="101"/>
  <c r="G106" i="101"/>
  <c r="F106" i="101"/>
  <c r="J106" i="101" s="1"/>
  <c r="D54" i="105"/>
  <c r="E76" i="84"/>
  <c r="F54" i="113"/>
  <c r="C125" i="101" l="1"/>
  <c r="G28" i="101"/>
  <c r="F28" i="101"/>
  <c r="E12" i="82"/>
  <c r="G40" i="27"/>
  <c r="E108" i="27"/>
  <c r="E106" i="27"/>
  <c r="E105" i="27"/>
  <c r="E103" i="27"/>
  <c r="E102" i="27"/>
  <c r="E100" i="27"/>
  <c r="E99" i="27"/>
  <c r="E97" i="27"/>
  <c r="E96" i="27"/>
  <c r="E93" i="27"/>
  <c r="E91" i="27"/>
  <c r="E90" i="27"/>
  <c r="E89" i="27"/>
  <c r="E88" i="27"/>
  <c r="E87" i="27"/>
  <c r="E85" i="27"/>
  <c r="E84" i="27"/>
  <c r="E83" i="27"/>
  <c r="E82" i="27"/>
  <c r="E80" i="27"/>
  <c r="E79" i="27"/>
  <c r="E78" i="27"/>
  <c r="E77" i="27"/>
  <c r="E75" i="27"/>
  <c r="E74" i="27"/>
  <c r="E73" i="27"/>
  <c r="E72" i="27"/>
  <c r="E70" i="27"/>
  <c r="E69" i="27"/>
  <c r="E68" i="27"/>
  <c r="E67" i="27"/>
  <c r="E66" i="27"/>
  <c r="E65" i="27"/>
  <c r="E64" i="27"/>
  <c r="E63" i="27"/>
  <c r="E61" i="27"/>
  <c r="I109" i="27"/>
  <c r="I108" i="27"/>
  <c r="I106" i="27"/>
  <c r="I105" i="27"/>
  <c r="I103" i="27"/>
  <c r="I102" i="27"/>
  <c r="I100" i="27"/>
  <c r="I99" i="27"/>
  <c r="I97" i="27"/>
  <c r="I96" i="27"/>
  <c r="I94" i="27"/>
  <c r="I93" i="27"/>
  <c r="I91" i="27"/>
  <c r="I88" i="27"/>
  <c r="I83" i="27"/>
  <c r="I78" i="27"/>
  <c r="I77" i="27"/>
  <c r="I76" i="27"/>
  <c r="I71" i="27"/>
  <c r="I66" i="27"/>
  <c r="I63" i="27"/>
  <c r="I61" i="27"/>
  <c r="I60" i="27"/>
  <c r="C54" i="27"/>
  <c r="E51" i="27"/>
  <c r="E50" i="27"/>
  <c r="E49" i="27"/>
  <c r="E48" i="27"/>
  <c r="E47" i="27"/>
  <c r="E46" i="27"/>
  <c r="E45" i="27"/>
  <c r="E44" i="27"/>
  <c r="E43" i="27"/>
  <c r="E42" i="27"/>
  <c r="E40" i="27"/>
  <c r="E39" i="27"/>
  <c r="E38" i="27"/>
  <c r="E37" i="27"/>
  <c r="E36" i="27"/>
  <c r="F36" i="27" s="1"/>
  <c r="F37" i="27" s="1"/>
  <c r="E35" i="27"/>
  <c r="E34" i="27"/>
  <c r="E33" i="27"/>
  <c r="E32" i="27"/>
  <c r="E31" i="27"/>
  <c r="E30" i="27"/>
  <c r="E29" i="27"/>
  <c r="E28" i="27"/>
  <c r="E27" i="27"/>
  <c r="E26" i="27"/>
  <c r="E25" i="27"/>
  <c r="E24" i="27"/>
  <c r="E23" i="27"/>
  <c r="E22" i="27"/>
  <c r="E21" i="27"/>
  <c r="E20" i="27"/>
  <c r="E19" i="27"/>
  <c r="E18" i="27"/>
  <c r="E17" i="27"/>
  <c r="F40" i="27"/>
  <c r="F39" i="27"/>
  <c r="F38" i="27"/>
  <c r="F35" i="27"/>
  <c r="F34" i="27"/>
  <c r="F33" i="27"/>
  <c r="F30" i="27"/>
  <c r="F29" i="27"/>
  <c r="F28" i="27"/>
  <c r="F25" i="27"/>
  <c r="F24" i="27"/>
  <c r="F23" i="27"/>
  <c r="F19" i="27"/>
  <c r="F18" i="27"/>
  <c r="F10" i="27"/>
  <c r="E15" i="27"/>
  <c r="F15" i="27"/>
  <c r="E14" i="27"/>
  <c r="E13" i="27"/>
  <c r="E12" i="27"/>
  <c r="E11" i="27"/>
  <c r="E10" i="27"/>
  <c r="E9" i="27"/>
  <c r="F9" i="27"/>
  <c r="G51" i="27"/>
  <c r="G50" i="27"/>
  <c r="G49" i="27"/>
  <c r="G48" i="27"/>
  <c r="G47" i="27"/>
  <c r="G44" i="27"/>
  <c r="G39" i="27"/>
  <c r="G38" i="27"/>
  <c r="G35" i="27"/>
  <c r="G34" i="27"/>
  <c r="G33" i="27"/>
  <c r="G30" i="27"/>
  <c r="G29" i="27"/>
  <c r="G28" i="27"/>
  <c r="G25" i="27"/>
  <c r="G24" i="27"/>
  <c r="G23" i="27"/>
  <c r="G20" i="27"/>
  <c r="G19" i="27"/>
  <c r="G18" i="27"/>
  <c r="G15" i="27"/>
  <c r="G14" i="27"/>
  <c r="G12" i="27"/>
  <c r="G11" i="27"/>
  <c r="G10" i="27"/>
  <c r="G9" i="27"/>
  <c r="G29" i="101"/>
  <c r="K29" i="101" s="1"/>
  <c r="X21" i="27"/>
  <c r="AA13" i="27"/>
  <c r="Z21" i="27" s="1"/>
  <c r="Z13" i="27"/>
  <c r="AE56" i="27"/>
  <c r="AE57" i="27"/>
  <c r="AE58" i="27"/>
  <c r="AN56" i="27"/>
  <c r="AP56" i="27"/>
  <c r="AN57" i="27"/>
  <c r="AP57" i="27"/>
  <c r="AN58" i="27"/>
  <c r="AP58" i="27"/>
  <c r="G60" i="101"/>
  <c r="K60" i="101" s="1"/>
  <c r="G59" i="101"/>
  <c r="K59" i="101" s="1"/>
  <c r="G58" i="101"/>
  <c r="K58" i="101" s="1"/>
  <c r="G57" i="101"/>
  <c r="K57" i="101" s="1"/>
  <c r="G56" i="101"/>
  <c r="K56" i="101" s="1"/>
  <c r="F60" i="101"/>
  <c r="J60" i="101" s="1"/>
  <c r="F59" i="101"/>
  <c r="F58" i="101"/>
  <c r="F57" i="101"/>
  <c r="F56" i="101"/>
  <c r="J56" i="101" s="1"/>
  <c r="K28" i="101" l="1"/>
  <c r="E28" i="101"/>
  <c r="J28" i="101"/>
  <c r="J58" i="101"/>
  <c r="G36" i="27"/>
  <c r="G37" i="27" s="1"/>
  <c r="J59" i="101"/>
  <c r="J57" i="101"/>
  <c r="E60" i="101"/>
  <c r="E59" i="101"/>
  <c r="E58" i="101"/>
  <c r="E57" i="101"/>
  <c r="E56" i="101"/>
  <c r="E77" i="85"/>
  <c r="D47" i="106"/>
  <c r="D46" i="106"/>
  <c r="D45" i="106"/>
  <c r="D44" i="106"/>
  <c r="C12" i="105"/>
  <c r="I14" i="104"/>
  <c r="G80" i="86"/>
  <c r="E54" i="105"/>
  <c r="E55" i="105"/>
  <c r="E58" i="105"/>
  <c r="E59" i="105"/>
  <c r="G124" i="85"/>
  <c r="I65" i="27"/>
  <c r="M14" i="91"/>
  <c r="J21" i="84"/>
  <c r="J50" i="73"/>
  <c r="C54" i="73"/>
  <c r="C26" i="73"/>
  <c r="Z10" i="91"/>
  <c r="Z13" i="91" s="1"/>
  <c r="G42" i="27"/>
  <c r="F126" i="101"/>
  <c r="J126" i="101" s="1"/>
  <c r="G126" i="101"/>
  <c r="K126" i="101" s="1"/>
  <c r="G127" i="101"/>
  <c r="K127" i="101" s="1"/>
  <c r="G128" i="101"/>
  <c r="K128" i="101" s="1"/>
  <c r="G129" i="101"/>
  <c r="K129" i="101" s="1"/>
  <c r="F127" i="101"/>
  <c r="J127" i="101" s="1"/>
  <c r="F128" i="101"/>
  <c r="J128" i="101" s="1"/>
  <c r="F129" i="101"/>
  <c r="J129" i="101" s="1"/>
  <c r="F87" i="101"/>
  <c r="G87" i="101"/>
  <c r="K87" i="101" s="1"/>
  <c r="G83" i="101"/>
  <c r="K83" i="101" s="1"/>
  <c r="F83" i="101"/>
  <c r="G84" i="101"/>
  <c r="K84" i="101" s="1"/>
  <c r="G85" i="101"/>
  <c r="K85" i="101" s="1"/>
  <c r="G86" i="101"/>
  <c r="K86" i="101" s="1"/>
  <c r="F84" i="101"/>
  <c r="F85" i="101"/>
  <c r="F86" i="101"/>
  <c r="F55" i="101"/>
  <c r="J55" i="101" s="1"/>
  <c r="G55" i="101"/>
  <c r="K55" i="101" s="1"/>
  <c r="K62" i="101" s="1"/>
  <c r="F31" i="101"/>
  <c r="J31" i="101" s="1"/>
  <c r="G30" i="101"/>
  <c r="K30" i="101" s="1"/>
  <c r="G31" i="101"/>
  <c r="K31" i="101" s="1"/>
  <c r="F30" i="101"/>
  <c r="J30" i="101" s="1"/>
  <c r="F29" i="101"/>
  <c r="J29" i="101" s="1"/>
  <c r="K89" i="101" l="1"/>
  <c r="K33" i="101"/>
  <c r="G33" i="101"/>
  <c r="G29" i="73" s="1"/>
  <c r="G30" i="73" s="1"/>
  <c r="F33" i="101"/>
  <c r="I28" i="101"/>
  <c r="J33" i="101"/>
  <c r="I64" i="27"/>
  <c r="G35" i="73"/>
  <c r="G36" i="73" s="1"/>
  <c r="H35" i="73"/>
  <c r="E35" i="73"/>
  <c r="E36" i="73" s="1"/>
  <c r="F89" i="101"/>
  <c r="G89" i="101"/>
  <c r="G33" i="73" s="1"/>
  <c r="G34" i="73" s="1"/>
  <c r="G131" i="101"/>
  <c r="G37" i="73" s="1"/>
  <c r="G38" i="73" s="1"/>
  <c r="F131" i="101"/>
  <c r="E37" i="73" s="1"/>
  <c r="E38" i="73" s="1"/>
  <c r="J60" i="73"/>
  <c r="E126" i="101"/>
  <c r="E127" i="101"/>
  <c r="E83" i="101"/>
  <c r="E55" i="101"/>
  <c r="E30" i="101"/>
  <c r="E31" i="101"/>
  <c r="I31" i="101"/>
  <c r="I30" i="101"/>
  <c r="E33" i="101" l="1"/>
  <c r="E29" i="73"/>
  <c r="E30" i="73" s="1"/>
  <c r="E89" i="101"/>
  <c r="E131" i="101"/>
  <c r="I37" i="73" s="1"/>
  <c r="I38" i="73" s="1"/>
  <c r="K38" i="73" s="1"/>
  <c r="C129" i="101"/>
  <c r="C128" i="101"/>
  <c r="C127" i="101"/>
  <c r="C126" i="101"/>
  <c r="H52" i="114"/>
  <c r="C37" i="114"/>
  <c r="C36" i="114"/>
  <c r="C59" i="114" s="1"/>
  <c r="C35" i="114"/>
  <c r="C34" i="114"/>
  <c r="C58" i="114" s="1"/>
  <c r="C33" i="114"/>
  <c r="C57" i="114" s="1"/>
  <c r="C32" i="114"/>
  <c r="C56" i="114" s="1"/>
  <c r="C31" i="114"/>
  <c r="C55" i="114" s="1"/>
  <c r="B37" i="114"/>
  <c r="F20" i="114" s="1"/>
  <c r="B36" i="114"/>
  <c r="F19" i="114" s="1"/>
  <c r="B35" i="114"/>
  <c r="F18" i="114" s="1"/>
  <c r="B34" i="114"/>
  <c r="F17" i="114" s="1"/>
  <c r="B32" i="114"/>
  <c r="F15" i="114" s="1"/>
  <c r="B33" i="114"/>
  <c r="F16" i="114" s="1"/>
  <c r="B31" i="114"/>
  <c r="F14" i="114" s="1"/>
  <c r="D30" i="114"/>
  <c r="B30" i="114"/>
  <c r="C29" i="114"/>
  <c r="B29" i="114"/>
  <c r="C28" i="114"/>
  <c r="B28" i="114"/>
  <c r="C27" i="114"/>
  <c r="G13" i="114" s="1"/>
  <c r="D21" i="114"/>
  <c r="I16" i="114" s="1"/>
  <c r="D20" i="114"/>
  <c r="I15" i="114" s="1"/>
  <c r="D19" i="114"/>
  <c r="I14" i="114" s="1"/>
  <c r="D18" i="114"/>
  <c r="D17" i="114"/>
  <c r="D16" i="114"/>
  <c r="C23" i="114"/>
  <c r="M20" i="114" s="1"/>
  <c r="C22" i="114"/>
  <c r="C21" i="114"/>
  <c r="D57" i="114" s="1"/>
  <c r="C20" i="114"/>
  <c r="D56" i="114" s="1"/>
  <c r="C19" i="114"/>
  <c r="D55" i="114" s="1"/>
  <c r="C18" i="114"/>
  <c r="D59" i="114" s="1"/>
  <c r="C17" i="114"/>
  <c r="D60" i="114" s="1"/>
  <c r="C16" i="114"/>
  <c r="D58" i="114" s="1"/>
  <c r="C15" i="114"/>
  <c r="I13" i="114" s="1"/>
  <c r="B23" i="114"/>
  <c r="B22" i="114"/>
  <c r="B21" i="114"/>
  <c r="B20" i="114"/>
  <c r="B19" i="114"/>
  <c r="B18" i="114"/>
  <c r="B17" i="114"/>
  <c r="B16" i="114"/>
  <c r="B15" i="114"/>
  <c r="H121" i="114"/>
  <c r="H120" i="114"/>
  <c r="C14" i="114"/>
  <c r="C13" i="114"/>
  <c r="D12" i="114"/>
  <c r="C12" i="114" s="1"/>
  <c r="Y13" i="114" s="1"/>
  <c r="AD10" i="114"/>
  <c r="AC10" i="114"/>
  <c r="AB10" i="114"/>
  <c r="AA10" i="114"/>
  <c r="Z10" i="114"/>
  <c r="E91" i="113"/>
  <c r="E81" i="113"/>
  <c r="E97" i="84"/>
  <c r="E90" i="84"/>
  <c r="E83" i="84"/>
  <c r="G143" i="113"/>
  <c r="J21" i="113"/>
  <c r="J6" i="113"/>
  <c r="J5" i="86"/>
  <c r="E47" i="106"/>
  <c r="E46" i="106"/>
  <c r="E45" i="106"/>
  <c r="E44" i="106"/>
  <c r="D15" i="106"/>
  <c r="D14" i="106"/>
  <c r="C15" i="106"/>
  <c r="M12" i="106" s="1"/>
  <c r="B15" i="106"/>
  <c r="B13" i="106"/>
  <c r="B14" i="106"/>
  <c r="C14" i="106"/>
  <c r="I12" i="106" s="1"/>
  <c r="D18" i="106"/>
  <c r="H10" i="106" s="1"/>
  <c r="D22" i="106"/>
  <c r="D21" i="106"/>
  <c r="D20" i="106"/>
  <c r="D19" i="106"/>
  <c r="B22" i="106"/>
  <c r="B21" i="106"/>
  <c r="E66" i="86"/>
  <c r="E60" i="86"/>
  <c r="B19" i="106"/>
  <c r="B20" i="106"/>
  <c r="B18" i="106"/>
  <c r="G31" i="27"/>
  <c r="G32" i="27" s="1"/>
  <c r="I72" i="27"/>
  <c r="I73" i="27" s="1"/>
  <c r="F67" i="27"/>
  <c r="E62" i="27"/>
  <c r="I62" i="27" s="1"/>
  <c r="G26" i="27"/>
  <c r="G27" i="27" s="1"/>
  <c r="G21" i="27"/>
  <c r="G22" i="27" s="1"/>
  <c r="G16" i="27"/>
  <c r="G17" i="27" s="1"/>
  <c r="AR58" i="27"/>
  <c r="AR57" i="27"/>
  <c r="AR56" i="27"/>
  <c r="Q51" i="27"/>
  <c r="K13" i="114" l="1"/>
  <c r="N13" i="114" s="1"/>
  <c r="L12" i="106"/>
  <c r="H11" i="106"/>
  <c r="D53" i="106" s="1"/>
  <c r="O12" i="106"/>
  <c r="H12" i="106"/>
  <c r="E70" i="114"/>
  <c r="D70" i="114"/>
  <c r="D73" i="114"/>
  <c r="D72" i="114"/>
  <c r="D71" i="114"/>
  <c r="E69" i="114"/>
  <c r="D69" i="114"/>
  <c r="E68" i="114"/>
  <c r="D68" i="114"/>
  <c r="E75" i="114"/>
  <c r="D75" i="114"/>
  <c r="D74" i="114"/>
  <c r="E74" i="114"/>
  <c r="E73" i="114"/>
  <c r="E72" i="114"/>
  <c r="E71" i="114"/>
  <c r="G16" i="114"/>
  <c r="G15" i="114"/>
  <c r="G14" i="114"/>
  <c r="G19" i="114"/>
  <c r="I68" i="114"/>
  <c r="G20" i="114"/>
  <c r="K20" i="114" s="1"/>
  <c r="N20" i="114" s="1"/>
  <c r="G18" i="114"/>
  <c r="G17" i="114"/>
  <c r="H14" i="114"/>
  <c r="H15" i="114"/>
  <c r="H19" i="114"/>
  <c r="H18" i="114"/>
  <c r="H17" i="114"/>
  <c r="H16" i="114"/>
  <c r="I19" i="114"/>
  <c r="I18" i="114"/>
  <c r="I17" i="114"/>
  <c r="K37" i="73"/>
  <c r="G67" i="27"/>
  <c r="I67" i="27"/>
  <c r="I68" i="27" s="1"/>
  <c r="H67" i="27"/>
  <c r="H62" i="27"/>
  <c r="G62" i="27"/>
  <c r="F62" i="27"/>
  <c r="E129" i="101"/>
  <c r="E128" i="101"/>
  <c r="E106" i="101"/>
  <c r="E86" i="101"/>
  <c r="E84" i="101"/>
  <c r="E85" i="101"/>
  <c r="E87" i="101"/>
  <c r="I75" i="114"/>
  <c r="I71" i="114"/>
  <c r="I70" i="114"/>
  <c r="I69" i="114"/>
  <c r="I74" i="114"/>
  <c r="I73" i="114"/>
  <c r="I72" i="114"/>
  <c r="E56" i="114"/>
  <c r="C60" i="114"/>
  <c r="E60" i="114" s="1"/>
  <c r="E59" i="114"/>
  <c r="E57" i="114"/>
  <c r="E58" i="114"/>
  <c r="E55" i="114"/>
  <c r="H20" i="114"/>
  <c r="G66" i="27"/>
  <c r="E53" i="106" l="1"/>
  <c r="E52" i="106"/>
  <c r="E50" i="106"/>
  <c r="F92" i="86"/>
  <c r="E92" i="86"/>
  <c r="I79" i="114"/>
  <c r="I89" i="114" s="1"/>
  <c r="I84" i="114"/>
  <c r="I80" i="114"/>
  <c r="I82" i="114"/>
  <c r="I81" i="114"/>
  <c r="I83" i="114"/>
  <c r="I85" i="114"/>
  <c r="I95" i="114" s="1"/>
  <c r="E107" i="101"/>
  <c r="I35" i="73"/>
  <c r="E132" i="101"/>
  <c r="D86" i="114"/>
  <c r="D96" i="114" s="1"/>
  <c r="D85" i="114"/>
  <c r="E86" i="114"/>
  <c r="E96" i="114" s="1"/>
  <c r="J85" i="114"/>
  <c r="J86" i="114"/>
  <c r="J96" i="114" s="1"/>
  <c r="E85" i="114"/>
  <c r="E95" i="114" s="1"/>
  <c r="D81" i="114"/>
  <c r="E84" i="114"/>
  <c r="J84" i="114"/>
  <c r="J83" i="114"/>
  <c r="E79" i="114"/>
  <c r="E89" i="114" s="1"/>
  <c r="J82" i="114"/>
  <c r="J81" i="114"/>
  <c r="E80" i="114"/>
  <c r="J80" i="114"/>
  <c r="E81" i="114"/>
  <c r="J79" i="114"/>
  <c r="E82" i="114"/>
  <c r="E83" i="114"/>
  <c r="D84" i="114"/>
  <c r="D79" i="114"/>
  <c r="D80" i="114"/>
  <c r="D83" i="114"/>
  <c r="D82" i="114"/>
  <c r="E61" i="114"/>
  <c r="E51" i="106"/>
  <c r="C33" i="104"/>
  <c r="C32" i="104"/>
  <c r="C31" i="104"/>
  <c r="C30" i="104"/>
  <c r="G15" i="104" s="1"/>
  <c r="C29" i="104"/>
  <c r="C28" i="104"/>
  <c r="C27" i="104"/>
  <c r="C26" i="104"/>
  <c r="C25" i="104"/>
  <c r="C24" i="104"/>
  <c r="B23" i="104"/>
  <c r="C23" i="104"/>
  <c r="C22" i="104"/>
  <c r="C21" i="104"/>
  <c r="E115" i="88"/>
  <c r="E108" i="88"/>
  <c r="E101" i="88"/>
  <c r="E94" i="88"/>
  <c r="E87" i="88"/>
  <c r="E80" i="88"/>
  <c r="I127" i="91"/>
  <c r="C29" i="91"/>
  <c r="C30" i="91"/>
  <c r="C31" i="91"/>
  <c r="C28" i="91"/>
  <c r="C27" i="91"/>
  <c r="C26" i="91"/>
  <c r="C24" i="91"/>
  <c r="C25" i="91"/>
  <c r="C23" i="91"/>
  <c r="C22" i="91"/>
  <c r="D132" i="114" l="1"/>
  <c r="D95" i="114"/>
  <c r="D128" i="114"/>
  <c r="E128" i="114"/>
  <c r="D89" i="114"/>
  <c r="E79" i="106"/>
  <c r="E56" i="106"/>
  <c r="E80" i="106"/>
  <c r="E57" i="106"/>
  <c r="E81" i="106"/>
  <c r="E58" i="106"/>
  <c r="G16" i="104"/>
  <c r="G14" i="104"/>
  <c r="G13" i="104"/>
  <c r="G11" i="104"/>
  <c r="D61" i="104" s="1"/>
  <c r="D97" i="104" s="1"/>
  <c r="G17" i="91"/>
  <c r="G14" i="91"/>
  <c r="G13" i="91"/>
  <c r="I36" i="73"/>
  <c r="K36" i="73" s="1"/>
  <c r="J132" i="114"/>
  <c r="J95" i="114"/>
  <c r="J128" i="114"/>
  <c r="I128" i="114"/>
  <c r="J89" i="114"/>
  <c r="I132" i="114"/>
  <c r="E132" i="114"/>
  <c r="G15" i="91"/>
  <c r="G12" i="104"/>
  <c r="G16" i="91"/>
  <c r="E104" i="84"/>
  <c r="C21" i="91"/>
  <c r="G18" i="91" s="1"/>
  <c r="E82" i="106" l="1"/>
  <c r="E59" i="106"/>
  <c r="D67" i="104"/>
  <c r="N13" i="91"/>
  <c r="G158" i="84"/>
  <c r="G130" i="88"/>
  <c r="J6" i="84" l="1"/>
  <c r="C15" i="73"/>
  <c r="C29" i="105" l="1"/>
  <c r="C30" i="105"/>
  <c r="C28" i="105"/>
  <c r="C27" i="105"/>
  <c r="C26" i="105"/>
  <c r="C25" i="105"/>
  <c r="C24" i="105"/>
  <c r="C11" i="105"/>
  <c r="C22" i="105"/>
  <c r="C21" i="105"/>
  <c r="G9" i="105" s="1"/>
  <c r="G58" i="105"/>
  <c r="F58" i="105"/>
  <c r="D58" i="105"/>
  <c r="I55" i="105"/>
  <c r="I56" i="105"/>
  <c r="I57" i="105"/>
  <c r="I58" i="105"/>
  <c r="I59" i="105"/>
  <c r="I54" i="105"/>
  <c r="H55" i="105"/>
  <c r="H56" i="105"/>
  <c r="H57" i="105"/>
  <c r="H59" i="105"/>
  <c r="H54" i="105"/>
  <c r="G55" i="105"/>
  <c r="G57" i="105"/>
  <c r="G59" i="105"/>
  <c r="G54" i="105"/>
  <c r="F55" i="105"/>
  <c r="F57" i="105"/>
  <c r="F59" i="105"/>
  <c r="F54" i="105"/>
  <c r="D59" i="105"/>
  <c r="D56" i="105"/>
  <c r="D55" i="105"/>
  <c r="D18" i="105"/>
  <c r="C17" i="105"/>
  <c r="I15" i="105" s="1"/>
  <c r="C18" i="105"/>
  <c r="M15" i="105" s="1"/>
  <c r="B25" i="105"/>
  <c r="B24" i="105"/>
  <c r="B27" i="105"/>
  <c r="B26" i="105"/>
  <c r="C33" i="105"/>
  <c r="C32" i="105"/>
  <c r="B33" i="105"/>
  <c r="B32" i="105"/>
  <c r="C31" i="105"/>
  <c r="C23" i="105"/>
  <c r="D16" i="105"/>
  <c r="C16" i="105"/>
  <c r="D17" i="105"/>
  <c r="F108" i="88"/>
  <c r="F80" i="88"/>
  <c r="J21" i="88"/>
  <c r="J5" i="88"/>
  <c r="J23" i="85"/>
  <c r="J7" i="85"/>
  <c r="I14" i="105" l="1"/>
  <c r="K14" i="105" s="1"/>
  <c r="N14" i="105" s="1"/>
  <c r="J14" i="105"/>
  <c r="F62" i="101"/>
  <c r="E31" i="73" s="1"/>
  <c r="G62" i="101"/>
  <c r="G31" i="73" s="1"/>
  <c r="G13" i="105"/>
  <c r="G14" i="105"/>
  <c r="G11" i="105"/>
  <c r="G15" i="105"/>
  <c r="K15" i="105" s="1"/>
  <c r="N15" i="105" s="1"/>
  <c r="G12" i="105"/>
  <c r="G10" i="105"/>
  <c r="C11" i="104"/>
  <c r="C10" i="105"/>
  <c r="D8" i="105"/>
  <c r="C8" i="105" s="1"/>
  <c r="Y9" i="105" s="1"/>
  <c r="F115" i="88"/>
  <c r="F94" i="88"/>
  <c r="F19" i="104"/>
  <c r="F83" i="85"/>
  <c r="I58" i="104"/>
  <c r="I64" i="104" s="1"/>
  <c r="I57" i="104"/>
  <c r="I56" i="104"/>
  <c r="I55" i="104"/>
  <c r="H58" i="104"/>
  <c r="H57" i="104"/>
  <c r="H56" i="104"/>
  <c r="H55" i="104"/>
  <c r="G58" i="104"/>
  <c r="G57" i="104"/>
  <c r="G56" i="104"/>
  <c r="G55" i="104"/>
  <c r="F58" i="104"/>
  <c r="F57" i="104"/>
  <c r="F56" i="104"/>
  <c r="F55" i="104"/>
  <c r="E58" i="104"/>
  <c r="E64" i="104" s="1"/>
  <c r="E57" i="104"/>
  <c r="E56" i="104"/>
  <c r="E55" i="104"/>
  <c r="D58" i="104"/>
  <c r="D64" i="104" s="1"/>
  <c r="D57" i="104"/>
  <c r="D56" i="104"/>
  <c r="D9" i="104"/>
  <c r="D18" i="91"/>
  <c r="D19" i="91"/>
  <c r="D16" i="91"/>
  <c r="D67" i="105" l="1"/>
  <c r="D106" i="105" s="1"/>
  <c r="D62" i="105"/>
  <c r="E65" i="105"/>
  <c r="E104" i="105" s="1"/>
  <c r="E67" i="105"/>
  <c r="E106" i="105" s="1"/>
  <c r="E66" i="105"/>
  <c r="E105" i="105" s="1"/>
  <c r="E62" i="105"/>
  <c r="E63" i="105"/>
  <c r="E102" i="105" s="1"/>
  <c r="I70" i="104"/>
  <c r="I100" i="104"/>
  <c r="E100" i="104"/>
  <c r="E70" i="104"/>
  <c r="D70" i="104"/>
  <c r="D100" i="104"/>
  <c r="G27" i="73"/>
  <c r="G32" i="73"/>
  <c r="G28" i="73" s="1"/>
  <c r="E32" i="73"/>
  <c r="E62" i="101"/>
  <c r="I31" i="73" s="1"/>
  <c r="C19" i="91"/>
  <c r="I17" i="91" s="1"/>
  <c r="F66" i="105"/>
  <c r="F105" i="105" s="1"/>
  <c r="F62" i="105"/>
  <c r="I67" i="105"/>
  <c r="I62" i="105"/>
  <c r="I63" i="105"/>
  <c r="I64" i="105"/>
  <c r="I65" i="105"/>
  <c r="I66" i="105"/>
  <c r="G66" i="105"/>
  <c r="G105" i="105" s="1"/>
  <c r="G62" i="105"/>
  <c r="D66" i="105"/>
  <c r="D105" i="105" s="1"/>
  <c r="H66" i="105"/>
  <c r="H62" i="105"/>
  <c r="C18" i="91"/>
  <c r="I16" i="91" s="1"/>
  <c r="H101" i="105" l="1"/>
  <c r="H70" i="105"/>
  <c r="H74" i="105"/>
  <c r="H105" i="105"/>
  <c r="G70" i="105"/>
  <c r="G101" i="105"/>
  <c r="F101" i="105"/>
  <c r="F70" i="105"/>
  <c r="E101" i="105"/>
  <c r="E107" i="105" s="1"/>
  <c r="E70" i="105"/>
  <c r="D101" i="105"/>
  <c r="D70" i="105"/>
  <c r="I103" i="105"/>
  <c r="I101" i="105"/>
  <c r="I70" i="105"/>
  <c r="I74" i="105"/>
  <c r="I105" i="105"/>
  <c r="I71" i="105"/>
  <c r="I102" i="105"/>
  <c r="I106" i="105"/>
  <c r="I75" i="105"/>
  <c r="I73" i="105"/>
  <c r="I104" i="105"/>
  <c r="I32" i="73"/>
  <c r="K32" i="73" s="1"/>
  <c r="J136" i="105"/>
  <c r="F160" i="88" s="1"/>
  <c r="I136" i="105"/>
  <c r="E160" i="88" s="1"/>
  <c r="D12" i="91"/>
  <c r="C12" i="91" s="1"/>
  <c r="Y13" i="91" s="1"/>
  <c r="D11" i="105"/>
  <c r="F87" i="88"/>
  <c r="F101" i="88"/>
  <c r="D13" i="106"/>
  <c r="C13" i="106"/>
  <c r="D9" i="106"/>
  <c r="F95" i="85"/>
  <c r="E95" i="85"/>
  <c r="F101" i="85"/>
  <c r="E101" i="85"/>
  <c r="F107" i="85"/>
  <c r="E107" i="85"/>
  <c r="F89" i="85"/>
  <c r="E89" i="85"/>
  <c r="E83" i="85"/>
  <c r="C11" i="106"/>
  <c r="C10" i="106"/>
  <c r="C9" i="105"/>
  <c r="C10" i="104"/>
  <c r="C14" i="91"/>
  <c r="C13" i="91"/>
  <c r="C16" i="91"/>
  <c r="I14" i="91" s="1"/>
  <c r="H61" i="91"/>
  <c r="H60" i="91"/>
  <c r="H59" i="91"/>
  <c r="H58" i="91"/>
  <c r="H57" i="91"/>
  <c r="G61" i="91"/>
  <c r="G60" i="91"/>
  <c r="G59" i="91"/>
  <c r="G58" i="91"/>
  <c r="G57" i="91"/>
  <c r="F61" i="91"/>
  <c r="F60" i="91"/>
  <c r="F59" i="91"/>
  <c r="F58" i="91"/>
  <c r="F57" i="91"/>
  <c r="E61" i="91"/>
  <c r="E60" i="91"/>
  <c r="E59" i="91"/>
  <c r="E58" i="91"/>
  <c r="E57" i="91"/>
  <c r="E64" i="91" s="1"/>
  <c r="D61" i="91"/>
  <c r="D60" i="91"/>
  <c r="D59" i="91"/>
  <c r="D58" i="91"/>
  <c r="D57" i="91"/>
  <c r="D64" i="91" s="1"/>
  <c r="I11" i="106" l="1"/>
  <c r="D105" i="91"/>
  <c r="D71" i="91"/>
  <c r="E105" i="91"/>
  <c r="E71" i="91"/>
  <c r="M37" i="73"/>
  <c r="M38" i="73"/>
  <c r="M36" i="73"/>
  <c r="M32" i="73"/>
  <c r="M31" i="73"/>
  <c r="E168" i="84"/>
  <c r="E29" i="101" l="1"/>
  <c r="E33" i="73"/>
  <c r="E34" i="73" l="1"/>
  <c r="E28" i="73" s="1"/>
  <c r="E27" i="73"/>
  <c r="I29" i="73"/>
  <c r="M35" i="73"/>
  <c r="I33" i="73"/>
  <c r="K29" i="73" l="1"/>
  <c r="I30" i="73"/>
  <c r="I27" i="73"/>
  <c r="K27" i="73" s="1"/>
  <c r="M33" i="73"/>
  <c r="I34" i="73"/>
  <c r="M29" i="73"/>
  <c r="K33" i="73"/>
  <c r="K35" i="73"/>
  <c r="E90" i="101"/>
  <c r="E34" i="101"/>
  <c r="M34" i="73" l="1"/>
  <c r="K34" i="73"/>
  <c r="M30" i="73"/>
  <c r="K30" i="73"/>
  <c r="M27" i="73"/>
  <c r="I28" i="73"/>
  <c r="K28" i="73" s="1"/>
  <c r="K31" i="73"/>
  <c r="D51" i="106"/>
  <c r="C12" i="106"/>
  <c r="C9" i="106"/>
  <c r="Y10" i="106" s="1"/>
  <c r="C76" i="106"/>
  <c r="B31" i="105"/>
  <c r="B30" i="105"/>
  <c r="B29" i="105"/>
  <c r="B28" i="105"/>
  <c r="B23" i="105"/>
  <c r="B22" i="105"/>
  <c r="D15" i="105"/>
  <c r="D14" i="105"/>
  <c r="C14" i="105"/>
  <c r="D13" i="105"/>
  <c r="D12" i="105"/>
  <c r="J10" i="105" s="1"/>
  <c r="C15" i="105"/>
  <c r="C13" i="105"/>
  <c r="I9" i="105"/>
  <c r="K9" i="105" s="1"/>
  <c r="C93" i="105"/>
  <c r="M11" i="105"/>
  <c r="D80" i="106" l="1"/>
  <c r="D57" i="106"/>
  <c r="J11" i="106"/>
  <c r="L11" i="106" s="1"/>
  <c r="O11" i="106" s="1"/>
  <c r="N9" i="105"/>
  <c r="J12" i="105"/>
  <c r="I12" i="105"/>
  <c r="K12" i="105" s="1"/>
  <c r="N12" i="105" s="1"/>
  <c r="I13" i="105"/>
  <c r="K13" i="105" s="1"/>
  <c r="N13" i="105" s="1"/>
  <c r="J13" i="105"/>
  <c r="I11" i="105"/>
  <c r="K11" i="105" s="1"/>
  <c r="N11" i="105" s="1"/>
  <c r="J11" i="105"/>
  <c r="I10" i="105"/>
  <c r="K10" i="105" s="1"/>
  <c r="N10" i="105" s="1"/>
  <c r="I10" i="106"/>
  <c r="L10" i="106" s="1"/>
  <c r="M28" i="73"/>
  <c r="H76" i="106"/>
  <c r="J85" i="101"/>
  <c r="H114" i="114"/>
  <c r="D130" i="114" s="1"/>
  <c r="M13" i="105"/>
  <c r="J86" i="101"/>
  <c r="M12" i="105"/>
  <c r="J84" i="101"/>
  <c r="J83" i="101"/>
  <c r="H116" i="114"/>
  <c r="D131" i="114" s="1"/>
  <c r="H78" i="106"/>
  <c r="H93" i="105"/>
  <c r="H95" i="105"/>
  <c r="M10" i="105"/>
  <c r="C88" i="104"/>
  <c r="B22" i="104"/>
  <c r="D18" i="104"/>
  <c r="J16" i="104" s="1"/>
  <c r="N16" i="104" s="1"/>
  <c r="C18" i="104"/>
  <c r="D17" i="104"/>
  <c r="J15" i="104" s="1"/>
  <c r="C17" i="104"/>
  <c r="D16" i="104"/>
  <c r="J14" i="104" s="1"/>
  <c r="N14" i="104" s="1"/>
  <c r="C16" i="104"/>
  <c r="D15" i="104"/>
  <c r="J13" i="104" s="1"/>
  <c r="C15" i="104"/>
  <c r="D14" i="104"/>
  <c r="J12" i="104" s="1"/>
  <c r="C14" i="104"/>
  <c r="D13" i="104"/>
  <c r="J11" i="104" s="1"/>
  <c r="C13" i="104"/>
  <c r="C12" i="104"/>
  <c r="D12" i="104"/>
  <c r="C9" i="104"/>
  <c r="Y10" i="104" s="1"/>
  <c r="F49" i="27"/>
  <c r="G45" i="27"/>
  <c r="G46" i="27" s="1"/>
  <c r="G41" i="27"/>
  <c r="G43" i="27" s="1"/>
  <c r="F26" i="27"/>
  <c r="F27" i="27" s="1"/>
  <c r="F21" i="27"/>
  <c r="F22" i="27" s="1"/>
  <c r="F31" i="27"/>
  <c r="F32" i="27" s="1"/>
  <c r="F16" i="27"/>
  <c r="L14" i="106" l="1"/>
  <c r="E80" i="86" s="1"/>
  <c r="E88" i="86"/>
  <c r="E98" i="86" s="1"/>
  <c r="K16" i="105"/>
  <c r="N16" i="105"/>
  <c r="I13" i="104"/>
  <c r="I12" i="104"/>
  <c r="N12" i="104" s="1"/>
  <c r="I11" i="104"/>
  <c r="O10" i="106"/>
  <c r="O14" i="106" s="1"/>
  <c r="M15" i="104" a="1"/>
  <c r="M15" i="104" s="1"/>
  <c r="N15" i="104" s="1"/>
  <c r="I85" i="101"/>
  <c r="I84" i="101"/>
  <c r="I83" i="101"/>
  <c r="I131" i="114"/>
  <c r="J131" i="114"/>
  <c r="E131" i="114"/>
  <c r="I86" i="101"/>
  <c r="H46" i="91"/>
  <c r="H53" i="114"/>
  <c r="H37" i="106"/>
  <c r="I130" i="114"/>
  <c r="J130" i="114"/>
  <c r="E130" i="114"/>
  <c r="I120" i="105"/>
  <c r="I10" i="104"/>
  <c r="E63" i="101"/>
  <c r="H48" i="104"/>
  <c r="H48" i="105"/>
  <c r="G63" i="105"/>
  <c r="G102" i="105" s="1"/>
  <c r="I15" i="104"/>
  <c r="I16" i="104"/>
  <c r="G10" i="104"/>
  <c r="M13" i="104" a="1"/>
  <c r="M13" i="104" s="1"/>
  <c r="D94" i="114" l="1"/>
  <c r="E94" i="114"/>
  <c r="I94" i="114"/>
  <c r="E100" i="86"/>
  <c r="E99" i="86"/>
  <c r="E97" i="86"/>
  <c r="N13" i="104"/>
  <c r="N11" i="104"/>
  <c r="D127" i="105"/>
  <c r="D126" i="105" s="1"/>
  <c r="I128" i="105"/>
  <c r="E124" i="105"/>
  <c r="I116" i="105"/>
  <c r="H33" i="73"/>
  <c r="H34" i="73" s="1"/>
  <c r="J87" i="101"/>
  <c r="J89" i="101" s="1"/>
  <c r="H97" i="105"/>
  <c r="J94" i="114"/>
  <c r="N10" i="104"/>
  <c r="D124" i="105"/>
  <c r="H63" i="105"/>
  <c r="I132" i="105"/>
  <c r="E156" i="88" s="1"/>
  <c r="D63" i="105"/>
  <c r="D102" i="105" s="1"/>
  <c r="D107" i="105" s="1"/>
  <c r="M14" i="105"/>
  <c r="D52" i="106"/>
  <c r="D50" i="106"/>
  <c r="F63" i="105"/>
  <c r="F102" i="105" s="1"/>
  <c r="I124" i="105"/>
  <c r="D64" i="105"/>
  <c r="D103" i="105" s="1"/>
  <c r="F65" i="105"/>
  <c r="F104" i="105" s="1"/>
  <c r="F67" i="105"/>
  <c r="F106" i="105" s="1"/>
  <c r="H65" i="105"/>
  <c r="H64" i="105"/>
  <c r="H67" i="105"/>
  <c r="E75" i="105"/>
  <c r="G65" i="105"/>
  <c r="G104" i="105" s="1"/>
  <c r="G67" i="105"/>
  <c r="G106" i="105" s="1"/>
  <c r="H56" i="114"/>
  <c r="H100" i="91"/>
  <c r="C59" i="91"/>
  <c r="D90" i="114" l="1"/>
  <c r="E90" i="114"/>
  <c r="I90" i="114"/>
  <c r="D81" i="106"/>
  <c r="D58" i="106"/>
  <c r="D56" i="106"/>
  <c r="D59" i="106" s="1"/>
  <c r="D79" i="106"/>
  <c r="H73" i="105"/>
  <c r="H104" i="105"/>
  <c r="H102" i="105"/>
  <c r="H71" i="105"/>
  <c r="H75" i="105"/>
  <c r="H106" i="105"/>
  <c r="H103" i="105"/>
  <c r="K17" i="104"/>
  <c r="D120" i="104" s="1"/>
  <c r="I116" i="104"/>
  <c r="I132" i="104"/>
  <c r="J90" i="114"/>
  <c r="I87" i="101"/>
  <c r="I89" i="101"/>
  <c r="J120" i="104"/>
  <c r="I120" i="104"/>
  <c r="E133" i="88"/>
  <c r="E134" i="88"/>
  <c r="D75" i="105"/>
  <c r="E73" i="105"/>
  <c r="J124" i="105"/>
  <c r="E148" i="88"/>
  <c r="J116" i="105"/>
  <c r="J120" i="105"/>
  <c r="E144" i="88"/>
  <c r="J132" i="105"/>
  <c r="F156" i="88" s="1"/>
  <c r="H49" i="91"/>
  <c r="F73" i="105"/>
  <c r="F75" i="105"/>
  <c r="J128" i="105"/>
  <c r="E130" i="88"/>
  <c r="G75" i="105"/>
  <c r="G73" i="105"/>
  <c r="F62" i="104"/>
  <c r="F63" i="104"/>
  <c r="F64" i="104"/>
  <c r="F61" i="104"/>
  <c r="G62" i="104"/>
  <c r="G63" i="104"/>
  <c r="G61" i="104"/>
  <c r="G64" i="104"/>
  <c r="H64" i="104"/>
  <c r="H62" i="104"/>
  <c r="H63" i="104"/>
  <c r="H61" i="104"/>
  <c r="E62" i="104"/>
  <c r="E63" i="104"/>
  <c r="E61" i="104"/>
  <c r="I62" i="104"/>
  <c r="I63" i="104"/>
  <c r="I61" i="104"/>
  <c r="D62" i="104"/>
  <c r="D63" i="104"/>
  <c r="H101" i="91"/>
  <c r="M17" i="91"/>
  <c r="C60" i="91"/>
  <c r="I99" i="104" l="1"/>
  <c r="I69" i="104"/>
  <c r="I67" i="104"/>
  <c r="I97" i="104"/>
  <c r="I98" i="104"/>
  <c r="H67" i="104"/>
  <c r="H97" i="104"/>
  <c r="H100" i="104"/>
  <c r="H70" i="104"/>
  <c r="H99" i="104"/>
  <c r="H69" i="104"/>
  <c r="H98" i="104"/>
  <c r="G70" i="104"/>
  <c r="G100" i="104"/>
  <c r="G67" i="104"/>
  <c r="G97" i="104"/>
  <c r="G98" i="104"/>
  <c r="G69" i="104"/>
  <c r="G99" i="104"/>
  <c r="F98" i="104"/>
  <c r="F97" i="104"/>
  <c r="F67" i="104"/>
  <c r="F100" i="104"/>
  <c r="F70" i="104"/>
  <c r="F69" i="104"/>
  <c r="F99" i="104"/>
  <c r="E69" i="104"/>
  <c r="E99" i="104"/>
  <c r="E67" i="104"/>
  <c r="E97" i="104"/>
  <c r="E98" i="104"/>
  <c r="D69" i="104"/>
  <c r="D99" i="104"/>
  <c r="D98" i="104"/>
  <c r="F33" i="73"/>
  <c r="F34" i="73" s="1"/>
  <c r="F35" i="73"/>
  <c r="F36" i="73" s="1"/>
  <c r="H36" i="73"/>
  <c r="M11" i="106"/>
  <c r="E48" i="73"/>
  <c r="E58" i="73" s="1"/>
  <c r="E140" i="88"/>
  <c r="E166" i="88" s="1"/>
  <c r="E152" i="88"/>
  <c r="F166" i="88" s="1"/>
  <c r="F165" i="88" s="1"/>
  <c r="G166" i="88"/>
  <c r="E155" i="85"/>
  <c r="E139" i="85"/>
  <c r="J33" i="73"/>
  <c r="E143" i="85"/>
  <c r="F140" i="88"/>
  <c r="F130" i="88"/>
  <c r="F17" i="27"/>
  <c r="H50" i="105"/>
  <c r="G101" i="104" l="1"/>
  <c r="F88" i="86"/>
  <c r="E165" i="88"/>
  <c r="E167" i="88"/>
  <c r="F160" i="85"/>
  <c r="F161" i="85"/>
  <c r="J34" i="73"/>
  <c r="N33" i="73"/>
  <c r="L33" i="73"/>
  <c r="D74" i="105"/>
  <c r="G74" i="105"/>
  <c r="F74" i="105"/>
  <c r="E74" i="105"/>
  <c r="I129" i="101"/>
  <c r="I57" i="101"/>
  <c r="I128" i="101"/>
  <c r="I106" i="101"/>
  <c r="J35" i="73" s="1"/>
  <c r="J128" i="104"/>
  <c r="I128" i="104"/>
  <c r="D123" i="104"/>
  <c r="D122" i="104" s="1"/>
  <c r="G168" i="88"/>
  <c r="G165" i="88"/>
  <c r="F148" i="88"/>
  <c r="F144" i="88"/>
  <c r="G167" i="88"/>
  <c r="F168" i="88"/>
  <c r="F167" i="88"/>
  <c r="E168" i="88"/>
  <c r="F152" i="88"/>
  <c r="F139" i="85"/>
  <c r="F143" i="85"/>
  <c r="F48" i="73"/>
  <c r="F58" i="73" s="1"/>
  <c r="H67" i="91"/>
  <c r="H64" i="91"/>
  <c r="H65" i="91"/>
  <c r="H66" i="91"/>
  <c r="H68" i="91"/>
  <c r="H118" i="114"/>
  <c r="D126" i="114" s="1"/>
  <c r="H99" i="91"/>
  <c r="H50" i="91"/>
  <c r="F66" i="27"/>
  <c r="H66" i="27"/>
  <c r="O14" i="27"/>
  <c r="H109" i="91" l="1"/>
  <c r="H75" i="91"/>
  <c r="H107" i="91"/>
  <c r="H106" i="91"/>
  <c r="H72" i="91"/>
  <c r="H105" i="91"/>
  <c r="H71" i="91"/>
  <c r="H74" i="91"/>
  <c r="H108" i="91"/>
  <c r="I75" i="27"/>
  <c r="I74" i="27"/>
  <c r="N34" i="73"/>
  <c r="L34" i="73"/>
  <c r="F163" i="85"/>
  <c r="F162" i="85"/>
  <c r="J36" i="73"/>
  <c r="I85" i="27"/>
  <c r="I84" i="27"/>
  <c r="I109" i="114"/>
  <c r="J109" i="114" s="1"/>
  <c r="I70" i="27"/>
  <c r="I69" i="27"/>
  <c r="I108" i="114"/>
  <c r="J108" i="114" s="1"/>
  <c r="E126" i="114"/>
  <c r="J126" i="114"/>
  <c r="I126" i="114"/>
  <c r="H29" i="73"/>
  <c r="H119" i="114"/>
  <c r="D127" i="114" s="1"/>
  <c r="E151" i="85"/>
  <c r="G160" i="85" s="1"/>
  <c r="F151" i="85"/>
  <c r="I112" i="104"/>
  <c r="E135" i="85" s="1"/>
  <c r="E160" i="85" s="1"/>
  <c r="N35" i="73"/>
  <c r="I89" i="27"/>
  <c r="I90" i="27"/>
  <c r="M16" i="104"/>
  <c r="J132" i="104" s="1"/>
  <c r="H95" i="91"/>
  <c r="H90" i="104"/>
  <c r="H97" i="91"/>
  <c r="H93" i="91"/>
  <c r="H88" i="104"/>
  <c r="H98" i="91"/>
  <c r="H68" i="27"/>
  <c r="G68" i="27"/>
  <c r="F68" i="27"/>
  <c r="O13" i="27"/>
  <c r="O30" i="27"/>
  <c r="O25" i="27"/>
  <c r="O19" i="27"/>
  <c r="O24" i="27"/>
  <c r="O35" i="27"/>
  <c r="I124" i="104" l="1"/>
  <c r="H110" i="91"/>
  <c r="J110" i="114"/>
  <c r="D129" i="114" s="1"/>
  <c r="D133" i="114" s="1"/>
  <c r="N36" i="73"/>
  <c r="L36" i="73"/>
  <c r="H30" i="73"/>
  <c r="I60" i="101"/>
  <c r="I58" i="101"/>
  <c r="I56" i="101"/>
  <c r="F29" i="73"/>
  <c r="F30" i="73" s="1"/>
  <c r="I80" i="27"/>
  <c r="I79" i="27"/>
  <c r="I129" i="114"/>
  <c r="E129" i="114"/>
  <c r="J129" i="114"/>
  <c r="I127" i="114"/>
  <c r="E127" i="114"/>
  <c r="J127" i="114"/>
  <c r="L35" i="73"/>
  <c r="E128" i="85"/>
  <c r="E161" i="85"/>
  <c r="G161" i="85"/>
  <c r="E127" i="85"/>
  <c r="I29" i="101"/>
  <c r="M12" i="104"/>
  <c r="J116" i="104" s="1"/>
  <c r="M11" i="104"/>
  <c r="I87" i="105"/>
  <c r="J87" i="105" s="1"/>
  <c r="I70" i="106"/>
  <c r="J70" i="106" s="1"/>
  <c r="M14" i="104"/>
  <c r="I83" i="104"/>
  <c r="J83" i="104" s="1"/>
  <c r="I88" i="105"/>
  <c r="J88" i="105" s="1"/>
  <c r="I71" i="106"/>
  <c r="J71" i="106" s="1"/>
  <c r="I41" i="104"/>
  <c r="J41" i="104" s="1"/>
  <c r="I82" i="104"/>
  <c r="J82" i="104" s="1"/>
  <c r="I87" i="91"/>
  <c r="J87" i="91" s="1"/>
  <c r="I88" i="91"/>
  <c r="J88" i="91" s="1"/>
  <c r="Q50" i="27"/>
  <c r="Q49" i="27"/>
  <c r="Q48" i="27"/>
  <c r="Q47" i="27"/>
  <c r="Q46" i="27"/>
  <c r="Q8" i="27"/>
  <c r="M16" i="91"/>
  <c r="M15" i="91"/>
  <c r="D48" i="114"/>
  <c r="D68" i="91"/>
  <c r="C58" i="91"/>
  <c r="J133" i="114" l="1"/>
  <c r="E133" i="114"/>
  <c r="I133" i="114"/>
  <c r="E48" i="114"/>
  <c r="J17" i="114"/>
  <c r="K17" i="114" s="1"/>
  <c r="J124" i="104"/>
  <c r="D109" i="91"/>
  <c r="D75" i="91"/>
  <c r="J112" i="104"/>
  <c r="I59" i="101"/>
  <c r="E162" i="85"/>
  <c r="E163" i="85"/>
  <c r="I33" i="101"/>
  <c r="J29" i="73" s="1"/>
  <c r="G163" i="85"/>
  <c r="G162" i="85"/>
  <c r="H31" i="73"/>
  <c r="J134" i="114"/>
  <c r="J62" i="101"/>
  <c r="F31" i="73" s="1"/>
  <c r="G134" i="114"/>
  <c r="D113" i="114"/>
  <c r="D87" i="104"/>
  <c r="E87" i="104" s="1"/>
  <c r="D92" i="105"/>
  <c r="E92" i="105" s="1"/>
  <c r="D73" i="106"/>
  <c r="E73" i="106" s="1"/>
  <c r="D111" i="114"/>
  <c r="D90" i="105"/>
  <c r="D85" i="104"/>
  <c r="E85" i="104" s="1"/>
  <c r="D90" i="91"/>
  <c r="E90" i="91" s="1"/>
  <c r="I46" i="114"/>
  <c r="J46" i="114" s="1"/>
  <c r="I30" i="106"/>
  <c r="J30" i="106" s="1"/>
  <c r="I41" i="105"/>
  <c r="J41" i="105" s="1"/>
  <c r="I39" i="91"/>
  <c r="J39" i="91" s="1"/>
  <c r="N17" i="104"/>
  <c r="E147" i="85"/>
  <c r="J72" i="106"/>
  <c r="F155" i="85"/>
  <c r="J84" i="104"/>
  <c r="B62" i="91"/>
  <c r="J89" i="105"/>
  <c r="E90" i="105"/>
  <c r="D32" i="106"/>
  <c r="E32" i="106" s="1"/>
  <c r="D43" i="105"/>
  <c r="E43" i="105" s="1"/>
  <c r="D41" i="91"/>
  <c r="E41" i="91" s="1"/>
  <c r="D75" i="106"/>
  <c r="E75" i="106" s="1"/>
  <c r="D43" i="104"/>
  <c r="E43" i="104" s="1"/>
  <c r="J89" i="91"/>
  <c r="D92" i="91"/>
  <c r="E92" i="91" s="1"/>
  <c r="E65" i="91"/>
  <c r="E66" i="91"/>
  <c r="E67" i="91"/>
  <c r="E68" i="91"/>
  <c r="O49" i="27"/>
  <c r="D17" i="91"/>
  <c r="C15" i="91"/>
  <c r="M13" i="91"/>
  <c r="F106" i="27"/>
  <c r="D50" i="114"/>
  <c r="F14" i="27"/>
  <c r="H57" i="114"/>
  <c r="H58" i="114"/>
  <c r="D91" i="114" l="1"/>
  <c r="I91" i="114"/>
  <c r="E91" i="114"/>
  <c r="E50" i="114"/>
  <c r="J18" i="114"/>
  <c r="K18" i="114" s="1"/>
  <c r="N18" i="114" s="1"/>
  <c r="N17" i="114"/>
  <c r="E120" i="104"/>
  <c r="E75" i="91"/>
  <c r="E109" i="91"/>
  <c r="E74" i="91"/>
  <c r="E108" i="91"/>
  <c r="E107" i="91"/>
  <c r="E106" i="91"/>
  <c r="E72" i="91"/>
  <c r="J16" i="91"/>
  <c r="N16" i="91" s="1"/>
  <c r="J14" i="91"/>
  <c r="J17" i="91"/>
  <c r="N17" i="91" s="1"/>
  <c r="J15" i="91"/>
  <c r="J127" i="91"/>
  <c r="F168" i="84" s="1"/>
  <c r="L29" i="73"/>
  <c r="N29" i="73"/>
  <c r="J30" i="73"/>
  <c r="J131" i="101"/>
  <c r="F37" i="73" s="1"/>
  <c r="F38" i="73" s="1"/>
  <c r="H32" i="73"/>
  <c r="F32" i="73"/>
  <c r="C137" i="114"/>
  <c r="E111" i="114"/>
  <c r="M17" i="114"/>
  <c r="D112" i="114"/>
  <c r="D86" i="104"/>
  <c r="E86" i="104" s="1"/>
  <c r="D91" i="105"/>
  <c r="E91" i="105" s="1"/>
  <c r="D109" i="114"/>
  <c r="D88" i="105"/>
  <c r="E88" i="105" s="1"/>
  <c r="D83" i="104"/>
  <c r="E83" i="104" s="1"/>
  <c r="E113" i="114"/>
  <c r="M18" i="114"/>
  <c r="I127" i="101"/>
  <c r="D108" i="114"/>
  <c r="D87" i="105"/>
  <c r="E87" i="105" s="1"/>
  <c r="D82" i="104"/>
  <c r="E82" i="104" s="1"/>
  <c r="J91" i="114"/>
  <c r="D110" i="114"/>
  <c r="M16" i="114" s="1"/>
  <c r="D89" i="105"/>
  <c r="E89" i="105" s="1"/>
  <c r="D84" i="104"/>
  <c r="E84" i="104" s="1"/>
  <c r="I55" i="101"/>
  <c r="I18" i="91"/>
  <c r="N18" i="91" s="1"/>
  <c r="F147" i="85"/>
  <c r="F135" i="85"/>
  <c r="A57" i="91"/>
  <c r="A61" i="91"/>
  <c r="A59" i="91"/>
  <c r="A60" i="91"/>
  <c r="A58" i="91"/>
  <c r="D72" i="106"/>
  <c r="E72" i="106" s="1"/>
  <c r="D34" i="106"/>
  <c r="E34" i="106" s="1"/>
  <c r="D45" i="105"/>
  <c r="E45" i="105" s="1"/>
  <c r="D43" i="91"/>
  <c r="E43" i="91" s="1"/>
  <c r="D71" i="106"/>
  <c r="E71" i="106" s="1"/>
  <c r="D74" i="106"/>
  <c r="E74" i="106" s="1"/>
  <c r="D70" i="106"/>
  <c r="E70" i="106" s="1"/>
  <c r="D45" i="104"/>
  <c r="E45" i="104" s="1"/>
  <c r="H51" i="91"/>
  <c r="D89" i="91"/>
  <c r="E89" i="91" s="1"/>
  <c r="D88" i="91"/>
  <c r="E88" i="91" s="1"/>
  <c r="D91" i="91"/>
  <c r="E91" i="91" s="1"/>
  <c r="D87" i="91"/>
  <c r="E87" i="91" s="1"/>
  <c r="C17" i="91"/>
  <c r="I15" i="91" s="1"/>
  <c r="O47" i="27"/>
  <c r="O50" i="27"/>
  <c r="O46" i="27"/>
  <c r="O48" i="27"/>
  <c r="F124" i="85" l="1"/>
  <c r="F47" i="73" s="1"/>
  <c r="F57" i="73" s="1"/>
  <c r="I135" i="91"/>
  <c r="I131" i="91"/>
  <c r="N14" i="91"/>
  <c r="J131" i="91" s="1"/>
  <c r="I139" i="91"/>
  <c r="J139" i="91"/>
  <c r="N30" i="73"/>
  <c r="L30" i="73"/>
  <c r="F28" i="73"/>
  <c r="I126" i="101"/>
  <c r="K131" i="101"/>
  <c r="H37" i="73" s="1"/>
  <c r="H27" i="73" s="1"/>
  <c r="F27" i="73"/>
  <c r="E88" i="104"/>
  <c r="E101" i="104" s="1"/>
  <c r="E112" i="114"/>
  <c r="M19" i="114"/>
  <c r="E109" i="114"/>
  <c r="M15" i="114"/>
  <c r="E76" i="106"/>
  <c r="E108" i="114"/>
  <c r="M14" i="114"/>
  <c r="E110" i="114"/>
  <c r="E49" i="73"/>
  <c r="E59" i="73" s="1"/>
  <c r="E124" i="85"/>
  <c r="E47" i="73" s="1"/>
  <c r="E57" i="73" s="1"/>
  <c r="J143" i="91"/>
  <c r="I143" i="91"/>
  <c r="E184" i="84" s="1"/>
  <c r="M57" i="91"/>
  <c r="M64" i="91" s="1"/>
  <c r="K57" i="91"/>
  <c r="J57" i="91"/>
  <c r="J64" i="91" s="1"/>
  <c r="I57" i="91"/>
  <c r="I64" i="91" s="1"/>
  <c r="L57" i="91"/>
  <c r="L64" i="91" s="1"/>
  <c r="J60" i="91"/>
  <c r="J67" i="91" s="1"/>
  <c r="L60" i="91"/>
  <c r="M60" i="91"/>
  <c r="K60" i="91"/>
  <c r="I60" i="91"/>
  <c r="J59" i="91"/>
  <c r="J66" i="91" s="1"/>
  <c r="L59" i="91"/>
  <c r="I59" i="91"/>
  <c r="K59" i="91"/>
  <c r="M59" i="91"/>
  <c r="L61" i="91"/>
  <c r="J61" i="91"/>
  <c r="J68" i="91" s="1"/>
  <c r="I61" i="91"/>
  <c r="M61" i="91"/>
  <c r="M68" i="91" s="1"/>
  <c r="K61" i="91"/>
  <c r="J58" i="91"/>
  <c r="J65" i="91" s="1"/>
  <c r="L58" i="91"/>
  <c r="M58" i="91"/>
  <c r="I58" i="91"/>
  <c r="K58" i="91"/>
  <c r="I62" i="101"/>
  <c r="J31" i="73" s="1"/>
  <c r="E93" i="105"/>
  <c r="E93" i="91"/>
  <c r="M109" i="91" l="1"/>
  <c r="M75" i="91"/>
  <c r="M71" i="91"/>
  <c r="M105" i="91"/>
  <c r="L71" i="91"/>
  <c r="L105" i="91"/>
  <c r="K20" i="91"/>
  <c r="D138" i="91"/>
  <c r="N15" i="91"/>
  <c r="J75" i="91"/>
  <c r="J109" i="91"/>
  <c r="J74" i="91"/>
  <c r="J108" i="91"/>
  <c r="J72" i="91"/>
  <c r="J106" i="91"/>
  <c r="J105" i="91"/>
  <c r="J71" i="91"/>
  <c r="J107" i="91"/>
  <c r="I71" i="91"/>
  <c r="I105" i="91"/>
  <c r="N20" i="91"/>
  <c r="D82" i="106"/>
  <c r="I131" i="101"/>
  <c r="J37" i="73" s="1"/>
  <c r="L37" i="73" s="1"/>
  <c r="H38" i="73"/>
  <c r="H28" i="73" s="1"/>
  <c r="L32" i="73"/>
  <c r="N31" i="73"/>
  <c r="J32" i="73"/>
  <c r="F101" i="104"/>
  <c r="H101" i="104"/>
  <c r="I101" i="104"/>
  <c r="D101" i="104"/>
  <c r="E114" i="114"/>
  <c r="F80" i="86"/>
  <c r="F49" i="73" s="1"/>
  <c r="F59" i="73" s="1"/>
  <c r="M65" i="91"/>
  <c r="M67" i="91"/>
  <c r="M66" i="91"/>
  <c r="J135" i="91"/>
  <c r="E110" i="91"/>
  <c r="F184" i="84"/>
  <c r="L31" i="73"/>
  <c r="I107" i="105"/>
  <c r="G107" i="105"/>
  <c r="H107" i="105"/>
  <c r="F107" i="105"/>
  <c r="G108" i="105" l="1"/>
  <c r="G102" i="104"/>
  <c r="M72" i="91"/>
  <c r="M106" i="91"/>
  <c r="M107" i="91"/>
  <c r="M74" i="91"/>
  <c r="M108" i="91"/>
  <c r="D137" i="91"/>
  <c r="E162" i="84"/>
  <c r="J110" i="91"/>
  <c r="D83" i="106"/>
  <c r="J27" i="73"/>
  <c r="L27" i="73" s="1"/>
  <c r="J38" i="73"/>
  <c r="N37" i="73"/>
  <c r="N27" i="73" s="1"/>
  <c r="N32" i="73"/>
  <c r="M110" i="91" l="1"/>
  <c r="N38" i="73"/>
  <c r="N28" i="73" s="1"/>
  <c r="L38" i="73"/>
  <c r="J28" i="73"/>
  <c r="F66" i="91"/>
  <c r="F67" i="91"/>
  <c r="K67" i="91"/>
  <c r="K65" i="91"/>
  <c r="F68" i="91"/>
  <c r="F109" i="91" s="1"/>
  <c r="K68" i="91"/>
  <c r="K66" i="91"/>
  <c r="K64" i="91"/>
  <c r="F65" i="91"/>
  <c r="F64" i="91"/>
  <c r="I68" i="91"/>
  <c r="D66" i="91"/>
  <c r="D67" i="91"/>
  <c r="D65" i="91"/>
  <c r="I65" i="91"/>
  <c r="I66" i="91"/>
  <c r="I67" i="91"/>
  <c r="E180" i="84"/>
  <c r="L67" i="91"/>
  <c r="G68" i="91"/>
  <c r="L68" i="91"/>
  <c r="G67" i="91"/>
  <c r="G65" i="91"/>
  <c r="G66" i="91"/>
  <c r="L65" i="91"/>
  <c r="G64" i="91"/>
  <c r="L66" i="91"/>
  <c r="E176" i="84"/>
  <c r="F189" i="84" s="1"/>
  <c r="G109" i="91" l="1"/>
  <c r="G75" i="91"/>
  <c r="L107" i="91"/>
  <c r="L108" i="91"/>
  <c r="L74" i="91"/>
  <c r="G105" i="91"/>
  <c r="G71" i="91"/>
  <c r="L72" i="91"/>
  <c r="L106" i="91"/>
  <c r="G107" i="91"/>
  <c r="G106" i="91"/>
  <c r="G72" i="91"/>
  <c r="G74" i="91"/>
  <c r="G108" i="91"/>
  <c r="L109" i="91"/>
  <c r="L75" i="91"/>
  <c r="K106" i="91"/>
  <c r="K72" i="91"/>
  <c r="F71" i="91"/>
  <c r="F105" i="91"/>
  <c r="F106" i="91"/>
  <c r="F72" i="91"/>
  <c r="K105" i="91"/>
  <c r="K71" i="91"/>
  <c r="K107" i="91"/>
  <c r="K75" i="91"/>
  <c r="K109" i="91"/>
  <c r="K108" i="91"/>
  <c r="K74" i="91"/>
  <c r="F108" i="91"/>
  <c r="F74" i="91"/>
  <c r="F107" i="91"/>
  <c r="D107" i="91"/>
  <c r="I109" i="91"/>
  <c r="I75" i="91"/>
  <c r="I108" i="91"/>
  <c r="I74" i="91"/>
  <c r="I107" i="91"/>
  <c r="I106" i="91"/>
  <c r="I72" i="91"/>
  <c r="D106" i="91"/>
  <c r="D72" i="91"/>
  <c r="D108" i="91"/>
  <c r="D74" i="91"/>
  <c r="G189" i="84"/>
  <c r="G190" i="84"/>
  <c r="G191" i="84" s="1"/>
  <c r="L28" i="73"/>
  <c r="F75" i="91"/>
  <c r="F190" i="84"/>
  <c r="F180" i="84"/>
  <c r="F176" i="84"/>
  <c r="D110" i="91" l="1"/>
  <c r="G111" i="91" s="1"/>
  <c r="F110" i="91"/>
  <c r="K110" i="91"/>
  <c r="G110" i="91"/>
  <c r="L110" i="91"/>
  <c r="I110" i="91"/>
  <c r="M111" i="91" s="1"/>
  <c r="F192" i="84"/>
  <c r="F191" i="84"/>
  <c r="G192" i="84"/>
  <c r="C114" i="91" l="1"/>
  <c r="D23" i="80" l="1"/>
  <c r="H51" i="114" l="1"/>
  <c r="H46" i="105"/>
  <c r="D19" i="80"/>
  <c r="D20" i="80"/>
  <c r="D24" i="80"/>
  <c r="D25" i="80"/>
  <c r="H44" i="91" s="1"/>
  <c r="D27" i="80"/>
  <c r="D22" i="80"/>
  <c r="D28" i="80"/>
  <c r="D21" i="80"/>
  <c r="I72" i="105" l="1"/>
  <c r="I76" i="105" s="1"/>
  <c r="H72" i="105"/>
  <c r="H76" i="105" s="1"/>
  <c r="E93" i="114"/>
  <c r="D93" i="114"/>
  <c r="I93" i="114"/>
  <c r="H73" i="91"/>
  <c r="H76" i="91" s="1"/>
  <c r="E73" i="91"/>
  <c r="J73" i="91"/>
  <c r="J76" i="91" s="1"/>
  <c r="M73" i="91"/>
  <c r="M76" i="91" s="1"/>
  <c r="L73" i="91"/>
  <c r="G73" i="91"/>
  <c r="G76" i="91" s="1"/>
  <c r="K73" i="91"/>
  <c r="K76" i="91" s="1"/>
  <c r="F73" i="91"/>
  <c r="I73" i="91"/>
  <c r="I76" i="91" s="1"/>
  <c r="D73" i="91"/>
  <c r="D76" i="91" s="1"/>
  <c r="J93" i="114"/>
  <c r="D72" i="105"/>
  <c r="H35" i="106"/>
  <c r="H46" i="104"/>
  <c r="G68" i="104" l="1"/>
  <c r="E68" i="104"/>
  <c r="H68" i="104"/>
  <c r="I68" i="104"/>
  <c r="I71" i="104" s="1"/>
  <c r="F68" i="104"/>
  <c r="D68" i="104"/>
  <c r="H106" i="27" l="1"/>
  <c r="H108" i="27" s="1"/>
  <c r="H103" i="27"/>
  <c r="H105" i="27" s="1"/>
  <c r="H100" i="27"/>
  <c r="H102" i="27" s="1"/>
  <c r="H97" i="27"/>
  <c r="H99" i="27" s="1"/>
  <c r="H96" i="27"/>
  <c r="H91" i="27"/>
  <c r="H93" i="27" s="1"/>
  <c r="H61" i="27"/>
  <c r="H63" i="27" s="1"/>
  <c r="G106" i="27"/>
  <c r="G103" i="27"/>
  <c r="G105" i="27" s="1"/>
  <c r="G100" i="27"/>
  <c r="G102" i="27" s="1"/>
  <c r="G97" i="27"/>
  <c r="G99" i="27" s="1"/>
  <c r="G96" i="27"/>
  <c r="G91" i="27"/>
  <c r="G93" i="27" s="1"/>
  <c r="G61" i="27"/>
  <c r="G63" i="27" s="1"/>
  <c r="F108" i="27"/>
  <c r="F103" i="27"/>
  <c r="F105" i="27" s="1"/>
  <c r="F100" i="27"/>
  <c r="F102" i="27" s="1"/>
  <c r="F97" i="27"/>
  <c r="F99" i="27" s="1"/>
  <c r="F96" i="27"/>
  <c r="F91" i="27"/>
  <c r="F93" i="27" s="1"/>
  <c r="F61" i="27"/>
  <c r="F63" i="27" s="1"/>
  <c r="I40" i="104" l="1"/>
  <c r="J40" i="104" s="1"/>
  <c r="J42" i="104" s="1"/>
  <c r="G108" i="27"/>
  <c r="D46" i="114"/>
  <c r="D49" i="114"/>
  <c r="E49" i="114" l="1"/>
  <c r="J19" i="114"/>
  <c r="K19" i="114" s="1"/>
  <c r="N19" i="114" s="1"/>
  <c r="E46" i="114"/>
  <c r="J15" i="114"/>
  <c r="K15" i="114" s="1"/>
  <c r="N15" i="114" s="1"/>
  <c r="D47" i="114"/>
  <c r="D31" i="106"/>
  <c r="E31" i="106" s="1"/>
  <c r="D42" i="104"/>
  <c r="E42" i="104" s="1"/>
  <c r="D42" i="105"/>
  <c r="E42" i="105" s="1"/>
  <c r="D40" i="91"/>
  <c r="E40" i="91" s="1"/>
  <c r="D33" i="106"/>
  <c r="E33" i="106" s="1"/>
  <c r="D44" i="105"/>
  <c r="E44" i="105" s="1"/>
  <c r="D42" i="91"/>
  <c r="E42" i="91" s="1"/>
  <c r="D41" i="105"/>
  <c r="E41" i="105" s="1"/>
  <c r="D30" i="106"/>
  <c r="E30" i="106" s="1"/>
  <c r="D39" i="91"/>
  <c r="E39" i="91" s="1"/>
  <c r="D44" i="104"/>
  <c r="E44" i="104" s="1"/>
  <c r="D41" i="104"/>
  <c r="E41" i="104" s="1"/>
  <c r="D45" i="114"/>
  <c r="E45" i="114" l="1"/>
  <c r="J14" i="114"/>
  <c r="K14" i="114" s="1"/>
  <c r="E47" i="114"/>
  <c r="E51" i="114" s="1"/>
  <c r="J16" i="114"/>
  <c r="K16" i="114" s="1"/>
  <c r="N16" i="114" s="1"/>
  <c r="I38" i="91"/>
  <c r="J38" i="91" s="1"/>
  <c r="J40" i="91" s="1"/>
  <c r="I29" i="106"/>
  <c r="J29" i="106" s="1"/>
  <c r="J31" i="106" s="1"/>
  <c r="I45" i="114"/>
  <c r="J45" i="114" s="1"/>
  <c r="J47" i="114" s="1"/>
  <c r="I40" i="105"/>
  <c r="J40" i="105" s="1"/>
  <c r="J42" i="105" s="1"/>
  <c r="D40" i="105"/>
  <c r="E40" i="105" s="1"/>
  <c r="E46" i="105" s="1"/>
  <c r="D29" i="106"/>
  <c r="E29" i="106" s="1"/>
  <c r="E35" i="106" s="1"/>
  <c r="D38" i="91"/>
  <c r="E38" i="91" s="1"/>
  <c r="E44" i="91" s="1"/>
  <c r="D40" i="104"/>
  <c r="E40" i="104" s="1"/>
  <c r="D27" i="2"/>
  <c r="E92" i="114" l="1"/>
  <c r="E97" i="114" s="1"/>
  <c r="I92" i="114"/>
  <c r="I97" i="114" s="1"/>
  <c r="D92" i="114"/>
  <c r="D97" i="114" s="1"/>
  <c r="N14" i="114"/>
  <c r="K21" i="114"/>
  <c r="K26" i="114"/>
  <c r="E46" i="104"/>
  <c r="G71" i="104" s="1"/>
  <c r="I125" i="104" s="1"/>
  <c r="J125" i="104" s="1"/>
  <c r="E71" i="105"/>
  <c r="E76" i="105" s="1"/>
  <c r="F71" i="105"/>
  <c r="F76" i="105" s="1"/>
  <c r="G71" i="105"/>
  <c r="D71" i="105"/>
  <c r="D76" i="105" s="1"/>
  <c r="J92" i="114"/>
  <c r="J97" i="114" s="1"/>
  <c r="D33" i="2"/>
  <c r="N26" i="114" l="1"/>
  <c r="N21" i="114"/>
  <c r="D159" i="114"/>
  <c r="E144" i="113"/>
  <c r="G50" i="73" s="1"/>
  <c r="G60" i="73" s="1"/>
  <c r="G98" i="114"/>
  <c r="M98" i="114"/>
  <c r="I125" i="105"/>
  <c r="J125" i="105" s="1"/>
  <c r="J123" i="105" s="1"/>
  <c r="G76" i="105"/>
  <c r="I129" i="105" s="1"/>
  <c r="J129" i="105" s="1"/>
  <c r="F76" i="91"/>
  <c r="I133" i="105"/>
  <c r="H71" i="104"/>
  <c r="I129" i="104" s="1"/>
  <c r="J129" i="104" s="1"/>
  <c r="F152" i="85" s="1"/>
  <c r="I117" i="105"/>
  <c r="D71" i="104"/>
  <c r="I133" i="104"/>
  <c r="J133" i="104" s="1"/>
  <c r="F156" i="85" s="1"/>
  <c r="E76" i="91"/>
  <c r="L76" i="91"/>
  <c r="M77" i="91" s="1"/>
  <c r="I121" i="105"/>
  <c r="J121" i="105" s="1"/>
  <c r="E71" i="104"/>
  <c r="I117" i="104" s="1"/>
  <c r="I115" i="104" s="1"/>
  <c r="F71" i="104"/>
  <c r="I121" i="104" s="1"/>
  <c r="I119" i="104" s="1"/>
  <c r="E93" i="86"/>
  <c r="F148" i="85"/>
  <c r="J123" i="104"/>
  <c r="F146" i="85" s="1"/>
  <c r="E148" i="85"/>
  <c r="C101" i="114" l="1"/>
  <c r="E159" i="114"/>
  <c r="F144" i="113"/>
  <c r="H50" i="73" s="1"/>
  <c r="G77" i="105"/>
  <c r="I113" i="104"/>
  <c r="J113" i="104" s="1"/>
  <c r="G72" i="104"/>
  <c r="G77" i="91"/>
  <c r="I144" i="91"/>
  <c r="J144" i="91" s="1"/>
  <c r="J142" i="91" s="1"/>
  <c r="F183" i="84" s="1"/>
  <c r="I123" i="105"/>
  <c r="E147" i="88" s="1"/>
  <c r="E89" i="86"/>
  <c r="F89" i="86" s="1"/>
  <c r="F87" i="86" s="1"/>
  <c r="D60" i="106"/>
  <c r="C63" i="106" s="1"/>
  <c r="F93" i="86"/>
  <c r="F91" i="86" s="1"/>
  <c r="E91" i="86"/>
  <c r="I137" i="105"/>
  <c r="J137" i="105" s="1"/>
  <c r="F161" i="88" s="1"/>
  <c r="I131" i="105"/>
  <c r="E155" i="88" s="1"/>
  <c r="J133" i="105"/>
  <c r="J131" i="105" s="1"/>
  <c r="E141" i="88"/>
  <c r="J117" i="105"/>
  <c r="J115" i="105" s="1"/>
  <c r="F139" i="88" s="1"/>
  <c r="J119" i="105"/>
  <c r="F143" i="88" s="1"/>
  <c r="I136" i="91"/>
  <c r="E177" i="84" s="1"/>
  <c r="I140" i="91"/>
  <c r="J140" i="91" s="1"/>
  <c r="F181" i="84" s="1"/>
  <c r="I132" i="91"/>
  <c r="E173" i="84" s="1"/>
  <c r="E140" i="85"/>
  <c r="I115" i="105"/>
  <c r="E139" i="88" s="1"/>
  <c r="E156" i="85"/>
  <c r="I128" i="91"/>
  <c r="I126" i="91" s="1"/>
  <c r="E167" i="84" s="1"/>
  <c r="J131" i="104"/>
  <c r="F154" i="85" s="1"/>
  <c r="E144" i="85"/>
  <c r="J121" i="104"/>
  <c r="F140" i="85" s="1"/>
  <c r="J117" i="104"/>
  <c r="J115" i="104" s="1"/>
  <c r="J127" i="104"/>
  <c r="F150" i="85" s="1"/>
  <c r="E152" i="85"/>
  <c r="J127" i="105"/>
  <c r="F151" i="88" s="1"/>
  <c r="I127" i="105"/>
  <c r="E151" i="88" s="1"/>
  <c r="E149" i="88"/>
  <c r="E157" i="88"/>
  <c r="E153" i="88"/>
  <c r="I131" i="104"/>
  <c r="E154" i="85" s="1"/>
  <c r="E138" i="85"/>
  <c r="I123" i="104"/>
  <c r="E146" i="85" s="1"/>
  <c r="I127" i="104"/>
  <c r="E150" i="85" s="1"/>
  <c r="E142" i="85"/>
  <c r="D158" i="114" l="1"/>
  <c r="D157" i="114" s="1"/>
  <c r="D160" i="114" s="1"/>
  <c r="C139" i="114"/>
  <c r="E158" i="114" s="1"/>
  <c r="L50" i="73"/>
  <c r="L60" i="73" s="1"/>
  <c r="H60" i="73"/>
  <c r="I111" i="104"/>
  <c r="E134" i="85" s="1"/>
  <c r="D121" i="104"/>
  <c r="D119" i="104" s="1"/>
  <c r="D124" i="104" s="1"/>
  <c r="E129" i="85" s="1"/>
  <c r="G129" i="85" s="1"/>
  <c r="C75" i="104"/>
  <c r="E121" i="104" s="1"/>
  <c r="E119" i="104" s="1"/>
  <c r="E136" i="85"/>
  <c r="D125" i="105"/>
  <c r="D123" i="105" s="1"/>
  <c r="C80" i="105"/>
  <c r="E125" i="105" s="1"/>
  <c r="F131" i="88" s="1"/>
  <c r="H48" i="73" s="1"/>
  <c r="F185" i="84"/>
  <c r="E185" i="84"/>
  <c r="I142" i="91"/>
  <c r="E183" i="84" s="1"/>
  <c r="E87" i="86"/>
  <c r="E81" i="86"/>
  <c r="G49" i="73" s="1"/>
  <c r="G59" i="73" s="1"/>
  <c r="I135" i="105"/>
  <c r="E159" i="88" s="1"/>
  <c r="E161" i="88"/>
  <c r="E145" i="88"/>
  <c r="I119" i="105"/>
  <c r="E143" i="88" s="1"/>
  <c r="E181" i="84"/>
  <c r="J138" i="91"/>
  <c r="F179" i="84" s="1"/>
  <c r="I134" i="91"/>
  <c r="E175" i="84" s="1"/>
  <c r="F145" i="88"/>
  <c r="J136" i="91"/>
  <c r="J134" i="91" s="1"/>
  <c r="F175" i="84" s="1"/>
  <c r="J119" i="104"/>
  <c r="F142" i="85" s="1"/>
  <c r="I130" i="91"/>
  <c r="J132" i="91"/>
  <c r="J130" i="91" s="1"/>
  <c r="I138" i="91"/>
  <c r="E179" i="84" s="1"/>
  <c r="E169" i="84"/>
  <c r="J128" i="91"/>
  <c r="J126" i="91" s="1"/>
  <c r="F167" i="84" s="1"/>
  <c r="J135" i="105"/>
  <c r="F159" i="88" s="1"/>
  <c r="F144" i="85"/>
  <c r="C80" i="91"/>
  <c r="D136" i="91" s="1"/>
  <c r="F141" i="88"/>
  <c r="E143" i="113"/>
  <c r="F136" i="85"/>
  <c r="J111" i="104"/>
  <c r="F134" i="85" s="1"/>
  <c r="F153" i="88"/>
  <c r="F147" i="88"/>
  <c r="F149" i="88"/>
  <c r="F157" i="88"/>
  <c r="F155" i="88"/>
  <c r="F36" i="2"/>
  <c r="E125" i="85" l="1"/>
  <c r="G47" i="73" s="1"/>
  <c r="G57" i="73" s="1"/>
  <c r="E123" i="105"/>
  <c r="F129" i="88" s="1"/>
  <c r="J48" i="73" s="1"/>
  <c r="J58" i="73" s="1"/>
  <c r="F138" i="85"/>
  <c r="E142" i="113"/>
  <c r="I50" i="73" s="1"/>
  <c r="K50" i="73" s="1"/>
  <c r="K60" i="73" s="1"/>
  <c r="E50" i="73"/>
  <c r="E60" i="73" s="1"/>
  <c r="M47" i="73"/>
  <c r="M57" i="73" s="1"/>
  <c r="F177" i="84"/>
  <c r="H58" i="73"/>
  <c r="F173" i="84"/>
  <c r="F169" i="84"/>
  <c r="C116" i="91"/>
  <c r="E136" i="91" s="1"/>
  <c r="E131" i="88"/>
  <c r="G48" i="73" s="1"/>
  <c r="F143" i="113"/>
  <c r="E157" i="114"/>
  <c r="E160" i="114" s="1"/>
  <c r="F81" i="86"/>
  <c r="H49" i="73" s="1"/>
  <c r="H59" i="73" s="1"/>
  <c r="C108" i="106"/>
  <c r="E79" i="86"/>
  <c r="E123" i="85"/>
  <c r="F125" i="85"/>
  <c r="H47" i="73" s="1"/>
  <c r="H57" i="73" s="1"/>
  <c r="E124" i="104"/>
  <c r="F129" i="85" s="1"/>
  <c r="N47" i="73" s="1"/>
  <c r="N57" i="73" s="1"/>
  <c r="D128" i="105"/>
  <c r="E129" i="88"/>
  <c r="F132" i="88" l="1"/>
  <c r="E128" i="105"/>
  <c r="F135" i="88" s="1"/>
  <c r="N48" i="73" s="1"/>
  <c r="N58" i="73" s="1"/>
  <c r="I49" i="73"/>
  <c r="I59" i="73" s="1"/>
  <c r="E83" i="86"/>
  <c r="E145" i="113"/>
  <c r="I60" i="73"/>
  <c r="E146" i="113"/>
  <c r="G146" i="113" s="1"/>
  <c r="F142" i="113"/>
  <c r="F146" i="113" s="1"/>
  <c r="N50" i="73" s="1"/>
  <c r="N60" i="73" s="1"/>
  <c r="F50" i="73"/>
  <c r="F60" i="73" s="1"/>
  <c r="L48" i="73"/>
  <c r="L58" i="73" s="1"/>
  <c r="E132" i="88"/>
  <c r="I48" i="73"/>
  <c r="I58" i="73" s="1"/>
  <c r="I47" i="73"/>
  <c r="K47" i="73" s="1"/>
  <c r="K57" i="73" s="1"/>
  <c r="E126" i="85"/>
  <c r="G58" i="73"/>
  <c r="E82" i="86"/>
  <c r="F79" i="86"/>
  <c r="F123" i="85"/>
  <c r="E135" i="88"/>
  <c r="G135" i="88" s="1"/>
  <c r="K49" i="73" l="1"/>
  <c r="K59" i="73" s="1"/>
  <c r="G83" i="86"/>
  <c r="M49" i="73"/>
  <c r="M59" i="73" s="1"/>
  <c r="J49" i="73"/>
  <c r="J59" i="73" s="1"/>
  <c r="F83" i="86"/>
  <c r="N49" i="73" s="1"/>
  <c r="N59" i="73" s="1"/>
  <c r="M50" i="73"/>
  <c r="M60" i="73" s="1"/>
  <c r="F145" i="113"/>
  <c r="K48" i="73"/>
  <c r="K58" i="73" s="1"/>
  <c r="M48" i="73"/>
  <c r="M58" i="73" s="1"/>
  <c r="I57" i="73"/>
  <c r="J47" i="73"/>
  <c r="L47" i="73" s="1"/>
  <c r="L57" i="73" s="1"/>
  <c r="F126" i="85"/>
  <c r="F82" i="86"/>
  <c r="L49" i="73" l="1"/>
  <c r="L59" i="73" s="1"/>
  <c r="J57" i="73"/>
  <c r="E6" i="2" l="1"/>
  <c r="D135" i="91" l="1"/>
  <c r="D134" i="91" s="1"/>
  <c r="E161" i="84" l="1"/>
  <c r="E135" i="91"/>
  <c r="E134" i="91" s="1"/>
  <c r="F159" i="84" l="1"/>
  <c r="H46" i="73" s="1"/>
  <c r="E159" i="84"/>
  <c r="F158" i="84"/>
  <c r="F46" i="73" s="1"/>
  <c r="E158" i="84"/>
  <c r="E46" i="73" s="1"/>
  <c r="E171" i="84"/>
  <c r="E172" i="84"/>
  <c r="E189" i="84" s="1"/>
  <c r="E157" i="84"/>
  <c r="E160" i="84" s="1"/>
  <c r="F172" i="84"/>
  <c r="F56" i="73" l="1"/>
  <c r="F55" i="73" s="1"/>
  <c r="F16" i="73" s="1"/>
  <c r="F45" i="73"/>
  <c r="F15" i="73" s="1"/>
  <c r="E56" i="73"/>
  <c r="E45" i="73"/>
  <c r="E15" i="73" s="1"/>
  <c r="AJ8" i="73" s="1"/>
  <c r="H56" i="73"/>
  <c r="H55" i="73" s="1"/>
  <c r="H16" i="73" s="1"/>
  <c r="H45" i="73"/>
  <c r="H15" i="73" s="1"/>
  <c r="E190" i="84"/>
  <c r="F171" i="84"/>
  <c r="F157" i="84"/>
  <c r="F160" i="84" s="1"/>
  <c r="G46" i="73"/>
  <c r="E192" i="84" l="1"/>
  <c r="E191" i="84"/>
  <c r="J46" i="73"/>
  <c r="E55" i="73"/>
  <c r="E16" i="73" s="1"/>
  <c r="G56" i="73"/>
  <c r="G55" i="73" s="1"/>
  <c r="G16" i="73" s="1"/>
  <c r="G45" i="73"/>
  <c r="G15" i="73" s="1"/>
  <c r="AJ9" i="73" s="1"/>
  <c r="E139" i="91"/>
  <c r="J56" i="73" l="1"/>
  <c r="J55" i="73" s="1"/>
  <c r="J45" i="73"/>
  <c r="L46" i="73"/>
  <c r="L56" i="73" s="1"/>
  <c r="F163" i="84"/>
  <c r="N46" i="73" s="1"/>
  <c r="I46" i="73"/>
  <c r="D139" i="91"/>
  <c r="E163" i="84" s="1"/>
  <c r="L55" i="73" l="1"/>
  <c r="J16" i="73"/>
  <c r="L16" i="73" s="1"/>
  <c r="J15" i="73"/>
  <c r="L15" i="73" s="1"/>
  <c r="L45" i="73"/>
  <c r="I56" i="73"/>
  <c r="I45" i="73"/>
  <c r="N56" i="73"/>
  <c r="N55" i="73" s="1"/>
  <c r="N16" i="73" s="1"/>
  <c r="N45" i="73"/>
  <c r="N15" i="73" s="1"/>
  <c r="K46" i="73"/>
  <c r="K56" i="73" s="1"/>
  <c r="M46" i="73" l="1"/>
  <c r="M56" i="73" s="1"/>
  <c r="M55" i="73" s="1"/>
  <c r="M16" i="73" s="1"/>
  <c r="G163" i="84"/>
  <c r="K45" i="73"/>
  <c r="I15" i="73"/>
  <c r="K15" i="73" s="1"/>
  <c r="I55" i="73"/>
  <c r="M45" i="73" l="1"/>
  <c r="M15" i="73" s="1"/>
  <c r="K55" i="73"/>
  <c r="I16" i="73"/>
  <c r="K16" i="73" s="1"/>
  <c r="AJ7"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B13" authorId="0" shapeId="0" xr:uid="{C7DBDB92-63CC-4BF6-88B0-9B9AB335B51E}">
      <text>
        <r>
          <rPr>
            <b/>
            <sz val="12"/>
            <color indexed="81"/>
            <rFont val="Tahoma"/>
            <family val="2"/>
          </rPr>
          <t xml:space="preserve"> Exemplo: </t>
        </r>
        <r>
          <rPr>
            <sz val="12"/>
            <color indexed="81"/>
            <rFont val="Tahoma"/>
            <family val="2"/>
          </rPr>
          <t>Substituição de autocarros a gasóleo por autocarros idênticos mas elétricos (com menor factor de emissão por veículo-quilómetro).</t>
        </r>
      </text>
    </comment>
    <comment ref="B18" authorId="0" shapeId="0" xr:uid="{6F363698-6533-4B39-959D-918E0E123A01}">
      <text>
        <r>
          <rPr>
            <b/>
            <sz val="12"/>
            <color indexed="81"/>
            <rFont val="Tahoma"/>
            <family val="2"/>
          </rPr>
          <t xml:space="preserve">Exemplo: </t>
        </r>
        <r>
          <rPr>
            <sz val="12"/>
            <color indexed="81"/>
            <rFont val="Tahoma"/>
            <family val="2"/>
          </rPr>
          <t xml:space="preserve">Transição do autocarro para a bicicleta elétrica partilhada para efeitos de deslocação associada a movimentos pendulares.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tc={0EF9A538-2EA2-4B8E-8958-8BB1D19CACB5}</author>
    <author>Ana Rita Sampaio</author>
  </authors>
  <commentList>
    <comment ref="B26" authorId="0" shapeId="0" xr:uid="{0EF9A538-2EA2-4B8E-8958-8BB1D19CACB5}">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De acordo com os dados do INE: nr de veiculos? Fração de energia consumida?</t>
      </text>
    </comment>
    <comment ref="G37" authorId="1" shapeId="0" xr:uid="{21911539-566B-45B7-A295-7C200864D82B}">
      <text>
        <r>
          <rPr>
            <b/>
            <sz val="9"/>
            <color indexed="81"/>
            <rFont val="Tahoma"/>
            <family val="2"/>
          </rPr>
          <t>CP elétrico</t>
        </r>
      </text>
    </comment>
    <comment ref="B44" authorId="1" shapeId="0" xr:uid="{7D1BD867-D6BF-4D3C-8596-6A8DD8961A83}">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0" authorId="1" shapeId="0" xr:uid="{CB3A94A7-BBE3-41F3-84FA-D09FFF24A0DA}">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6" authorId="1" shapeId="0" xr:uid="{3CC44535-06CB-4B60-A6C1-340906E311F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9" authorId="1" shapeId="0" xr:uid="{7972675E-B842-496A-AF96-70CAD731C6E4}">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43" authorId="0" shapeId="0" xr:uid="{1D7BA282-B0E5-4A15-8949-5C4168616EAD}">
      <text>
        <r>
          <rPr>
            <sz val="10"/>
            <color indexed="81"/>
            <rFont val="Tahoma"/>
            <family val="2"/>
          </rPr>
          <t>NUTS 2024: 
AML corresponde à NUT II  e NUT III Grande Lisboa e Peninsula de Setúbal.</t>
        </r>
      </text>
    </comment>
    <comment ref="D44" authorId="0" shapeId="0" xr:uid="{512BF3B0-86F7-4D7B-9D25-4797E71BD5AD}">
      <text>
        <r>
          <rPr>
            <sz val="10"/>
            <color indexed="81"/>
            <rFont val="Tahoma"/>
            <family val="2"/>
          </rPr>
          <t>NUTS 2024: 
AML corresponde à NUT II  e NUT III Grande Lisboa e Peninsula de Setúbal.</t>
        </r>
      </text>
    </comment>
    <comment ref="C47" authorId="0" shapeId="0" xr:uid="{61905153-F0A2-4850-9EF3-89AEFC596A7E}">
      <text>
        <r>
          <rPr>
            <sz val="10"/>
            <color indexed="81"/>
            <rFont val="Tahoma"/>
            <family val="2"/>
          </rPr>
          <t>Exemplos: iluminação urbana; unidades de ar condicionado.</t>
        </r>
      </text>
    </comment>
    <comment ref="E141" authorId="0" shapeId="0" xr:uid="{89B331B8-CD99-4697-ABC0-FAD4F3CFEADD}">
      <text>
        <r>
          <rPr>
            <sz val="10"/>
            <color indexed="81"/>
            <rFont val="Tahoma"/>
            <family val="2"/>
          </rPr>
          <t>Sem emissões de GEE da produção do transporte</t>
        </r>
      </text>
    </comment>
    <comment ref="F141" authorId="0" shapeId="0" xr:uid="{70DF4CA1-76C1-4F21-9F5C-6DA68110E021}">
      <text>
        <r>
          <rPr>
            <sz val="10"/>
            <color indexed="81"/>
            <rFont val="Tahoma"/>
            <family val="2"/>
          </rPr>
          <t>Com emissões de GEE da produção do transporte</t>
        </r>
      </text>
    </comment>
    <comment ref="C142" authorId="0" shapeId="0" xr:uid="{D8B08CB4-3F8F-456C-8DA0-97EA9771AC76}">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45" authorId="0" shapeId="0" xr:uid="{F7379660-D270-4A88-A95A-E3E30E9A30B8}">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tc={1BF180F8-CE75-48F7-BF69-6A474BA33191}</author>
    <author>Ana Rita Sampaio</author>
  </authors>
  <commentList>
    <comment ref="B42" authorId="0" shapeId="0" xr:uid="{1BF180F8-CE75-48F7-BF69-6A474BA33191}">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De acordo com os dados do INE: nr de veiculos? Fração de energia consumida?</t>
      </text>
    </comment>
    <comment ref="G52" authorId="1" shapeId="0" xr:uid="{96EB010C-6D42-44F9-999D-3C5884A05F38}">
      <text>
        <r>
          <rPr>
            <b/>
            <sz val="9"/>
            <color indexed="81"/>
            <rFont val="Tahoma"/>
            <charset val="1"/>
          </rPr>
          <t xml:space="preserve">combustão
</t>
        </r>
      </text>
    </comment>
    <comment ref="G53" authorId="1" shapeId="0" xr:uid="{DE9D30ED-E287-4642-9C42-D53E1EDC188D}">
      <text>
        <r>
          <rPr>
            <b/>
            <sz val="9"/>
            <color indexed="81"/>
            <rFont val="Tahoma"/>
            <family val="2"/>
          </rPr>
          <t>CP elétrico</t>
        </r>
      </text>
    </comment>
    <comment ref="B71" authorId="1" shapeId="0" xr:uid="{51254947-A9C4-4F9A-AEA1-DE64A8A11322}">
      <text>
        <r>
          <rPr>
            <sz val="9"/>
            <color indexed="81"/>
            <rFont val="Tahoma"/>
            <family val="2"/>
          </rPr>
          <t>Proporções retiradas de INE, 2023- estatisticas do transporte
Gasóleo-84%
Gas Natural- 16%</t>
        </r>
      </text>
    </comment>
    <comment ref="B82" authorId="1" shapeId="0" xr:uid="{12954B57-901D-4D78-AA59-895218133157}">
      <text>
        <r>
          <rPr>
            <sz val="9"/>
            <color indexed="81"/>
            <rFont val="Tahoma"/>
            <family val="2"/>
          </rPr>
          <t>Proporções retiradas de INE, 2023- estatisticas do transporte
Gasóleo-84%
Gas Natural- 16%</t>
        </r>
      </text>
    </comment>
    <comment ref="B92" authorId="1" shapeId="0" xr:uid="{4C63F218-AED9-4A04-9DC3-DC159D74188C}">
      <text>
        <r>
          <rPr>
            <sz val="9"/>
            <color indexed="81"/>
            <rFont val="Tahoma"/>
            <family val="2"/>
          </rPr>
          <t>Proporções retiradas de INE, 2023- estatisticas do transporte
Gasóleo-84%
Gas Natural- 16%</t>
        </r>
      </text>
    </comment>
    <comment ref="B129" authorId="1" shapeId="0" xr:uid="{245A53AB-5BE2-48F0-838D-AFF1663AE049}">
      <text>
        <r>
          <rPr>
            <sz val="9"/>
            <color indexed="81"/>
            <rFont val="Tahoma"/>
            <family val="2"/>
          </rPr>
          <t>Proporções retiradas de INE, 2023- estatisticas do transporte
Gasóleo-84%
Gas Natural- 16%</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I13" authorId="0" shapeId="0" xr:uid="{62C7491D-50A8-43CA-8FF7-9058A2E9CA55}">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25" authorId="0" shapeId="0" xr:uid="{5C085221-96CD-45E9-8B4B-9B18B99D7EBC}">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43" authorId="0" shapeId="0" xr:uid="{1F2600A2-A833-4B08-9725-7D1BC27A3E2C}">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I53" authorId="0" shapeId="0" xr:uid="{9609068B-9330-4391-AE94-9067C4729605}">
      <text>
        <r>
          <rPr>
            <b/>
            <sz val="12"/>
            <color indexed="81"/>
            <rFont val="Tahoma"/>
            <family val="2"/>
          </rPr>
          <t xml:space="preserve">Interpretação de resultados (emissões relativas = Re= Ab-Be):
</t>
        </r>
        <r>
          <rPr>
            <sz val="12"/>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6" authorId="0" shapeId="0" xr:uid="{F300AEF3-53E6-4AAC-BB4A-AE00E89F1B88}">
      <text>
        <r>
          <rPr>
            <sz val="14"/>
            <color indexed="81"/>
            <rFont val="Tahoma"/>
            <family val="2"/>
          </rPr>
          <t>Os fatores de emissão da tipologia de transporte e NEGRITO  foram utilizados na calculadora como padrão.</t>
        </r>
      </text>
    </comment>
    <comment ref="E6" authorId="0" shapeId="0" xr:uid="{F88B8BBB-C304-45D3-B31F-C9DDB9A44E97}">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G6" authorId="0" shapeId="0" xr:uid="{2DBB22C1-BF3C-433D-BEB1-805198D1AEA5}">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F9" authorId="0" shapeId="0" xr:uid="{75FF91BB-BF44-4C55-8058-8507B528878E}">
      <text>
        <r>
          <rPr>
            <sz val="9"/>
            <color indexed="81"/>
            <rFont val="Tahoma"/>
            <family val="2"/>
          </rPr>
          <t>Estimativa Equipa IST basedado nos FE DEFRA 2025. https://www.gov.uk/government/publications/greenhouse-gas-reporting-conversion-factors-2025
FE DEFRA 2025 (eletricity)= 0,17700 kg CO2e/kWh 
FE DEFRA 2025 (average car- batery)=0,03613 kg CO2e/km
Ocupação média (INE,2017)- 1,6 pessoas em Lisboa e Porto</t>
        </r>
      </text>
    </comment>
    <comment ref="G9" authorId="0" shapeId="0" xr:uid="{F5CD4B58-28ED-4B1F-8DB7-7CE6E01E9860}">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carro- 42,8 g CO2eq/ v.km
Produção da bateria- 58,8 g CO2eq/ v.km
Substituição da bateria- 37,8 g CO2eq/ v.km
</t>
        </r>
      </text>
    </comment>
    <comment ref="F10" authorId="0" shapeId="0" xr:uid="{CE28574D-DC27-4531-9BDC-612F9672B3F6}">
      <text>
        <r>
          <rPr>
            <sz val="9"/>
            <color indexed="81"/>
            <rFont val="Tahoma"/>
            <family val="2"/>
          </rPr>
          <t>Estimativa Equipa IST basedado nos FE DEFRA 2025. https://www.gov.uk/government/publications/greenhouse-gas-reporting-conversion-factors-2025
FE DEFRA 2025 (electricity)= 0,17700 kg CO2e/kWh  
FE DEFRA 2025 (PhugIn average car) = 0,01171  CO2ekm
Ocupação média (INE, 2017)= 1,6 pessoas em Lisboa e Porto</t>
        </r>
      </text>
    </comment>
    <comment ref="G10" authorId="0" shapeId="0" xr:uid="{68928DB1-CE4E-424D-AD3A-D92129C6E63C}">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carro- 57,2 g CO2eq/ v.km
Produção da bateria- 16,3 g CO2eq/ v.km
</t>
        </r>
      </text>
    </comment>
    <comment ref="E11" authorId="0" shapeId="0" xr:uid="{BDF5FC97-D280-4EB9-BEC1-BCE8B980C953}">
      <text>
        <r>
          <rPr>
            <sz val="9"/>
            <color indexed="81"/>
            <rFont val="Tahoma"/>
            <family val="2"/>
          </rPr>
          <t>FE Electricidade EU2023= 0,207 kgCO2e/ kWh. FE Trotineta (EU)= 0,006 kgCO2/p.km
FE Trotineta=  0,02898 kWh/p.km</t>
        </r>
      </text>
    </comment>
    <comment ref="F11" authorId="0" shapeId="0" xr:uid="{7022782C-E501-4CD3-9942-BFE55CF78CC7}">
      <text>
        <r>
          <rPr>
            <sz val="9"/>
            <color indexed="81"/>
            <rFont val="Tahoma"/>
            <family val="2"/>
          </rPr>
          <t>FE Electricidade EU2023= 0,207 kgCO2e/ kWh. FE Trotineta (EU)= 0,006 kgCO2/p.km
FE Trotineta=  0,02898 kWh/p.km</t>
        </r>
      </text>
    </comment>
    <comment ref="G11" authorId="0" shapeId="0" xr:uid="{3B0682F0-FFC1-4FDE-8F2C-0245C43778BE}">
      <text>
        <r>
          <rPr>
            <sz val="9"/>
            <color indexed="81"/>
            <rFont val="Tahoma"/>
            <family val="2"/>
          </rPr>
          <t xml:space="preserve">Estimativa Equipa IST baseada no estudo Reis, A. (2020). Assessment of environmental impacts of electric scooter through life cycle analysis. IST, Universidade de Lisboa. 76% das emissões totais referem-se à fase de produção.
</t>
        </r>
      </text>
    </comment>
    <comment ref="F12" authorId="0" shapeId="0" xr:uid="{AB738B5F-9FC2-49C7-B5AF-BF55BDB47354}">
      <text>
        <r>
          <rPr>
            <sz val="9"/>
            <color indexed="81"/>
            <rFont val="Tahoma"/>
            <family val="2"/>
          </rPr>
          <t>FE Electricidade EU2023= 0,207 kgCO2e/ kWh. FE Trotineta (EU)= 0,006 kgCO2/p.km
FE Trotineta=  0,02898 kWh/p.km</t>
        </r>
      </text>
    </comment>
    <comment ref="G12" authorId="0" shapeId="0" xr:uid="{A5AD059D-D3F2-4289-8D78-5A709BC59062}">
      <text>
        <r>
          <rPr>
            <sz val="9"/>
            <color indexed="81"/>
            <rFont val="Tahoma"/>
            <family val="2"/>
          </rPr>
          <t>Emissões de produção do veículo= 26g/pkm
Estudo OCDE (2024)</t>
        </r>
      </text>
    </comment>
    <comment ref="E13" authorId="0" shapeId="0" xr:uid="{18C57D1E-4D54-4663-A0BB-BF3EA7CBCEC8}">
      <text>
        <r>
          <rPr>
            <sz val="9"/>
            <color indexed="81"/>
            <rFont val="Tahoma"/>
            <family val="2"/>
          </rPr>
          <t>Estimativa Equipa IST baseado nas especificações do modelo Gogoro S2. Power output- 7 KW  Range- 170 km. FE de electricidade nacional. Fonte: https://www.gogoro.com/smartscooter/2-series/</t>
        </r>
      </text>
    </comment>
    <comment ref="F13" authorId="0" shapeId="0" xr:uid="{445E06A3-ABB0-476E-8F2A-86BFAEA5F6D3}">
      <text>
        <r>
          <rPr>
            <sz val="9"/>
            <color indexed="81"/>
            <rFont val="Tahoma"/>
            <family val="2"/>
          </rPr>
          <t>Estimativa Equipa IST baseado nas especificações do modelo Gogoro S2. Power output- 7 KW  Range- 170 km. FE de electricidade nacional. Fonte: https://www.gogoro.com/smartscooter/2-series/
Assume-se ocupação de 1 pessoa.</t>
        </r>
      </text>
    </comment>
    <comment ref="G13" authorId="0" shapeId="0" xr:uid="{68BB24E9-F384-4FDC-9D09-B272A3AB56F9}">
      <text>
        <r>
          <rPr>
            <sz val="9"/>
            <color indexed="81"/>
            <rFont val="Tahoma"/>
            <family val="2"/>
          </rPr>
          <t>Estimativa Equipa IST baseado no estudo Schneider, F. (2023).Comparative Life Cycle Assessment (LCA) on battery electric and combustion engine motorcycles in Taiwan. https://www.sciencedirect.com/science/article/abs/pii/S0959652623012180                                                                                                                      Valor para uma utilização de 45 368 km. Inclui emissões da fase de produção e reciclagem no fim de vida do veículo, Assume-se ocupação com 1 pessoa.</t>
        </r>
      </text>
    </comment>
    <comment ref="E14" authorId="0" shapeId="0" xr:uid="{2AD1FCF6-C5E5-4193-9EA2-C991FE485447}">
      <text>
        <r>
          <rPr>
            <sz val="9"/>
            <color indexed="81"/>
            <rFont val="Tahoma"/>
            <family val="2"/>
          </rPr>
          <t>FE Electricidade EU2023= 0,207 kgCO2e/ kWh. E-bike (EU)= 0,011 kgCO2/p.km
FE= 0,0531 kwh/p.km</t>
        </r>
      </text>
    </comment>
    <comment ref="F14" authorId="0" shapeId="0" xr:uid="{00E3EE24-5D58-42CB-A35D-F2238E8C8EC1}">
      <text>
        <r>
          <rPr>
            <sz val="9"/>
            <color indexed="81"/>
            <rFont val="Tahoma"/>
            <family val="2"/>
          </rPr>
          <t>FE Electricidade EU2023= 0,207 kgCO2e/ kWh. E-bike (EU)= 0,011 kgCO2e/p.km
FE= 0,0531 kwh/p.km</t>
        </r>
      </text>
    </comment>
    <comment ref="G14" authorId="0" shapeId="0" xr:uid="{D8346318-2089-45CD-B21B-46C87AB5A5F0}">
      <text>
        <r>
          <rPr>
            <sz val="9"/>
            <color indexed="81"/>
            <rFont val="Tahoma"/>
            <family val="2"/>
          </rPr>
          <t xml:space="preserve"> International  Transport Forum- BoardCPBGood to Go? Assessing the Environmental Performance of New Mobility:
emissões=  37 g/vkm.
GOOD TO GO? ASSESSING THE ENVIRONMENTAL PERFORMANCE OF NEW MOBILITY © OECD/ITF 2020
https://www.itf-oecd.org/good-to-go-environmental-performance-new-mobility</t>
        </r>
      </text>
    </comment>
    <comment ref="F15" authorId="0" shapeId="0" xr:uid="{3A57BFE8-6B4B-45C0-A1FF-D81F3CFBED9A}">
      <text>
        <r>
          <rPr>
            <sz val="9"/>
            <color indexed="81"/>
            <rFont val="Tahoma"/>
            <family val="2"/>
          </rPr>
          <t xml:space="preserve">Fonte: https://caetanobus.pt/en/new-eneration-zero-emission-buses/?produto=new-generation-zero-emission-buses
Bateria de litio: 281,9 kWh
Autonomia: 400 km
</t>
        </r>
      </text>
    </comment>
    <comment ref="G15" authorId="0" shapeId="0" xr:uid="{BCC0152B-2462-48F0-BFEC-BB01E5009394}">
      <text>
        <r>
          <rPr>
            <sz val="9"/>
            <color indexed="81"/>
            <rFont val="Tahoma"/>
            <family val="2"/>
          </rPr>
          <t xml:space="preserve"> International  Transport Forum- BoardCPBGood to Go? Assessing the Environmental Performance of New Mobility:
emissões=  210 g/vkm.
https://www.itf-oecd.org/good-to-go-environmental-performance-new-mobility</t>
        </r>
      </text>
    </comment>
    <comment ref="F20" authorId="0" shapeId="0" xr:uid="{75FB5633-4CA0-484D-B388-3EC990A02949}">
      <text>
        <r>
          <rPr>
            <sz val="9"/>
            <color indexed="81"/>
            <rFont val="Tahoma"/>
            <family val="2"/>
          </rPr>
          <t xml:space="preserve"> International  Transport Forum- BoardCPBGood to Go? Assessing the Environmental Performance of New Mobility:
consumo=  1,37 kWh/vkm.
GOOD TO GO? ASSESSING THE ENVIRONMENTAL PERFORMANCE OF NEW MOBILITY © OECD/ITF 2020
https://www.itf-oecd.org/good-to-go-environmental-performance-new-mobility</t>
        </r>
      </text>
    </comment>
    <comment ref="G20" authorId="0" shapeId="0" xr:uid="{42CDF862-63CC-4B12-81B6-EB1AF9392512}">
      <text>
        <r>
          <rPr>
            <sz val="9"/>
            <color indexed="81"/>
            <rFont val="Tahoma"/>
            <family val="2"/>
          </rPr>
          <t xml:space="preserve"> International  Transport Forum- BoardCPBGood to Go? Assessing the Environmental Performance of New Mobility:
emissões=  210 g/vkm.
GOOD TO GO? ASSESSING THE ENVIRONMENTAL PERFORMANCE OF NEW MOBILITY © OECD/ITF 2020
https://www.itf-oecd.org/good-to-go-environmental-performance-new-mobility</t>
        </r>
      </text>
    </comment>
    <comment ref="G22" authorId="0" shapeId="0" xr:uid="{85B616D7-3BC7-4CBE-B227-920E19A11099}">
      <text>
        <r>
          <rPr>
            <sz val="9"/>
            <color indexed="81"/>
            <rFont val="Tahoma"/>
            <family val="2"/>
          </rPr>
          <t xml:space="preserve"> International  Transport Forum- BoardCPBGood to Go? Assessing the Environmental Performance of New Mobility:
emissões=  219 g/vkm.
GOOD TO GO? ASSESSING THE ENVIRONMENTAL PERFORMANCE OF NEW MOBILITY © OECD/ITF 2020
https://www.itf-oecd.org/good-to-go-environmental-performance-new-mobility</t>
        </r>
      </text>
    </comment>
    <comment ref="F25" authorId="0" shapeId="0" xr:uid="{A2F4ADA1-CD9F-4370-B064-8F1157F9FBE4}">
      <text>
        <r>
          <rPr>
            <sz val="9"/>
            <color indexed="81"/>
            <rFont val="Tahoma"/>
            <family val="2"/>
          </rPr>
          <t>Fonte: https://caetanobus.pt/en/new-eneration-zero-emission-buses/?produto=new-generation-zero-emission-buses
Bateria de litio: 100 kWh
Autonomia: 600  km</t>
        </r>
      </text>
    </comment>
    <comment ref="G25" authorId="0" shapeId="0" xr:uid="{5FC776E3-9DC0-4AA4-B43C-F26214AB21E2}">
      <text>
        <r>
          <rPr>
            <sz val="9"/>
            <color indexed="81"/>
            <rFont val="Tahoma"/>
            <family val="2"/>
          </rPr>
          <t xml:space="preserve"> International  Transport Forum- BoardCPBGood to Go? Assessing the Environmental Performance of New Mobility:
emissões=  169 g/vkm.
GOOD TO GO? ASSESSING THE ENVIRONMENTAL PERFORMANCE OF NEW MOBILITY © OECD/ITF 2020
https://www.itf-oecd.org/good-to-go-environmental-performance-new-mobility</t>
        </r>
      </text>
    </comment>
    <comment ref="G27" authorId="0" shapeId="0" xr:uid="{7C09AFCB-F708-4781-914A-B40AC52339AB}">
      <text>
        <r>
          <rPr>
            <sz val="9"/>
            <color indexed="81"/>
            <rFont val="Tahoma"/>
            <family val="2"/>
          </rPr>
          <t xml:space="preserve"> International  Transport Forum- BoardCPBGood to Go? Assessing the Environmental Performance of New Mobility:
emissões=  219 g/vkm.
GOOD TO GO? ASSESSING THE ENVIRONMENTAL PERFORMANCE OF NEW MOBILITY © OECD/ITF 2020
https://www.itf-oecd.org/good-to-go-environmental-performance-new-mobility</t>
        </r>
      </text>
    </comment>
    <comment ref="F30" authorId="0" shapeId="0" xr:uid="{2FACC23F-3FFF-48CB-B965-6F90DDC5B6EA}">
      <text>
        <r>
          <rPr>
            <sz val="9"/>
            <color indexed="81"/>
            <rFont val="Tahoma"/>
            <family val="2"/>
          </rPr>
          <t xml:space="preserve">Fonte:
https://caetanobus.pt/en/new-eneration-zero-emission-buses/?produto=new-generation-zero-emission-buses
123 passageiros
Bateria de litio= 621kWh
Autonomia= 450km
</t>
        </r>
      </text>
    </comment>
    <comment ref="G30" authorId="0" shapeId="0" xr:uid="{C8B198D2-4C1E-459D-A441-7394921A8EBD}">
      <text>
        <r>
          <rPr>
            <sz val="9"/>
            <color indexed="81"/>
            <rFont val="Tahoma"/>
            <family val="2"/>
          </rPr>
          <t xml:space="preserve"> International  Transport Forum- BoardCPBGood to Go? Assessing the Environmental Performance of New Mobility:
emissões=  261 g/vkm.
GOOD TO GO? ASSESSING THE ENVIRONMENTAL PERFORMANCE OF NEW MOBILITY © OECD/ITF 2020
https://www.itf-oecd.org/good-to-go-environmental-performance-new-mobility</t>
        </r>
      </text>
    </comment>
    <comment ref="F35" authorId="0" shapeId="0" xr:uid="{94711C20-E04D-4F2C-B219-D0F4EC4F047D}">
      <text>
        <r>
          <rPr>
            <sz val="9"/>
            <color indexed="81"/>
            <rFont val="Tahoma"/>
            <family val="2"/>
          </rPr>
          <t xml:space="preserve">Fonte:
https://caetanobus.pt/en/new-eneration-zero-emission-buses/?produto=new-generation-zero-emission-buses
130 passageiros
Bateria de litio= 176 kWh
Autonomia= 500 km
</t>
        </r>
      </text>
    </comment>
    <comment ref="G35" authorId="0" shapeId="0" xr:uid="{69590B5F-71A1-4795-9A01-6720BC3A82E6}">
      <text>
        <r>
          <rPr>
            <sz val="9"/>
            <color indexed="81"/>
            <rFont val="Tahoma"/>
            <family val="2"/>
          </rPr>
          <t xml:space="preserve"> International  Transport Forum- BoardCPBGood to Go? Assessing the Environmental Performance of New Mobility:
emissões=  169 g/vkm.
GOOD TO GO? ASSESSING THE ENVIRONMENTAL PERFORMANCE OF NEW MOBILITY © OECD/ITF 2020
https://www.itf-oecd.org/good-to-go-environmental-performance-new-mobility</t>
        </r>
      </text>
    </comment>
    <comment ref="F40" authorId="0" shapeId="0" xr:uid="{9D9D421C-7EFD-47DD-A9D4-D59CFF0C7447}">
      <text>
        <r>
          <rPr>
            <sz val="9"/>
            <color indexed="81"/>
            <rFont val="Tahoma"/>
            <family val="2"/>
          </rPr>
          <t>Taxa ocupação (2023): 27,96%
Fonte:Relatório de Gestão &amp; Contas 2023 (https://ttsl.pt/wp-content/uploads/2025/05/TTSL_Relatorio-Gestao-e-Contas_2023.pdf)</t>
        </r>
      </text>
    </comment>
    <comment ref="G40" authorId="0" shapeId="0" xr:uid="{1104D0DB-C3AD-482C-B513-3B1475F2CCCE}">
      <text>
        <r>
          <rPr>
            <sz val="9"/>
            <color indexed="81"/>
            <rFont val="Tahoma"/>
            <family val="2"/>
          </rPr>
          <t xml:space="preserve">Nordtveit, E. (2017 ).Life Cycle Assessment of a Battery Passenger Ferry. University of Agder.
https://core.ac.uk/download/pdf/225894657.pdf
Emissões:
bateria- 14,3 g/p.km
navio- 7,4 g/p.km
valores de emissões para um navio com 26 metros e capacidade para 125 passageiros.
</t>
        </r>
      </text>
    </comment>
    <comment ref="G44" authorId="0" shapeId="0" xr:uid="{741C64CF-4DA0-42B4-9F3E-4A503325A848}">
      <text>
        <r>
          <rPr>
            <sz val="9"/>
            <color indexed="81"/>
            <rFont val="Tahoma"/>
            <family val="2"/>
          </rPr>
          <t>Comparative lifecycle cost and sustainability assessments between very-light rail and bus-rapid transit (https://www.sciencedirect.com/science/article/pii/S2590198225002088)
Valor (manufacturing Very light train)- 41,847 ton CO2e
Pressuposto- km ciclo de vida  igual a BRT- 50 000 km.</t>
        </r>
      </text>
    </comment>
    <comment ref="G47" authorId="0" shapeId="0" xr:uid="{6694F2B1-C122-4FBA-AB0A-27E9EC49F7EF}">
      <text>
        <r>
          <rPr>
            <sz val="9"/>
            <color indexed="81"/>
            <rFont val="Tahoma"/>
            <family val="2"/>
          </rPr>
          <t xml:space="preserve"> International  Transport Forum- BoardCPBGood to Go? Assessing the Environmental Performance of New Mobility:
emissões=  2 g/pkm.
https://www.itf-oecd.org/good-to-go-environmental-performance-new-mobility
</t>
        </r>
      </text>
    </comment>
    <comment ref="G48" authorId="0" shapeId="0" xr:uid="{24CB0565-6EC5-47D4-A2DA-16D2F2303E30}">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49" authorId="0" shapeId="0" xr:uid="{CF1363ED-1A66-4294-BCDF-7004A30CA0B4}">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50" authorId="0" shapeId="0" xr:uid="{C4359B67-C897-43A7-ADA2-42749A2A7E93}">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G51" authorId="0" shapeId="0" xr:uid="{DDB78426-1D02-4E75-8D8A-D996187A461A}">
      <text>
        <r>
          <rPr>
            <sz val="9"/>
            <color indexed="81"/>
            <rFont val="Tahoma"/>
            <family val="2"/>
          </rPr>
          <t xml:space="preserve"> International  Transport Forum- BoardCPBGood to Go? Assessing the Environmental Performance of New Mobility:
emissões=  2 g/pkm.
https://www.itf-oecd.org/good-to-go-environmental-performance-new-mobility</t>
        </r>
      </text>
    </comment>
    <comment ref="B53" authorId="0" shapeId="0" xr:uid="{612AB97D-88D1-40B2-9EF4-D549797C4398}">
      <text>
        <r>
          <rPr>
            <sz val="12"/>
            <color indexed="81"/>
            <rFont val="Tahoma"/>
            <family val="2"/>
          </rPr>
          <t>O fator de emissão da tipologia de transporte e NEGRITO foi utilizado na calculadora como padrão.</t>
        </r>
      </text>
    </comment>
    <comment ref="C58" authorId="0" shapeId="0" xr:uid="{CDA8D042-6DDD-497F-A594-35A496F2AC90}">
      <text>
        <r>
          <rPr>
            <sz val="14"/>
            <color indexed="81"/>
            <rFont val="Tahoma"/>
            <family val="2"/>
          </rPr>
          <t>Os fatores de emissão da tipologia de transporte e NEGRITO  foram utilizados na calculadora como padrão.</t>
        </r>
      </text>
    </comment>
    <comment ref="E58" authorId="0" shapeId="0" xr:uid="{5BA318CA-9325-4A98-AB38-53DBBA645A8A}">
      <text>
        <r>
          <rPr>
            <sz val="10"/>
            <color indexed="81"/>
            <rFont val="Tahoma"/>
            <family val="2"/>
          </rPr>
          <t xml:space="preserve">A </t>
        </r>
        <r>
          <rPr>
            <b/>
            <sz val="10"/>
            <color indexed="81"/>
            <rFont val="Tahoma"/>
            <family val="2"/>
          </rPr>
          <t>NEGRITO</t>
        </r>
        <r>
          <rPr>
            <sz val="10"/>
            <color indexed="81"/>
            <rFont val="Tahoma"/>
            <family val="2"/>
          </rPr>
          <t xml:space="preserve"> os fatores de emissão padrão</t>
        </r>
      </text>
    </comment>
    <comment ref="I58" authorId="0" shapeId="0" xr:uid="{1D970F3A-9699-4CBF-8198-59FE23916324}">
      <text>
        <r>
          <rPr>
            <sz val="10"/>
            <color indexed="81"/>
            <rFont val="Tahoma"/>
            <family val="2"/>
          </rPr>
          <t>A</t>
        </r>
        <r>
          <rPr>
            <b/>
            <sz val="10"/>
            <color indexed="81"/>
            <rFont val="Tahoma"/>
            <family val="2"/>
          </rPr>
          <t xml:space="preserve"> NEGRITO</t>
        </r>
        <r>
          <rPr>
            <sz val="10"/>
            <color indexed="81"/>
            <rFont val="Tahoma"/>
            <family val="2"/>
          </rPr>
          <t xml:space="preserve"> os fatores de emissão padrão</t>
        </r>
      </text>
    </comment>
    <comment ref="I60" authorId="0" shapeId="0" xr:uid="{F48A89AF-91D8-4B79-9142-88550178FA51}">
      <text>
        <r>
          <rPr>
            <sz val="9"/>
            <color indexed="81"/>
            <rFont val="Tahoma"/>
            <family val="2"/>
          </rPr>
          <t xml:space="preserve">Nordtveit, E. (2017 ).Life Cycle Assessment of a Battery Passenger Ferry. University of Agder.
https://core.ac.uk/download/pdf/225894657.pdf
Emissões:
barco- 2,59 g/p.km
valores de emissões para um barco com 26 metros e capacidade para 125 pessageiros.
Comprimento barcos TTSL- 40,15 metros
</t>
        </r>
      </text>
    </comment>
    <comment ref="I61" authorId="0" shapeId="0" xr:uid="{160C2916-44AE-4B77-8BDA-B396DB5F6E41}">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15481 gCO2e/ v.km</t>
        </r>
      </text>
    </comment>
    <comment ref="I66" authorId="0" shapeId="0" xr:uid="{748116DF-F145-43CD-AB6D-0E60D94A5855}">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1504 gCO2e/ v.km</t>
        </r>
      </text>
    </comment>
    <comment ref="I71" authorId="0" shapeId="0" xr:uid="{6B8710FE-4AA7-49AC-B645-E0B932840123}">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1051 gCO2e/ v.km</t>
        </r>
      </text>
    </comment>
    <comment ref="I76" authorId="0" shapeId="0" xr:uid="{D4D38A27-BB0C-4950-B5D3-14EC46E7C778}">
      <text>
        <r>
          <rPr>
            <sz val="9"/>
            <color indexed="81"/>
            <rFont val="Tahoma"/>
            <family val="2"/>
          </rPr>
          <t>OCDE and ITF. Life-Cycle Assessment of Passenger Transport: An Indian Case Study.
 https://www.itf-oecd.org/sites/default/files/docs/life-cycle-assessment-passenger-transport-india.pdf
Emissões de produção: 6%
Emissões totais ACV=  1129 gCO2e/ v.km</t>
        </r>
      </text>
    </comment>
    <comment ref="I83" authorId="0" shapeId="0" xr:uid="{50DD66D3-231F-49D9-9D5B-4C3CE9408D80}">
      <text>
        <r>
          <rPr>
            <sz val="9"/>
            <color indexed="81"/>
            <rFont val="Tahoma"/>
            <family val="2"/>
          </rPr>
          <t xml:space="preserve">Machado, C </t>
        </r>
        <r>
          <rPr>
            <i/>
            <sz val="9"/>
            <color indexed="81"/>
            <rFont val="Tahoma"/>
            <family val="2"/>
          </rPr>
          <t>et al.</t>
        </r>
        <r>
          <rPr>
            <sz val="9"/>
            <color indexed="81"/>
            <rFont val="Tahoma"/>
            <family val="2"/>
          </rPr>
          <t>(2023). Estimating CO2 Emissions for Bus Rapid Transit (BRT) Using Life Cycle Assessment: A Case Study in Rio de Janeiro City. Advances in Environmental and Engineering Research
https://www.researchgate.net/publication/367615614_Estimating_CO2_Emissions_for_Bus_Rapid_Transit_BRT_Using_Life_Cycle_Assessment_A_Case_Study_in_Rio_de_Janeiro_City
Manufacturing emissions: 3,65 g CO2/ p.km</t>
        </r>
      </text>
    </comment>
    <comment ref="I88" authorId="0" shapeId="0" xr:uid="{5CEEA4AC-91A0-47D7-905E-CC4AEAB4B874}">
      <text>
        <r>
          <rPr>
            <sz val="9"/>
            <color indexed="81"/>
            <rFont val="Tahoma"/>
            <family val="2"/>
          </rPr>
          <t xml:space="preserve">Machado, C </t>
        </r>
        <r>
          <rPr>
            <i/>
            <sz val="9"/>
            <color indexed="81"/>
            <rFont val="Tahoma"/>
            <family val="2"/>
          </rPr>
          <t>et al.</t>
        </r>
        <r>
          <rPr>
            <sz val="9"/>
            <color indexed="81"/>
            <rFont val="Tahoma"/>
            <family val="2"/>
          </rPr>
          <t>(2023). Estimating CO2 Emissions for Bus Rapid Transit (BRT) Using Life Cycle Assessment: A Case Study in Rio de Janeiro City. Advances in Environmental and Engineering Research
https://www.researchgate.net/publication/367615614_Estimating_CO2_Emissions_for_Bus_Rapid_Transit_BRT_Using_Life_Cycle_Assessment_A_Case_Study_in_Rio_de_Janeiro_City
Manufacturing emissions: 3,65 g CO2/ p.km</t>
        </r>
      </text>
    </comment>
    <comment ref="I91" authorId="0" shapeId="0" xr:uid="{DD73B88D-93E3-492F-BFE6-AEA3266EF8D2}">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2" authorId="0" shapeId="0" xr:uid="{11120DD5-9043-4962-B29B-A0041D927FB7}">
      <text>
        <r>
          <rPr>
            <sz val="9"/>
            <color indexed="81"/>
            <rFont val="Tahoma"/>
            <family val="2"/>
          </rPr>
          <t>Taxa de ocupação 1,6 (INE,2017)</t>
        </r>
      </text>
    </comment>
    <comment ref="I94" authorId="0" shapeId="0" xr:uid="{2F28642F-DD9B-4CE5-9D95-259F083A6B82}">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5" authorId="0" shapeId="0" xr:uid="{2531D111-6139-4EC8-96F2-8009BF6C2D97}">
      <text>
        <r>
          <rPr>
            <sz val="9"/>
            <color indexed="81"/>
            <rFont val="Tahoma"/>
            <family val="2"/>
          </rPr>
          <t>Taxa de ocupação 1,6 (INE,2017)</t>
        </r>
      </text>
    </comment>
    <comment ref="I97" authorId="0" shapeId="0" xr:uid="{329768DC-1B25-4721-8B95-FA8C2D30052F}">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98" authorId="0" shapeId="0" xr:uid="{A2712E40-78DB-4C91-B2B9-E5FE1B8787E6}">
      <text>
        <r>
          <rPr>
            <sz val="9"/>
            <color indexed="81"/>
            <rFont val="Tahoma"/>
            <family val="2"/>
          </rPr>
          <t>Taxa de ocupação 1,6 (INE,2017)</t>
        </r>
      </text>
    </comment>
    <comment ref="I100" authorId="0" shapeId="0" xr:uid="{5900B0DA-B744-4AF2-B2AB-3680EA952A3C}">
      <text>
        <r>
          <rPr>
            <sz val="9"/>
            <color indexed="81"/>
            <rFont val="Tahoma"/>
            <family val="2"/>
          </rPr>
          <t xml:space="preserve">Estimativa IST com recurso à calculadora EV Life Cycle Assessment Calculator: https://www.iea.org/data-and-statistics/data-tools/ev-life-cycle-assessment-calculator#overview
Pressupostos:                                                                      Distância média percorrida/ dia - 14km (INE,2017)
Tempo de vida - 15 anos
Visualizado em Agosto 2025
Produção do carro- 48,9 g CO2eq/ v.km
</t>
        </r>
      </text>
    </comment>
    <comment ref="E101" authorId="0" shapeId="0" xr:uid="{CE9722AE-1681-4F00-B81E-1FBF86900307}">
      <text>
        <r>
          <rPr>
            <sz val="9"/>
            <color indexed="81"/>
            <rFont val="Tahoma"/>
            <family val="2"/>
          </rPr>
          <t>Taxa de ocupação 1,6 (INE,2017)</t>
        </r>
      </text>
    </comment>
    <comment ref="I103" authorId="0" shapeId="0" xr:uid="{5F7549AF-0A9C-4F62-9527-596674CAE4F1}">
      <text>
        <r>
          <rPr>
            <sz val="9"/>
            <color indexed="81"/>
            <rFont val="Tahoma"/>
            <family val="2"/>
          </rPr>
          <t xml:space="preserve">Schneider, F. </t>
        </r>
        <r>
          <rPr>
            <i/>
            <sz val="9"/>
            <color indexed="81"/>
            <rFont val="Tahoma"/>
            <family val="2"/>
          </rPr>
          <t xml:space="preserve">et al. </t>
        </r>
        <r>
          <rPr>
            <sz val="9"/>
            <color indexed="81"/>
            <rFont val="Tahoma"/>
            <family val="2"/>
          </rPr>
          <t>(2023). Comparative Life Cycle Assessment (LCA) on battery electric and combustion engine motorcycles in Taiwan. Journal of Cleaner Production
https://www.sciencedirect.com/science/article/abs/pii/S0959652623012180
Emissóes ACV (produção)= 382 kgCO2e
Pressuposto IST:10000 km/ano</t>
        </r>
      </text>
    </comment>
    <comment ref="I106" authorId="0" shapeId="0" xr:uid="{77C0E6A4-B644-406C-99C8-E72FD3CF918A}">
      <text>
        <r>
          <rPr>
            <sz val="9"/>
            <color indexed="81"/>
            <rFont val="Tahoma"/>
            <family val="2"/>
          </rPr>
          <t xml:space="preserve">Schneider, F. </t>
        </r>
        <r>
          <rPr>
            <i/>
            <sz val="9"/>
            <color indexed="81"/>
            <rFont val="Tahoma"/>
            <family val="2"/>
          </rPr>
          <t xml:space="preserve">et al. </t>
        </r>
        <r>
          <rPr>
            <sz val="9"/>
            <color indexed="81"/>
            <rFont val="Tahoma"/>
            <family val="2"/>
          </rPr>
          <t>(2023). Comparative Life Cycle Assessment (LCA) on battery electric and combustion engine motorcycles in Taiwan. Journal of Cleaner Production
https://www.sciencedirect.com/science/article/abs/pii/S0959652623012180
Emissões ACV (produção)= 382 kgCO2e
Pressuposto IST:10000 km/ano ; 
tempo de vida 2 anos</t>
        </r>
      </text>
    </comment>
    <comment ref="I109" authorId="0" shapeId="0" xr:uid="{92B94C8E-5354-428A-BF75-A7E643F4833C}">
      <text>
        <r>
          <rPr>
            <sz val="9"/>
            <color indexed="81"/>
            <rFont val="Tahoma"/>
            <family val="2"/>
          </rPr>
          <t xml:space="preserve"> International  Transport Forum- BoardCPBGood to Go? Assessing the Environmental Performance of New Mobility:
emissões=  385 g/vkm.
https://www.itf-oecd.org/good-to-go-environmental-performance-new-mobility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15" authorId="0" shapeId="0" xr:uid="{371147AA-F92D-40CB-AF27-74544A6F009C}">
      <text>
        <r>
          <rPr>
            <sz val="14"/>
            <color indexed="81"/>
            <rFont val="Tahoma"/>
            <family val="2"/>
          </rPr>
          <t xml:space="preserve">As tipologias consideradas para o cálculo das emissões de GEE são:
      - Bicicletas elétricas
      - Motociclos elétricos
      - Trotinetas partilhadas
      - Trotinetas privadas
Para cada tipologia de projeto são considerados os tipos de transporte a adquirir pelo projeto  e o transporte a substituir (i.e. a descontinuar).  </t>
        </r>
        <r>
          <rPr>
            <sz val="9"/>
            <color indexed="81"/>
            <rFont val="Tahoma"/>
            <family val="2"/>
          </rPr>
          <t xml:space="preserve">
</t>
        </r>
      </text>
    </comment>
    <comment ref="H17" authorId="0" shapeId="0" xr:uid="{ABD4E2C4-30B0-45EF-A857-19813BBD41F0}">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r>
          <rPr>
            <sz val="9"/>
            <color indexed="81"/>
            <rFont val="Tahoma"/>
            <family val="2"/>
          </rPr>
          <t xml:space="preserve">
</t>
        </r>
      </text>
    </comment>
    <comment ref="M17" authorId="0" shapeId="0" xr:uid="{651426FE-3784-459E-9BAD-21B6FF90309A}">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18" authorId="0" shapeId="0" xr:uid="{2936F3CD-DA2F-4D15-AC9A-69CDD1B34EF3}">
      <text>
        <r>
          <rPr>
            <sz val="18"/>
            <color indexed="81"/>
            <rFont val="Tahoma"/>
            <family val="2"/>
          </rPr>
          <t>Ano típico do projeto é igual a n+2 em que "n" é o ano de  ínicio de operação do projeto</t>
        </r>
        <r>
          <rPr>
            <b/>
            <sz val="9"/>
            <color indexed="81"/>
            <rFont val="Tahoma"/>
            <family val="2"/>
          </rPr>
          <t xml:space="preserve">
</t>
        </r>
      </text>
    </comment>
    <comment ref="D26" authorId="0" shapeId="0" xr:uid="{3C7E5824-DA58-4269-92A3-DCF2905C47C7}">
      <text>
        <r>
          <rPr>
            <sz val="14"/>
            <color indexed="81"/>
            <rFont val="Tahoma"/>
            <family val="2"/>
          </rPr>
          <t>Sem emissões de GEE da produção do transporte</t>
        </r>
      </text>
    </comment>
    <comment ref="H26" authorId="0" shapeId="0" xr:uid="{7FF4D4A1-917B-4AEC-AF4D-06252975264B}">
      <text>
        <r>
          <rPr>
            <sz val="14"/>
            <color indexed="81"/>
            <rFont val="Tahoma"/>
            <family val="2"/>
          </rPr>
          <t>Com emissões de GEE da produção do transporte</t>
        </r>
      </text>
    </comment>
    <comment ref="C33" authorId="0" shapeId="0" xr:uid="{8EC1F4A4-EFD4-40CD-8398-291849CAE60B}">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34" authorId="0" shapeId="0" xr:uid="{50EBB5F1-0616-46C8-92E5-77645585092B}">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40" authorId="0" shapeId="0" xr:uid="{55C86C9E-884C-4ED8-8CEE-FEF595F19F65}">
      <text>
        <r>
          <rPr>
            <sz val="14"/>
            <color indexed="81"/>
            <rFont val="Tahoma"/>
            <family val="2"/>
          </rPr>
          <t>As tipologias consideradas para o cálculo das emissões relativas em projetos de transporte
        rodoviário de passageiros são:
      - Minibus com capacidade média até 40 passageiros
      - Autocarros Standard com capacidade média até 85 passageiros
      - Autocarros articulados/ BRTs (Bus Rapid Transit) com capacidade  média até 130 passageiros
Para cada tipologia de projeto são considerados o transporte a adquirir pelo projeto  e o transporte a substituir (i.e. a descontinuar).</t>
        </r>
        <r>
          <rPr>
            <sz val="9"/>
            <color indexed="81"/>
            <rFont val="Tahoma"/>
            <charset val="1"/>
          </rPr>
          <t xml:space="preserve">  </t>
        </r>
      </text>
    </comment>
    <comment ref="H42" authorId="0" shapeId="0" xr:uid="{1B077DAE-3CCF-46CF-B777-7755F5B7287C}">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r>
          <rPr>
            <sz val="9"/>
            <color indexed="81"/>
            <rFont val="Tahoma"/>
            <family val="2"/>
          </rPr>
          <t xml:space="preserve">
</t>
        </r>
      </text>
    </comment>
    <comment ref="M42" authorId="0" shapeId="0" xr:uid="{D9079CA5-B39B-4820-9386-B20772EEE533}">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43" authorId="0" shapeId="0" xr:uid="{AC37F74A-D212-4FB0-A548-93E36BB73C48}">
      <text>
        <r>
          <rPr>
            <sz val="18"/>
            <color indexed="81"/>
            <rFont val="Tahoma"/>
            <family val="2"/>
          </rPr>
          <t>Ano típico do projeto é igual a n+2 em que "n" é o ano de  ínicio de operação do projeto</t>
        </r>
        <r>
          <rPr>
            <b/>
            <sz val="9"/>
            <color indexed="81"/>
            <rFont val="Tahoma"/>
            <family val="2"/>
          </rPr>
          <t xml:space="preserve">
</t>
        </r>
      </text>
    </comment>
    <comment ref="C44" authorId="0" shapeId="0" xr:uid="{02353CA0-B081-48B9-86CA-ADE7296B88C7}">
      <text>
        <r>
          <rPr>
            <sz val="14"/>
            <color indexed="81"/>
            <rFont val="Tahoma"/>
            <family val="2"/>
          </rPr>
          <t>Minibus: &lt; 40 passageiros
Autocarros elétricos (incluindo 
hidrogénio)</t>
        </r>
      </text>
    </comment>
    <comment ref="C45" authorId="0" shapeId="0" xr:uid="{D6527B0C-2DA1-44B2-98BC-935871B7E676}">
      <text>
        <r>
          <rPr>
            <sz val="14"/>
            <color indexed="81"/>
            <rFont val="Tahoma"/>
            <family val="2"/>
          </rPr>
          <t>Minibus: &lt; 40 passageiros</t>
        </r>
      </text>
    </comment>
    <comment ref="C46" authorId="0" shapeId="0" xr:uid="{A4D46181-5C48-47F2-A79F-780328000A73}">
      <text>
        <r>
          <rPr>
            <sz val="14"/>
            <color indexed="81"/>
            <rFont val="Tahoma"/>
            <family val="2"/>
          </rPr>
          <t xml:space="preserve"> Autocarro Standard: &lt; 85 passageiros
Autocarros elétricos (incluindo 
hidrogénio)</t>
        </r>
      </text>
    </comment>
    <comment ref="C47" authorId="0" shapeId="0" xr:uid="{6D1711A8-3848-46E6-B342-6BE30517BC9F}">
      <text>
        <r>
          <rPr>
            <b/>
            <sz val="9"/>
            <color indexed="81"/>
            <rFont val="Tahoma"/>
            <family val="2"/>
          </rPr>
          <t xml:space="preserve"> </t>
        </r>
        <r>
          <rPr>
            <sz val="14"/>
            <color indexed="81"/>
            <rFont val="Tahoma"/>
            <family val="2"/>
          </rPr>
          <t>Autocarro Standard: &lt; 85 passageiros</t>
        </r>
      </text>
    </comment>
    <comment ref="C48" authorId="0" shapeId="0" xr:uid="{42ECC2F7-C969-40FE-9009-D2FBBBA23B9D}">
      <text>
        <r>
          <rPr>
            <sz val="14"/>
            <color indexed="81"/>
            <rFont val="Tahoma"/>
            <family val="2"/>
          </rPr>
          <t>Autocarros Articulados/ BRTs: &lt;130 passageiros
Autocarros elétricos (incluindo hidrogénio)</t>
        </r>
      </text>
    </comment>
    <comment ref="C49" authorId="0" shapeId="0" xr:uid="{A68360C4-4F76-4176-ACC4-2AB9CEF5F25C}">
      <text>
        <r>
          <rPr>
            <sz val="14"/>
            <color indexed="81"/>
            <rFont val="Tahoma"/>
            <family val="2"/>
          </rPr>
          <t>Autocarros Articulados/ BRTs: &lt;130 passageiros</t>
        </r>
        <r>
          <rPr>
            <b/>
            <sz val="14"/>
            <color indexed="81"/>
            <rFont val="Tahoma"/>
            <family val="2"/>
          </rPr>
          <t xml:space="preserve">
</t>
        </r>
      </text>
    </comment>
    <comment ref="D53" authorId="0" shapeId="0" xr:uid="{6BA2BAAC-FF2C-4FFF-8F91-EBBE08835339}">
      <text>
        <r>
          <rPr>
            <sz val="14"/>
            <color indexed="81"/>
            <rFont val="Tahoma"/>
            <family val="2"/>
          </rPr>
          <t>Sem emissões de GEE da produção do transporte</t>
        </r>
      </text>
    </comment>
    <comment ref="H53" authorId="0" shapeId="0" xr:uid="{2752A465-48C4-4FFA-B3D5-9FD4F22D83C9}">
      <text>
        <r>
          <rPr>
            <sz val="14"/>
            <color indexed="81"/>
            <rFont val="Tahoma"/>
            <family val="2"/>
          </rPr>
          <t>Com emissões de GEE da produção do transporte</t>
        </r>
      </text>
    </comment>
    <comment ref="C55" authorId="0" shapeId="0" xr:uid="{7F59B89A-1EB8-44C1-81CC-3CB1E040E76B}">
      <text>
        <r>
          <rPr>
            <sz val="14"/>
            <color indexed="81"/>
            <rFont val="Tahoma"/>
            <family val="2"/>
          </rPr>
          <t>Minibus: &lt; 40 passageiros
Autocarros elétricos (incluindo 
hidrogénio)</t>
        </r>
      </text>
    </comment>
    <comment ref="C56" authorId="0" shapeId="0" xr:uid="{F86E80EE-33DA-4C80-925E-3A1571B0210C}">
      <text>
        <r>
          <rPr>
            <sz val="14"/>
            <color indexed="81"/>
            <rFont val="Tahoma"/>
            <family val="2"/>
          </rPr>
          <t>Minibus: &lt; 40 passageiros</t>
        </r>
      </text>
    </comment>
    <comment ref="C57" authorId="0" shapeId="0" xr:uid="{4B861E58-433C-4869-8DF9-4E2E64D82223}">
      <text>
        <r>
          <rPr>
            <sz val="14"/>
            <color indexed="81"/>
            <rFont val="Tahoma"/>
            <family val="2"/>
          </rPr>
          <t xml:space="preserve"> Autocarro Standard: &lt; 85 passageiros
Autocarros elétricos (incluindo 
hidrogénio)</t>
        </r>
      </text>
    </comment>
    <comment ref="C58" authorId="0" shapeId="0" xr:uid="{A6984B5A-E8AA-4B14-B753-E716EAC7B30D}">
      <text>
        <r>
          <rPr>
            <b/>
            <sz val="9"/>
            <color indexed="81"/>
            <rFont val="Tahoma"/>
            <family val="2"/>
          </rPr>
          <t xml:space="preserve"> </t>
        </r>
        <r>
          <rPr>
            <sz val="14"/>
            <color indexed="81"/>
            <rFont val="Tahoma"/>
            <family val="2"/>
          </rPr>
          <t>Autocarro Standard: &lt; 85 passageiros</t>
        </r>
      </text>
    </comment>
    <comment ref="C59" authorId="0" shapeId="0" xr:uid="{AACFC3A2-1912-4CEB-92EA-10C1BEEA9634}">
      <text>
        <r>
          <rPr>
            <sz val="14"/>
            <color indexed="81"/>
            <rFont val="Tahoma"/>
            <family val="2"/>
          </rPr>
          <t>Autocarros Articulados/ BRTs: &lt;130 passageiros
Autocarros elétricos (incluindo hidrogénio)</t>
        </r>
      </text>
    </comment>
    <comment ref="C60" authorId="0" shapeId="0" xr:uid="{E8D3CAC9-2FBF-41C9-9419-AA726EE1F883}">
      <text>
        <r>
          <rPr>
            <sz val="14"/>
            <color indexed="81"/>
            <rFont val="Tahoma"/>
            <family val="2"/>
          </rPr>
          <t>Autocarros Articulados/ BRTs: &lt;130 passageiros</t>
        </r>
        <r>
          <rPr>
            <b/>
            <sz val="14"/>
            <color indexed="81"/>
            <rFont val="Tahoma"/>
            <family val="2"/>
          </rPr>
          <t xml:space="preserve">
</t>
        </r>
      </text>
    </comment>
    <comment ref="C62" authorId="0" shapeId="0" xr:uid="{DC5E7AD6-8AE6-4972-99F0-2299C5867C61}">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63" authorId="0" shapeId="0" xr:uid="{11FE38D7-C401-45E5-A7D6-0324FED1237E}">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69" authorId="0" shapeId="0" xr:uid="{27E76D25-A3C1-4C9E-B724-92F9ED0B471E}">
      <text>
        <r>
          <rPr>
            <sz val="14"/>
            <color indexed="81"/>
            <rFont val="Tahoma"/>
            <family val="2"/>
          </rPr>
          <t xml:space="preserve"> As tipologias consideradas para o cálculo das emissões são:
      - Comboios urbanos
      - Comboios (metro subterrâneo)
      - Comboios (metro de superfície)
       - Comboios (metro de superfície + subterrâneo)
       - Elétricos
Para cada tipologia de projeto são considerados o material circulante a adquirir pelo projeto  e o material circulante a substituir (i.e. a descontinuar).  </t>
        </r>
      </text>
    </comment>
    <comment ref="H71" authorId="0" shapeId="0" xr:uid="{787B5E5F-2136-4F20-8951-A9290790847A}">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t>
        </r>
      </text>
    </comment>
    <comment ref="M71" authorId="0" shapeId="0" xr:uid="{617FA4B0-EDC1-41DB-BA46-D08BBE12C08B}">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72" authorId="0" shapeId="0" xr:uid="{FB2ACE48-5630-4FA9-B98F-693A8330C2E0}">
      <text>
        <r>
          <rPr>
            <sz val="18"/>
            <color indexed="81"/>
            <rFont val="Tahoma"/>
            <family val="2"/>
          </rPr>
          <t>Ano típico do projeto é igual a n+2 em que "n" é o ano de  ínicio de operação do projeto</t>
        </r>
        <r>
          <rPr>
            <b/>
            <sz val="9"/>
            <color indexed="81"/>
            <rFont val="Tahoma"/>
            <family val="2"/>
          </rPr>
          <t xml:space="preserve">
</t>
        </r>
      </text>
    </comment>
    <comment ref="D81" authorId="0" shapeId="0" xr:uid="{D68B18A8-D410-41AA-B4C9-316633DC92BD}">
      <text>
        <r>
          <rPr>
            <sz val="14"/>
            <color indexed="81"/>
            <rFont val="Tahoma"/>
            <family val="2"/>
          </rPr>
          <t>Sem emissões de GEE da produção do transporte</t>
        </r>
      </text>
    </comment>
    <comment ref="H81" authorId="0" shapeId="0" xr:uid="{A2281CCF-94ED-494E-904B-94151656CA15}">
      <text>
        <r>
          <rPr>
            <sz val="14"/>
            <color indexed="81"/>
            <rFont val="Tahoma"/>
            <family val="2"/>
          </rPr>
          <t>Com emissões de GEE da produção do transporte</t>
        </r>
      </text>
    </comment>
    <comment ref="E82" authorId="0" shapeId="0" xr:uid="{F9D361F4-C349-4223-A3B1-EFA54B771D62}">
      <text>
        <r>
          <rPr>
            <sz val="14"/>
            <color indexed="81"/>
            <rFont val="Tahoma"/>
            <family val="2"/>
          </rPr>
          <t>Interpretação de resultados (emissões relativas = Re= Ab-Be):
(A) Se Re &lt; 0, o projeto contribui para a redução das emissões de GEE relativamente às emissões do cenário de referência (SEM projeto) considerado. 
(B) Se Re = 0, o projeto apresenta emissões de GEE iguais às emissões do cenário de referência (SEM projeto) considerado.
(C) Se Re &gt;0, o projeto contribui para o incremento das emissões de GEE relativamente às emissões do cenário de referência (SEM projeto) considerado.</t>
        </r>
      </text>
    </comment>
    <comment ref="C89" authorId="0" shapeId="0" xr:uid="{9E49CD17-6599-467E-AF4F-E30D96AF845A}">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90" authorId="0" shapeId="0" xr:uid="{758B0E6B-48E0-4203-89FD-D98C6240B593}">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96" authorId="0" shapeId="0" xr:uid="{4F0D2036-D987-4F10-BE2F-82D12BC59ED8}">
      <text>
        <r>
          <rPr>
            <sz val="14"/>
            <color indexed="81"/>
            <rFont val="Tahoma"/>
            <family val="2"/>
          </rPr>
          <t>As tipologias consideradas para o cálculo das emissões relativas em projetos de transporte rodoviário de passageiros são:
      - Navios/ embarcações para trnasporte de passageiros
Para cada tipologia de projeto são considerados o transporte a adquirir pelo projeto  e o transporte a substituir (i.e. a descontinuar).</t>
        </r>
      </text>
    </comment>
    <comment ref="H98" authorId="0" shapeId="0" xr:uid="{551653C7-F14D-4380-A7DD-63B511BF58D2}">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
</t>
        </r>
      </text>
    </comment>
    <comment ref="M98" authorId="0" shapeId="0" xr:uid="{5976E711-B19C-469D-96B4-AD483D7F1C86}">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99" authorId="0" shapeId="0" xr:uid="{FC8AE19F-90F9-4492-BCEF-218DE103C79B}">
      <text>
        <r>
          <rPr>
            <sz val="18"/>
            <color indexed="81"/>
            <rFont val="Tahoma"/>
            <family val="2"/>
          </rPr>
          <t>Ano típico do projeto é igual a n+2 em que "n" é o ano de  ínicio de operação do projeto</t>
        </r>
        <r>
          <rPr>
            <b/>
            <sz val="9"/>
            <color indexed="81"/>
            <rFont val="Tahoma"/>
            <family val="2"/>
          </rPr>
          <t xml:space="preserve">
</t>
        </r>
      </text>
    </comment>
    <comment ref="D104" authorId="0" shapeId="0" xr:uid="{2DCE0107-D53F-46A4-A283-27B014AF2303}">
      <text>
        <r>
          <rPr>
            <sz val="14"/>
            <color indexed="81"/>
            <rFont val="Tahoma"/>
            <family val="2"/>
          </rPr>
          <t>Sem emissões de GEE da produção do transporte</t>
        </r>
      </text>
    </comment>
    <comment ref="H104" authorId="0" shapeId="0" xr:uid="{FCA95851-BD54-4AED-8AE8-691C2451DBAE}">
      <text>
        <r>
          <rPr>
            <sz val="14"/>
            <color indexed="81"/>
            <rFont val="Tahoma"/>
            <family val="2"/>
          </rPr>
          <t>Com emissões de GEE da produção do transporte</t>
        </r>
      </text>
    </comment>
    <comment ref="C106" authorId="0" shapeId="0" xr:uid="{B22F0025-7A04-4102-93E1-B334DC09B4EB}">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07" authorId="0" shapeId="0" xr:uid="{6D64A3A7-CDB7-44DD-94FE-150F9C3460AA}">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113" authorId="0" shapeId="0" xr:uid="{A902BA4F-5AFC-48A8-9EB1-855E1BBFF549}">
      <text>
        <r>
          <rPr>
            <sz val="14"/>
            <color indexed="81"/>
            <rFont val="Tahoma"/>
            <family val="2"/>
          </rPr>
          <t>As tipologias consideradas para o cálculo das emissões relativas em projetos de:
- carregamento de veículos elétricos
- carregamento de navios/embarcações
Para cada tipologia de projeto são considerados o transporte a adquirir pelo projeto  e o transporte a substituir (i.e. a descontinuar).  
Começar por indicar o tipo de transporte sujeito a carregamento veículo/ embarcação e completar as seguintes tabelas (dados do projeto e fatores de emissão do transporte.</t>
        </r>
      </text>
    </comment>
    <comment ref="H115" authorId="0" shapeId="0" xr:uid="{9DDF4F99-8055-4BAE-B2F1-CB7236FEDD5F}">
      <text>
        <r>
          <rPr>
            <sz val="14"/>
            <color indexed="81"/>
            <rFont val="Tahoma"/>
            <family val="2"/>
          </rPr>
          <t xml:space="preserve">Preenchimento dos campos dos fatores de emissão dos modos de transporte a substituir
         1. Introduzir o fator de emissão de GEE  para os tipos de transporte previstos no
            projeto.
</t>
        </r>
        <r>
          <rPr>
            <b/>
            <sz val="14"/>
            <color indexed="81"/>
            <rFont val="Tahoma"/>
            <family val="2"/>
          </rPr>
          <t xml:space="preserve">          
 Nota 1:</t>
        </r>
        <r>
          <rPr>
            <sz val="14"/>
            <color indexed="81"/>
            <rFont val="Tahoma"/>
            <family val="2"/>
          </rPr>
          <t xml:space="preserve"> Não existem fatores de emissão padrão para o transporte. Contudo, podem ser consultados exemplos de fatores de emissão para o transporte no separador "Fatores de emissão". 
</t>
        </r>
        <r>
          <rPr>
            <b/>
            <sz val="14"/>
            <color indexed="81"/>
            <rFont val="Tahoma"/>
            <family val="2"/>
          </rPr>
          <t xml:space="preserve"> Nota 2:</t>
        </r>
        <r>
          <rPr>
            <sz val="14"/>
            <color indexed="81"/>
            <rFont val="Tahoma"/>
            <family val="2"/>
          </rPr>
          <t xml:space="preserve"> O transporte a adquirir e a substituir pelo projeto (i.e. a descontinuar) devem  ter fatores de emissão diferentes.</t>
        </r>
      </text>
    </comment>
    <comment ref="M115" authorId="0" shapeId="0" xr:uid="{C813168D-9649-449A-ACCD-0F313CC7727F}">
      <text>
        <r>
          <rPr>
            <sz val="14"/>
            <color indexed="81"/>
            <rFont val="Tahoma"/>
            <family val="2"/>
          </rPr>
          <t>Preenchimento dos campos dos fatores de emissão transporte a
adquirir
         1. Introduzir o fator de emissão de GEE  para os tipos de
            transporte previstos no projeto.
 Nota 1: Não existem fatores de emissão padrão para o transporte. Contudo, podem ser consultados exemplos de fatores de emissão para o transporte no separador "Fatores de emissão". 
 Nota 2: O transporte a adquirir e a substituir pelo projeto (i.e. a descontinuar) devem ter fatores de emissão diferentes.</t>
        </r>
      </text>
    </comment>
    <comment ref="F116" authorId="0" shapeId="0" xr:uid="{EC99F2E9-5A40-4909-B8F6-0593CE2AD268}">
      <text>
        <r>
          <rPr>
            <sz val="18"/>
            <color indexed="81"/>
            <rFont val="Tahoma"/>
            <family val="2"/>
          </rPr>
          <t>Ano típico do projeto é igual a n+2 em que "n" é o ano de  ínicio de operação do projeto</t>
        </r>
        <r>
          <rPr>
            <b/>
            <sz val="9"/>
            <color indexed="81"/>
            <rFont val="Tahoma"/>
            <family val="2"/>
          </rPr>
          <t xml:space="preserve">
</t>
        </r>
      </text>
    </comment>
    <comment ref="D124" authorId="0" shapeId="0" xr:uid="{B10C0D49-528C-4F86-9D17-357F8CEE313A}">
      <text>
        <r>
          <rPr>
            <sz val="14"/>
            <color indexed="81"/>
            <rFont val="Tahoma"/>
            <family val="2"/>
          </rPr>
          <t>Sem emissões de GEE da produção do transporte</t>
        </r>
      </text>
    </comment>
    <comment ref="H124" authorId="0" shapeId="0" xr:uid="{C4883146-FF75-4EF2-B2AE-F44EF8BD1BAF}">
      <text>
        <r>
          <rPr>
            <sz val="14"/>
            <color indexed="81"/>
            <rFont val="Tahoma"/>
            <family val="2"/>
          </rPr>
          <t>Com emissões de GEE da produção do transporte</t>
        </r>
      </text>
    </comment>
    <comment ref="C131" authorId="0" shapeId="0" xr:uid="{5823C5B2-7919-4C0D-B72D-1BF67E78DD76}">
      <text>
        <r>
          <rPr>
            <sz val="14"/>
            <color theme="1"/>
            <rFont val="Tahoma"/>
            <family val="2"/>
          </rPr>
          <t>Interpretação de resultados (emissões relativas = Re= Ab-Be):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32" authorId="0" shapeId="0" xr:uid="{86B33891-6C09-4065-83A6-0E3F027CD8B1}">
      <text>
        <r>
          <rPr>
            <sz val="14"/>
            <color indexed="81"/>
            <rFont val="Tahoma"/>
            <family val="2"/>
          </rPr>
          <t>Interpretação dos resultados (emissões evitadas = - Re= Be- Ab)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37" authorId="0" shapeId="0" xr:uid="{CFB69B78-E706-4844-ABF5-A907201BE523}">
      <text>
        <r>
          <rPr>
            <sz val="10"/>
            <color indexed="81"/>
            <rFont val="Tahoma"/>
            <family val="2"/>
          </rPr>
          <t>NUTS 2024: 
AML corresponde à NUT II  e NUT III Grande Lisboa e Peninsula de Setúbal.</t>
        </r>
      </text>
    </comment>
    <comment ref="C40" authorId="0" shapeId="0" xr:uid="{64DB3FC5-3D97-4B32-A4EC-1AF6C7B2E946}">
      <text>
        <r>
          <rPr>
            <sz val="10"/>
            <color indexed="81"/>
            <rFont val="Tahoma"/>
            <family val="2"/>
          </rPr>
          <t>Exemplo: iluminação urbana</t>
        </r>
      </text>
    </comment>
    <comment ref="E156" authorId="0" shapeId="0" xr:uid="{D2980A2A-BE13-413F-A6C9-05FF998E9CA8}">
      <text>
        <r>
          <rPr>
            <sz val="10"/>
            <color indexed="81"/>
            <rFont val="Tahoma"/>
            <family val="2"/>
          </rPr>
          <t>Sem emissões de GEE da produção do transporte</t>
        </r>
      </text>
    </comment>
    <comment ref="F156" authorId="0" shapeId="0" xr:uid="{5852A6B0-ADC9-4724-B4CE-DD599A91101A}">
      <text>
        <r>
          <rPr>
            <sz val="10"/>
            <color indexed="81"/>
            <rFont val="Tahoma"/>
            <family val="2"/>
          </rPr>
          <t>Com emissões de GEE da produção do transporte</t>
        </r>
      </text>
    </comment>
    <comment ref="C157" authorId="0" shapeId="0" xr:uid="{87BDFD6D-91F4-4657-99CE-5A6DC9DA9F73}">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60" authorId="0" shapeId="0" xr:uid="{CB530341-386B-47EA-B418-720BAB8420C2}">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166" authorId="0" shapeId="0" xr:uid="{671E5231-BF23-4ABB-BBC5-5AC8B5AD699D}">
      <text>
        <r>
          <rPr>
            <sz val="10"/>
            <color indexed="81"/>
            <rFont val="Tahoma"/>
            <family val="2"/>
          </rPr>
          <t>Sem emissões de GEE da produção do transporte</t>
        </r>
      </text>
    </comment>
    <comment ref="F166" authorId="0" shapeId="0" xr:uid="{169F9EB9-74A9-4B0D-BB10-605AB114332F}">
      <text>
        <r>
          <rPr>
            <sz val="10"/>
            <color indexed="81"/>
            <rFont val="Tahoma"/>
            <family val="2"/>
          </rPr>
          <t>Com emissões de GEE da produção do transporte</t>
        </r>
      </text>
    </comment>
    <comment ref="E170" authorId="0" shapeId="0" xr:uid="{CEAEA2CB-9FB5-4D67-9B8B-C1F74FE8F46A}">
      <text>
        <r>
          <rPr>
            <sz val="10"/>
            <color indexed="81"/>
            <rFont val="Tahoma"/>
            <family val="2"/>
          </rPr>
          <t>Sem emissões de GEE da produção do transporte</t>
        </r>
      </text>
    </comment>
    <comment ref="F170" authorId="0" shapeId="0" xr:uid="{2F3B01FB-E05F-4C2A-A173-DC46FBC223EC}">
      <text>
        <r>
          <rPr>
            <sz val="10"/>
            <color indexed="81"/>
            <rFont val="Tahoma"/>
            <family val="2"/>
          </rPr>
          <t>Com emissões de GEE da produção do transporte</t>
        </r>
      </text>
    </comment>
    <comment ref="E174" authorId="0" shapeId="0" xr:uid="{5189235A-2302-460C-B81D-4CE2F8260298}">
      <text>
        <r>
          <rPr>
            <sz val="10"/>
            <color indexed="81"/>
            <rFont val="Tahoma"/>
            <family val="2"/>
          </rPr>
          <t>Sem emissões de GEE da produção do transporte</t>
        </r>
      </text>
    </comment>
    <comment ref="F174" authorId="0" shapeId="0" xr:uid="{C09B7AC0-8A18-452D-8779-E187CC4D12A1}">
      <text>
        <r>
          <rPr>
            <sz val="10"/>
            <color indexed="81"/>
            <rFont val="Tahoma"/>
            <family val="2"/>
          </rPr>
          <t>Com emissões de GEE da produção do transporte</t>
        </r>
      </text>
    </comment>
    <comment ref="E178" authorId="0" shapeId="0" xr:uid="{F557713D-B7C0-4407-B919-5F62BE494E86}">
      <text>
        <r>
          <rPr>
            <sz val="10"/>
            <color indexed="81"/>
            <rFont val="Tahoma"/>
            <family val="2"/>
          </rPr>
          <t>Sem emissões de GEE da produção do transporte</t>
        </r>
      </text>
    </comment>
    <comment ref="F178" authorId="0" shapeId="0" xr:uid="{F860CC8A-74CA-437F-9E85-3FE071317D1F}">
      <text>
        <r>
          <rPr>
            <sz val="10"/>
            <color indexed="81"/>
            <rFont val="Tahoma"/>
            <family val="2"/>
          </rPr>
          <t>Com emissões de GEE da produção do transporte</t>
        </r>
      </text>
    </comment>
    <comment ref="E182" authorId="0" shapeId="0" xr:uid="{7B23CEA2-C789-436B-9B94-28ADCAC0C2D3}">
      <text>
        <r>
          <rPr>
            <sz val="10"/>
            <color indexed="81"/>
            <rFont val="Tahoma"/>
            <family val="2"/>
          </rPr>
          <t>Sem emissões de GEE da produção do transporte</t>
        </r>
      </text>
    </comment>
    <comment ref="F182" authorId="0" shapeId="0" xr:uid="{3B4E993A-CB0D-4088-8C69-A9A5F575C953}">
      <text>
        <r>
          <rPr>
            <sz val="10"/>
            <color indexed="81"/>
            <rFont val="Tahoma"/>
            <family val="2"/>
          </rPr>
          <t>Com emissões de GEE da produção do transporte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tc={3C4C21E3-CC7F-446E-8895-7B1A16DD8479}</author>
    <author>Ana Rita Sampaio</author>
    <author>tc={FE7F05C8-D3DC-40F6-822D-5BD5DF02E401}</author>
  </authors>
  <commentList>
    <comment ref="B35" authorId="0" shapeId="0" xr:uid="{3C4C21E3-CC7F-446E-8895-7B1A16DD8479}">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De acordo com os dados do INE: nr de veiculos? Fração de energia consumida?</t>
      </text>
    </comment>
    <comment ref="G46" authorId="1" shapeId="0" xr:uid="{3A53349E-CAB0-4D85-BF9F-0B6781CF1D89}">
      <text>
        <r>
          <rPr>
            <b/>
            <sz val="9"/>
            <color indexed="81"/>
            <rFont val="Tahoma"/>
            <family val="2"/>
          </rPr>
          <t>CP elétrico</t>
        </r>
      </text>
    </comment>
    <comment ref="C55" authorId="2" shapeId="0" xr:uid="{FE7F05C8-D3DC-40F6-822D-5BD5DF02E401}">
      <text>
        <t xml:space="preserve">[Comentário por tópicos]
A sua versão do Excel permite-lhe ler este comentário por tópicos. No entanto, as edições feitas ao comentário serão removidas se o ficheiro for aberto numa versão mais recente do Excel. Saiba mais: https://go.microsoft.com/fwlink/?linkid=870924
Comentário:
    Não estão a somar 100%
</t>
      </text>
    </comment>
    <comment ref="B57" authorId="1" shapeId="0" xr:uid="{221558FE-7706-4F01-BA69-43676512267F}">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58" authorId="1" shapeId="0" xr:uid="{FBAD0808-11F9-45B1-825D-308F3E7664E5}">
      <text>
        <r>
          <rPr>
            <sz val="9"/>
            <color indexed="81"/>
            <rFont val="Tahoma"/>
            <family val="2"/>
          </rPr>
          <t>Proporções retiradas de INE, 2023- estatisticas do transporte
Gasóleo-84%
Gas Natural- 16%</t>
        </r>
      </text>
    </comment>
    <comment ref="C58" authorId="1" shapeId="0" xr:uid="{216AC441-C702-46ED-9A48-B7AC59D3EEBC}">
      <text>
        <r>
          <rPr>
            <sz val="9"/>
            <color indexed="81"/>
            <rFont val="Tahoma"/>
            <family val="2"/>
          </rPr>
          <t xml:space="preserve">% deslocações AML (INE, 2017)
autocarro- 7,8%
</t>
        </r>
      </text>
    </comment>
    <comment ref="C59" authorId="1" shapeId="0" xr:uid="{3AAE1337-9FB4-445C-8BC2-77B0207CE190}">
      <text>
        <r>
          <rPr>
            <sz val="9"/>
            <color indexed="81"/>
            <rFont val="Tahoma"/>
            <family val="2"/>
          </rPr>
          <t>% deslocações AML (INE, 2017)
autocarro- 3,1%</t>
        </r>
      </text>
    </comment>
    <comment ref="C60" authorId="1" shapeId="0" xr:uid="{71CF55A8-16C3-4CA5-AAD0-15043E3534F5}">
      <text>
        <r>
          <rPr>
            <sz val="9"/>
            <color indexed="81"/>
            <rFont val="Tahoma"/>
            <family val="2"/>
          </rPr>
          <t>% deslocações AML (INE, 2017)
autocarro- 3,2%</t>
        </r>
      </text>
    </comment>
    <comment ref="B64" authorId="1" shapeId="0" xr:uid="{C339DB39-9FFA-42F9-A89B-8DD668799B5A}">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65" authorId="1" shapeId="0" xr:uid="{A764254E-54D5-4446-932D-AE4ABB6FB992}">
      <text>
        <r>
          <rPr>
            <sz val="9"/>
            <color indexed="81"/>
            <rFont val="Tahoma"/>
            <family val="2"/>
          </rPr>
          <t>Proporções retiradas de INE, 2023- estatisticas do transporte
Gasóleo-84%
Gas Natural- 16%</t>
        </r>
      </text>
    </comment>
    <comment ref="B71" authorId="1" shapeId="0" xr:uid="{8FD61CCC-1DA4-433A-A76D-B3BAB290FF98}">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2" authorId="1" shapeId="0" xr:uid="{78B0A937-41E3-4A78-8637-395003A271B4}">
      <text>
        <r>
          <rPr>
            <sz val="9"/>
            <color indexed="81"/>
            <rFont val="Tahoma"/>
            <family val="2"/>
          </rPr>
          <t>Proporções retiradas de INE, 2023- estatisticas do transporte
Gasóleo-84%
Gas Natural- 16%</t>
        </r>
      </text>
    </comment>
    <comment ref="G100" authorId="1" shapeId="0" xr:uid="{AF0D0751-AC60-4188-982A-CDC74EBF9C55}">
      <text>
        <r>
          <rPr>
            <b/>
            <sz val="9"/>
            <color indexed="81"/>
            <rFont val="Tahoma"/>
            <family val="2"/>
          </rPr>
          <t>Ana Rita Sampaio:</t>
        </r>
        <r>
          <rPr>
            <sz val="9"/>
            <color indexed="81"/>
            <rFont val="Tahoma"/>
            <family val="2"/>
          </rPr>
          <t xml:space="preserve">
tenho dúvidas qto a este FE. Pode estar enviezado pela utilização.</t>
        </r>
      </text>
    </comment>
    <comment ref="B105" authorId="1" shapeId="0" xr:uid="{C0B4A174-384A-4A50-B5BD-865F2D9E6A42}">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106" authorId="1" shapeId="0" xr:uid="{18D395A6-6838-4042-AE7A-E6C819735C5E}">
      <text>
        <r>
          <rPr>
            <sz val="9"/>
            <color indexed="81"/>
            <rFont val="Tahoma"/>
            <family val="2"/>
          </rPr>
          <t>Proporções retiradas de INE, 2023- estatisticas do transporte
Gasóleo-84%
Gas Natural- 16%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24" authorId="0" shapeId="0" xr:uid="{BACDEBFC-521B-4C75-83ED-4851D53487C1}">
      <text>
        <r>
          <rPr>
            <sz val="12"/>
            <color indexed="81"/>
            <rFont val="Tahoma"/>
            <family val="2"/>
          </rPr>
          <t>Minibus: &lt; 40 passageiros</t>
        </r>
      </text>
    </comment>
    <comment ref="C27" authorId="0" shapeId="0" xr:uid="{6547F538-86F5-4815-A12E-B635F9AE94FD}">
      <text>
        <r>
          <rPr>
            <sz val="12"/>
            <color indexed="81"/>
            <rFont val="Tahoma"/>
            <family val="2"/>
          </rPr>
          <t xml:space="preserve"> Autocarro Standard: &lt; 85 passageiros</t>
        </r>
      </text>
    </comment>
    <comment ref="C30" authorId="0" shapeId="0" xr:uid="{E4620592-3AA3-42CA-87DD-3109C41E5516}">
      <text>
        <r>
          <rPr>
            <sz val="12"/>
            <color indexed="81"/>
            <rFont val="Tahoma"/>
            <family val="2"/>
          </rPr>
          <t>Autocarros Articulados/ BRTs: &lt;130 passageiros</t>
        </r>
      </text>
    </comment>
    <comment ref="F40" authorId="0" shapeId="0" xr:uid="{AFFBA6B2-2041-4729-8A6D-9051967A447E}">
      <text>
        <r>
          <rPr>
            <sz val="12"/>
            <color indexed="81"/>
            <rFont val="Tahoma"/>
            <family val="2"/>
          </rPr>
          <t>NUTS 2024: AML corresponde à NUT II  e NUT III Grande Lisboa e Peninsula de Setúbal.</t>
        </r>
      </text>
    </comment>
    <comment ref="C43" authorId="0" shapeId="0" xr:uid="{AF5EA652-5D91-4D24-B876-D0871CD47937}">
      <text>
        <r>
          <rPr>
            <sz val="10"/>
            <color indexed="81"/>
            <rFont val="Tahoma"/>
            <family val="2"/>
          </rPr>
          <t>Exemplos: iluminação urbana; unidades de ar condicionado.</t>
        </r>
      </text>
    </comment>
    <comment ref="C45" authorId="0" shapeId="0" xr:uid="{857BA7FF-75C1-4C9F-8309-5D5558E9332F}">
      <text>
        <r>
          <rPr>
            <sz val="12"/>
            <color indexed="81"/>
            <rFont val="Tahoma"/>
            <family val="2"/>
          </rPr>
          <t>Minibus: &lt; 40 passageiros</t>
        </r>
      </text>
    </comment>
    <comment ref="C48" authorId="0" shapeId="0" xr:uid="{57536ED5-15A0-478D-ABB2-F457A8A9E995}">
      <text>
        <r>
          <rPr>
            <sz val="12"/>
            <color indexed="81"/>
            <rFont val="Tahoma"/>
            <family val="2"/>
          </rPr>
          <t>Minibus: &lt; 40 passageiros</t>
        </r>
      </text>
    </comment>
    <comment ref="C51" authorId="0" shapeId="0" xr:uid="{C77822D0-8113-4D93-9460-B82B8DE828E4}">
      <text>
        <r>
          <rPr>
            <sz val="12"/>
            <color indexed="81"/>
            <rFont val="Tahoma"/>
            <family val="2"/>
          </rPr>
          <t xml:space="preserve"> Autocarro Standard: &lt; 85 passageiros</t>
        </r>
        <r>
          <rPr>
            <b/>
            <sz val="9"/>
            <color indexed="81"/>
            <rFont val="Tahoma"/>
            <family val="2"/>
          </rPr>
          <t xml:space="preserve">
</t>
        </r>
        <r>
          <rPr>
            <sz val="11"/>
            <color indexed="81"/>
            <rFont val="Tahoma"/>
            <family val="2"/>
          </rPr>
          <t>Autocarros elétricos (incluindo hidrogénio</t>
        </r>
      </text>
    </comment>
    <comment ref="C54" authorId="0" shapeId="0" xr:uid="{67FF29DE-238D-4053-AF75-2D6DB290466F}">
      <text>
        <r>
          <rPr>
            <sz val="12"/>
            <color indexed="81"/>
            <rFont val="Tahoma"/>
            <family val="2"/>
          </rPr>
          <t xml:space="preserve"> Autocarro Standard: &lt; 85 passageiros</t>
        </r>
      </text>
    </comment>
    <comment ref="C57" authorId="0" shapeId="0" xr:uid="{BFCC6BE6-A929-4C0A-BA18-9608416A89C4}">
      <text>
        <r>
          <rPr>
            <sz val="12"/>
            <color indexed="81"/>
            <rFont val="Tahoma"/>
            <family val="2"/>
          </rPr>
          <t>Autocarros Articulados/ BRTs: &lt;130 passageiros
Autocarros elétricos (incluindo hidrogénio)</t>
        </r>
      </text>
    </comment>
    <comment ref="C60" authorId="0" shapeId="0" xr:uid="{1D1A468D-20C7-4BF4-AA99-FC094905A06F}">
      <text>
        <r>
          <rPr>
            <sz val="12"/>
            <color indexed="81"/>
            <rFont val="Tahoma"/>
            <family val="2"/>
          </rPr>
          <t>Autocarros Articulados/ BRTs: &lt;130 passageiros</t>
        </r>
      </text>
    </comment>
    <comment ref="C76" authorId="0" shapeId="0" xr:uid="{D3853E3E-A754-41C6-8113-DE298171E0D7}">
      <text>
        <r>
          <rPr>
            <sz val="12"/>
            <color indexed="81"/>
            <rFont val="Tahoma"/>
            <family val="2"/>
          </rPr>
          <t>Minibus: &lt; 40 passageiros</t>
        </r>
      </text>
    </comment>
    <comment ref="C82" authorId="0" shapeId="0" xr:uid="{B194BDC0-61AC-4E45-86DC-882A4C3328EB}">
      <text>
        <r>
          <rPr>
            <sz val="12"/>
            <color indexed="81"/>
            <rFont val="Tahoma"/>
            <family val="2"/>
          </rPr>
          <t>Minibus: &lt; 40 passageiros</t>
        </r>
      </text>
    </comment>
    <comment ref="C88" authorId="0" shapeId="0" xr:uid="{9713DE6B-8D1E-4A5B-B70D-3F1C6CDF765E}">
      <text>
        <r>
          <rPr>
            <sz val="12"/>
            <color indexed="81"/>
            <rFont val="Tahoma"/>
            <family val="2"/>
          </rPr>
          <t xml:space="preserve"> Autocarro Standard: &lt; 85 passageiros</t>
        </r>
      </text>
    </comment>
    <comment ref="C94" authorId="0" shapeId="0" xr:uid="{B0D2D1E0-3CA7-4EE2-B113-E55741F80278}">
      <text>
        <r>
          <rPr>
            <sz val="12"/>
            <color indexed="81"/>
            <rFont val="Tahoma"/>
            <family val="2"/>
          </rPr>
          <t xml:space="preserve"> Autocarro Standard: &lt; 85 passageiros</t>
        </r>
      </text>
    </comment>
    <comment ref="C100" authorId="0" shapeId="0" xr:uid="{6092E4F7-69A4-48B7-98C1-677409957290}">
      <text>
        <r>
          <rPr>
            <sz val="12"/>
            <color indexed="81"/>
            <rFont val="Tahoma"/>
            <family val="2"/>
          </rPr>
          <t>Autocarros Articulados/ BRTs: &lt;130 passageiros</t>
        </r>
      </text>
    </comment>
    <comment ref="C106" authorId="0" shapeId="0" xr:uid="{540D43CF-1994-490F-AFC5-172C878E206B}">
      <text>
        <r>
          <rPr>
            <sz val="12"/>
            <color indexed="81"/>
            <rFont val="Tahoma"/>
            <family val="2"/>
          </rPr>
          <t>Autocarros Articulados/ BRTs: &lt;130 passageiros</t>
        </r>
      </text>
    </comment>
    <comment ref="E122" authorId="0" shapeId="0" xr:uid="{6DAD698A-7CB5-4B11-99E4-C4E78D62E442}">
      <text>
        <r>
          <rPr>
            <sz val="10"/>
            <color indexed="81"/>
            <rFont val="Tahoma"/>
            <family val="2"/>
          </rPr>
          <t>Sem emissões de GEE da produção do transporte</t>
        </r>
      </text>
    </comment>
    <comment ref="F122" authorId="0" shapeId="0" xr:uid="{E67988FA-BEF2-45DE-8316-C0D23788D781}">
      <text>
        <r>
          <rPr>
            <sz val="10"/>
            <color indexed="81"/>
            <rFont val="Tahoma"/>
            <family val="2"/>
          </rPr>
          <t>Com emissões de GEE da produção do transporte</t>
        </r>
      </text>
    </comment>
    <comment ref="C123" authorId="0" shapeId="0" xr:uid="{B0E5FCE9-6C6D-44A9-BB55-3452C73E03C8}">
      <text>
        <r>
          <rPr>
            <b/>
            <sz val="11"/>
            <color indexed="81"/>
            <rFont val="Tahoma"/>
            <family val="2"/>
          </rPr>
          <t xml:space="preserve">Interpretação de resultados (emissões relativas = Re= Ab-Be):
</t>
        </r>
        <r>
          <rPr>
            <sz val="11"/>
            <color indexed="81"/>
            <rFont val="Tahoma"/>
            <family val="2"/>
          </rPr>
          <t>(A)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26" authorId="0" shapeId="0" xr:uid="{F58614A0-3F5B-4EAF-B669-2A729231DCFA}">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133" authorId="0" shapeId="0" xr:uid="{8A57CCAC-772E-45DB-B9D2-D56E3CD943C4}">
      <text>
        <r>
          <rPr>
            <sz val="10"/>
            <color indexed="81"/>
            <rFont val="Tahoma"/>
            <family val="2"/>
          </rPr>
          <t>Sem emissões de GEE da produção do transporte</t>
        </r>
      </text>
    </comment>
    <comment ref="F133" authorId="0" shapeId="0" xr:uid="{428EF28E-E0B9-4A63-AFCA-27221F39A042}">
      <text>
        <r>
          <rPr>
            <sz val="10"/>
            <color indexed="81"/>
            <rFont val="Tahoma"/>
            <family val="2"/>
          </rPr>
          <t>Com emissões de GEE da produção do transporte</t>
        </r>
      </text>
    </comment>
    <comment ref="E137" authorId="0" shapeId="0" xr:uid="{85CAE789-77A8-46CA-8883-ED60478A1A95}">
      <text>
        <r>
          <rPr>
            <sz val="10"/>
            <color indexed="81"/>
            <rFont val="Tahoma"/>
            <family val="2"/>
          </rPr>
          <t>Sem emissões de GEE da produção do transporte</t>
        </r>
      </text>
    </comment>
    <comment ref="F137" authorId="0" shapeId="0" xr:uid="{733E5EF9-A024-4FA0-BA8E-E793FF0A5F41}">
      <text>
        <r>
          <rPr>
            <sz val="10"/>
            <color indexed="81"/>
            <rFont val="Tahoma"/>
            <family val="2"/>
          </rPr>
          <t>Com emissões de GEE da produção do transporte</t>
        </r>
      </text>
    </comment>
    <comment ref="E141" authorId="0" shapeId="0" xr:uid="{281228EB-8072-4724-A226-D522F6F273B6}">
      <text>
        <r>
          <rPr>
            <sz val="10"/>
            <color indexed="81"/>
            <rFont val="Tahoma"/>
            <family val="2"/>
          </rPr>
          <t>Sem emissões de GEE da produção do transporte</t>
        </r>
      </text>
    </comment>
    <comment ref="F141" authorId="0" shapeId="0" xr:uid="{03E091A5-8D27-468E-92D5-D2F3BFAB831B}">
      <text>
        <r>
          <rPr>
            <sz val="10"/>
            <color indexed="81"/>
            <rFont val="Tahoma"/>
            <family val="2"/>
          </rPr>
          <t>Com emissões de GEE da produção do transporte</t>
        </r>
      </text>
    </comment>
    <comment ref="E145" authorId="0" shapeId="0" xr:uid="{9A079C25-57AA-4EAB-B032-A712BBE9E261}">
      <text>
        <r>
          <rPr>
            <sz val="10"/>
            <color indexed="81"/>
            <rFont val="Tahoma"/>
            <family val="2"/>
          </rPr>
          <t>Sem emissões de GEE da produção do transporte</t>
        </r>
      </text>
    </comment>
    <comment ref="F145" authorId="0" shapeId="0" xr:uid="{366B00F4-6F2F-4180-BC21-B8E93074F9D5}">
      <text>
        <r>
          <rPr>
            <sz val="10"/>
            <color indexed="81"/>
            <rFont val="Tahoma"/>
            <family val="2"/>
          </rPr>
          <t>Com emissões de GEE da produção do transporte</t>
        </r>
      </text>
    </comment>
    <comment ref="E149" authorId="0" shapeId="0" xr:uid="{00C2AE4D-A7E0-4C92-8D81-069F76656E96}">
      <text>
        <r>
          <rPr>
            <sz val="10"/>
            <color indexed="81"/>
            <rFont val="Tahoma"/>
            <family val="2"/>
          </rPr>
          <t>Sem emissões de GEE da produção do transporte</t>
        </r>
      </text>
    </comment>
    <comment ref="F149" authorId="0" shapeId="0" xr:uid="{D679E0A8-BDB2-4747-98BC-4893C7B43DDC}">
      <text>
        <r>
          <rPr>
            <sz val="10"/>
            <color indexed="81"/>
            <rFont val="Tahoma"/>
            <family val="2"/>
          </rPr>
          <t>Com emissões de GEE da produção do transporte</t>
        </r>
      </text>
    </comment>
    <comment ref="E153" authorId="0" shapeId="0" xr:uid="{D7252008-4CEA-43CB-BE3F-409354A1DF86}">
      <text>
        <r>
          <rPr>
            <sz val="10"/>
            <color indexed="81"/>
            <rFont val="Tahoma"/>
            <family val="2"/>
          </rPr>
          <t>Sem emissões de GEE da produção do transporte</t>
        </r>
      </text>
    </comment>
    <comment ref="F153" authorId="0" shapeId="0" xr:uid="{5A56C5A7-8810-40E3-B908-AE0DD104B2CE}">
      <text>
        <r>
          <rPr>
            <sz val="10"/>
            <color indexed="81"/>
            <rFont val="Tahoma"/>
            <family val="2"/>
          </rPr>
          <t>Com emissões de GEE da produção do transporte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D43" authorId="0" shapeId="0" xr:uid="{D8253F29-98DD-4E9A-AAB7-DAF7766B7147}">
      <text>
        <r>
          <rPr>
            <sz val="10"/>
            <color indexed="81"/>
            <rFont val="Tahoma"/>
            <family val="2"/>
          </rPr>
          <t xml:space="preserve">NUTS 2024: 
AML corresponde à NUT II  e NUT III Grande Lisboa e Peninsula de Setúbal.
</t>
        </r>
        <r>
          <rPr>
            <sz val="9"/>
            <color indexed="81"/>
            <rFont val="Tahoma"/>
            <family val="2"/>
          </rPr>
          <t xml:space="preserve">
</t>
        </r>
        <r>
          <rPr>
            <b/>
            <sz val="9"/>
            <color indexed="81"/>
            <rFont val="Tahoma"/>
            <family val="2"/>
          </rPr>
          <t xml:space="preserve">
</t>
        </r>
      </text>
    </comment>
    <comment ref="D44" authorId="0" shapeId="0" xr:uid="{E90CDDEF-8D2C-49F1-A957-C9D320257A9D}">
      <text>
        <r>
          <rPr>
            <sz val="10"/>
            <color indexed="81"/>
            <rFont val="Tahoma"/>
            <family val="2"/>
          </rPr>
          <t>NUTS 2024: 
AML corresponde à NUT II  e NUT III Grande Lisboa e Peninsula de Setúbal.</t>
        </r>
      </text>
    </comment>
    <comment ref="C47" authorId="0" shapeId="0" xr:uid="{34BD5655-2E36-43FD-B3E1-290470F1C8A3}">
      <text>
        <r>
          <rPr>
            <sz val="10"/>
            <color indexed="81"/>
            <rFont val="Tahoma"/>
            <family val="2"/>
          </rPr>
          <t>Exemplos: iluminação; unidades de ar condicionado.</t>
        </r>
      </text>
    </comment>
    <comment ref="C49" authorId="0" shapeId="0" xr:uid="{0237F4E2-5B62-4461-B6CA-BB11D298DCF8}">
      <text>
        <r>
          <rPr>
            <sz val="12"/>
            <color indexed="81"/>
            <rFont val="Tahoma"/>
            <family val="2"/>
          </rPr>
          <t>Comboios movidos a eletricidade</t>
        </r>
      </text>
    </comment>
    <comment ref="C79" authorId="0" shapeId="0" xr:uid="{1C2A6564-B833-4340-97A5-43895D5648CE}">
      <text>
        <r>
          <rPr>
            <sz val="12"/>
            <color indexed="81"/>
            <rFont val="Tahoma"/>
            <family val="2"/>
          </rPr>
          <t>Comboios movidos a eletricidade</t>
        </r>
      </text>
    </comment>
    <comment ref="E128" authorId="0" shapeId="0" xr:uid="{24935F53-9F20-4695-992B-367B9AE68669}">
      <text>
        <r>
          <rPr>
            <sz val="10"/>
            <color indexed="81"/>
            <rFont val="Tahoma"/>
            <family val="2"/>
          </rPr>
          <t>Sem emissões de GEE da produção do transporte</t>
        </r>
      </text>
    </comment>
    <comment ref="F128" authorId="0" shapeId="0" xr:uid="{4E8E8DBF-6538-408D-9CC3-534F336EA1D2}">
      <text>
        <r>
          <rPr>
            <sz val="10"/>
            <color indexed="81"/>
            <rFont val="Tahoma"/>
            <family val="2"/>
          </rPr>
          <t>Com emissões de GEE da produção do transporte</t>
        </r>
      </text>
    </comment>
    <comment ref="C129" authorId="0" shapeId="0" xr:uid="{8461779B-EB8E-4055-AD17-DF375E2C6004}">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132" authorId="0" shapeId="0" xr:uid="{649BA604-8A97-446B-B707-B641D5E5DA42}">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C138" authorId="0" shapeId="0" xr:uid="{8F1CE78B-12D8-412D-ADB6-BBDFE74CF1A6}">
      <text>
        <r>
          <rPr>
            <sz val="12"/>
            <color indexed="81"/>
            <rFont val="Tahoma"/>
            <family val="2"/>
          </rPr>
          <t>Comboios movidos a eletricidade</t>
        </r>
      </text>
    </comment>
    <comment ref="E138" authorId="0" shapeId="0" xr:uid="{EE1A2A77-4C85-43AD-A029-D24993702F58}">
      <text>
        <r>
          <rPr>
            <sz val="10"/>
            <color indexed="81"/>
            <rFont val="Tahoma"/>
            <family val="2"/>
          </rPr>
          <t>Sem emissões de GEE da produção do transporte</t>
        </r>
      </text>
    </comment>
    <comment ref="F138" authorId="0" shapeId="0" xr:uid="{AD59F0C8-6ECD-4659-B7C9-ECA5FEF3F029}">
      <text>
        <r>
          <rPr>
            <sz val="10"/>
            <color indexed="81"/>
            <rFont val="Tahoma"/>
            <family val="2"/>
          </rPr>
          <t>Com emissões de GEE da produção do transporte</t>
        </r>
      </text>
    </comment>
    <comment ref="E142" authorId="0" shapeId="0" xr:uid="{11BF3F80-0086-430A-BCA2-D0509BCA8DF9}">
      <text>
        <r>
          <rPr>
            <sz val="10"/>
            <color indexed="81"/>
            <rFont val="Tahoma"/>
            <family val="2"/>
          </rPr>
          <t>Sem emissões de GEE da produção do transporte</t>
        </r>
      </text>
    </comment>
    <comment ref="F142" authorId="0" shapeId="0" xr:uid="{3C7E0A53-3F94-4DFE-9145-A8092119317B}">
      <text>
        <r>
          <rPr>
            <sz val="10"/>
            <color indexed="81"/>
            <rFont val="Tahoma"/>
            <family val="2"/>
          </rPr>
          <t>Com emissões de GEE da produção do transporte</t>
        </r>
      </text>
    </comment>
    <comment ref="E146" authorId="0" shapeId="0" xr:uid="{03096B22-10D6-430F-8062-4859FF40ED6B}">
      <text>
        <r>
          <rPr>
            <sz val="10"/>
            <color indexed="81"/>
            <rFont val="Tahoma"/>
            <family val="2"/>
          </rPr>
          <t>Sem emissões de GEE da produção do transporte</t>
        </r>
      </text>
    </comment>
    <comment ref="F146" authorId="0" shapeId="0" xr:uid="{A57759E0-4D56-4063-BACE-1F8822EEF1C5}">
      <text>
        <r>
          <rPr>
            <sz val="10"/>
            <color indexed="81"/>
            <rFont val="Tahoma"/>
            <family val="2"/>
          </rPr>
          <t>Com emissões de GEE da produção do transporte</t>
        </r>
      </text>
    </comment>
    <comment ref="E150" authorId="0" shapeId="0" xr:uid="{BED57162-73E8-4477-9FB7-407D2D0ABF6F}">
      <text>
        <r>
          <rPr>
            <sz val="10"/>
            <color indexed="81"/>
            <rFont val="Tahoma"/>
            <family val="2"/>
          </rPr>
          <t>Sem emissões de GEE da produção do transporte</t>
        </r>
      </text>
    </comment>
    <comment ref="F150" authorId="0" shapeId="0" xr:uid="{2E49A007-BA5B-4C44-BC0C-000785B7345B}">
      <text>
        <r>
          <rPr>
            <sz val="10"/>
            <color indexed="81"/>
            <rFont val="Tahoma"/>
            <family val="2"/>
          </rPr>
          <t>Com emissões de GEE da produção do transporte</t>
        </r>
      </text>
    </comment>
    <comment ref="E154" authorId="0" shapeId="0" xr:uid="{87D37C3F-7910-48C8-8EF1-E6B99351EA6E}">
      <text>
        <r>
          <rPr>
            <sz val="10"/>
            <color indexed="81"/>
            <rFont val="Tahoma"/>
            <family val="2"/>
          </rPr>
          <t>Sem emissões de GEE da produção do transporte</t>
        </r>
      </text>
    </comment>
    <comment ref="F154" authorId="0" shapeId="0" xr:uid="{84D61298-1113-46CF-8FCC-5E564F51CFE8}">
      <text>
        <r>
          <rPr>
            <sz val="10"/>
            <color indexed="81"/>
            <rFont val="Tahoma"/>
            <family val="2"/>
          </rPr>
          <t>Com emissões de GEE da produção do transporte</t>
        </r>
      </text>
    </comment>
    <comment ref="E158" authorId="0" shapeId="0" xr:uid="{AC09A883-E495-469D-AB06-8C3DF5E0DF19}">
      <text>
        <r>
          <rPr>
            <sz val="10"/>
            <color indexed="81"/>
            <rFont val="Tahoma"/>
            <family val="2"/>
          </rPr>
          <t>Sem emissões de GEE da produção do transporte</t>
        </r>
      </text>
    </comment>
    <comment ref="F158" authorId="0" shapeId="0" xr:uid="{1E054D56-F197-4FF8-AC23-4AEF8FF87A8A}">
      <text>
        <r>
          <rPr>
            <sz val="10"/>
            <color indexed="81"/>
            <rFont val="Tahoma"/>
            <family val="2"/>
          </rPr>
          <t>Com emissões de GEE da produção do transporte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tc={5E063AF3-8001-44B0-92A8-B24691D8F44E}</author>
    <author>tc={6475BE41-950B-40C2-8497-9C5A3223F1B3}</author>
    <author>Ana Rita Sampaio</author>
    <author>tc={E6523AC6-E7FA-4DD3-9F09-E338B95FB770}</author>
  </authors>
  <commentList>
    <comment ref="N9" authorId="0" shapeId="0" xr:uid="{5E063AF3-8001-44B0-92A8-B24691D8F44E}">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As contas aqui não parecem bem</t>
      </text>
    </comment>
    <comment ref="B37" authorId="1" shapeId="0" xr:uid="{6475BE41-950B-40C2-8497-9C5A3223F1B3}">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De acordo com os dados do INE: nr de veiculos? Fração de energia consumida?</t>
      </text>
    </comment>
    <comment ref="G48" authorId="2" shapeId="0" xr:uid="{6AC0BF48-654C-4472-9A2B-9637DB8C468F}">
      <text>
        <r>
          <rPr>
            <b/>
            <sz val="9"/>
            <color indexed="81"/>
            <rFont val="Tahoma"/>
            <family val="2"/>
          </rPr>
          <t>CP elétrico</t>
        </r>
      </text>
    </comment>
    <comment ref="C54" authorId="3" shapeId="0" xr:uid="{E6523AC6-E7FA-4DD3-9F09-E338B95FB770}">
      <text>
        <t xml:space="preserve">[Comentário por tópicos]
A sua versão do Excel permite-lhe ler este comentário por tópicos. No entanto, as edições feitas ao comentário serão removidas se o ficheiro for aberto numa versão mais recente do Excel. Saiba mais: https://go.microsoft.com/fwlink/?linkid=870924
Comentário:
    Não estão a somar 100%
</t>
      </text>
    </comment>
    <comment ref="B55" authorId="2" shapeId="0" xr:uid="{35756C03-4CE0-4964-96C6-C1D59DCBCD6C}">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C56" authorId="2" shapeId="0" xr:uid="{B193FA5D-51B2-4C63-A8D2-6EBD76E70C9C}">
      <text>
        <r>
          <rPr>
            <sz val="9"/>
            <color indexed="81"/>
            <rFont val="Tahoma"/>
            <family val="2"/>
          </rPr>
          <t>% deslocações AML (INE, 2017)
autocarro- 3,1%</t>
        </r>
      </text>
    </comment>
    <comment ref="C57" authorId="2" shapeId="0" xr:uid="{194F325E-4F68-48D7-A87F-C8349C910FAE}">
      <text>
        <r>
          <rPr>
            <sz val="9"/>
            <color indexed="81"/>
            <rFont val="Tahoma"/>
            <family val="2"/>
          </rPr>
          <t>% deslocações AML (INE, 2017)
autocarro- 3,2%</t>
        </r>
      </text>
    </comment>
    <comment ref="B61" authorId="2" shapeId="0" xr:uid="{98FD923E-F35F-441A-9B80-2201D437BA5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67" authorId="2" shapeId="0" xr:uid="{608D015E-D339-477F-968A-24C41878E9A5}">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97" authorId="2" shapeId="0" xr:uid="{27EBF6C0-716A-469A-A525-5A6330BB4DE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tc={71B90404-3B8A-4985-B586-0740D58446ED}</author>
    <author>tc={5AEF9992-66CD-4B04-9562-DD197F5D1CE6}</author>
    <author>Ana Rita Sampaio</author>
    <author>tc={F8CBAFC5-09CA-4CD1-816C-82BB88FD9323}</author>
  </authors>
  <commentList>
    <comment ref="N8" authorId="0" shapeId="0" xr:uid="{71B90404-3B8A-4985-B586-0740D58446ED}">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As contas aqui não parecem bem</t>
      </text>
    </comment>
    <comment ref="B37" authorId="1" shapeId="0" xr:uid="{5AEF9992-66CD-4B04-9562-DD197F5D1CE6}">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De acordo com os dados do INE: nr de veiculos? Fração de energia consumida?</t>
      </text>
    </comment>
    <comment ref="G48" authorId="2" shapeId="0" xr:uid="{B5C33774-DF7B-4316-859E-A71428C9018B}">
      <text>
        <r>
          <rPr>
            <b/>
            <sz val="9"/>
            <color indexed="81"/>
            <rFont val="Tahoma"/>
            <family val="2"/>
          </rPr>
          <t>CP elétrico</t>
        </r>
      </text>
    </comment>
    <comment ref="C53" authorId="3" shapeId="0" xr:uid="{F8CBAFC5-09CA-4CD1-816C-82BB88FD9323}">
      <text>
        <t xml:space="preserve">[Comentário por tópicos]
A sua versão do Excel permite-lhe ler este comentário por tópicos. No entanto, as edições feitas ao comentário serão removidas se o ficheiro for aberto numa versão mais recente do Excel. Saiba mais: https://go.microsoft.com/fwlink/?linkid=870924
Comentário:
    Não estão a somar 100%
</t>
      </text>
    </comment>
    <comment ref="B54" authorId="2" shapeId="0" xr:uid="{E4BF1EE5-2385-41F6-A321-3A1F019A273F}">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C56" authorId="2" shapeId="0" xr:uid="{CC5164E8-4206-463F-9B98-0DD84459EFCB}">
      <text>
        <r>
          <rPr>
            <sz val="9"/>
            <color indexed="81"/>
            <rFont val="Tahoma"/>
            <family val="2"/>
          </rPr>
          <t>% deslocações AML (INE, 2017)
autocarro- 3,1%</t>
        </r>
      </text>
    </comment>
    <comment ref="C57" authorId="2" shapeId="0" xr:uid="{CB7BA1A5-BD1F-468F-8833-5166B458C667}">
      <text>
        <r>
          <rPr>
            <sz val="9"/>
            <color indexed="81"/>
            <rFont val="Tahoma"/>
            <family val="2"/>
          </rPr>
          <t>% deslocações AML (INE, 2017)
autocarro- 3,2%</t>
        </r>
      </text>
    </comment>
    <comment ref="B62" authorId="2" shapeId="0" xr:uid="{9D98859F-0A0D-4997-982F-BB23BF0CF09B}">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70" authorId="2" shapeId="0" xr:uid="{4D0CCA13-F2B1-49E6-96B4-AE85DBA64213}">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B101" authorId="2" shapeId="0" xr:uid="{E36AA7A8-2F79-40D5-A129-725600D5EE47}">
      <text>
        <r>
          <rPr>
            <sz val="9"/>
            <color indexed="81"/>
            <rFont val="Tahoma"/>
            <family val="2"/>
          </rPr>
          <t xml:space="preserve">Proporções dos vários tipos de combustível retirados de INE, 2023- estatisticas do transporte- Nº de veículos/ tipo de combustível.
Gasóleo: 55%
Gasolina- 38%
GPL-1%
Eléctrico(bateria)-2%
Eléctrico Hibido- 4% = (Eléctrico Plug-in- 2%+
Eléctrico Não Plug IN- 2%)
</t>
        </r>
      </text>
    </comment>
    <comment ref="I113" authorId="2" shapeId="0" xr:uid="{9D52D1C5-497C-48D8-AEF2-B76555DAF718}">
      <text>
        <r>
          <rPr>
            <sz val="10"/>
            <color indexed="81"/>
            <rFont val="Tahoma"/>
            <family val="2"/>
          </rPr>
          <t>Sem emissões de GEE da produção do transporte</t>
        </r>
      </text>
    </comment>
    <comment ref="J113" authorId="2" shapeId="0" xr:uid="{9B140BE2-AF99-44F5-9434-3DFADFF596E1}">
      <text>
        <r>
          <rPr>
            <sz val="10"/>
            <color indexed="81"/>
            <rFont val="Tahoma"/>
            <family val="2"/>
          </rPr>
          <t>Com emissões de GEE da produção do transporte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Ana Rita Sampaio</author>
  </authors>
  <commentList>
    <comment ref="C38" authorId="0" shapeId="0" xr:uid="{9F1814B1-7F65-4AFC-9BD6-02A6583A1C4D}">
      <text>
        <r>
          <rPr>
            <sz val="10"/>
            <color indexed="81"/>
            <rFont val="Tahoma"/>
            <family val="2"/>
          </rPr>
          <t>Exemplos: iluminação; unidades de ar condicionado.</t>
        </r>
      </text>
    </comment>
    <comment ref="E78" authorId="0" shapeId="0" xr:uid="{C23227DA-8727-4FD6-9AAE-B91CBDFEE9D1}">
      <text>
        <r>
          <rPr>
            <sz val="10"/>
            <color indexed="81"/>
            <rFont val="Tahoma"/>
            <family val="2"/>
          </rPr>
          <t>Sem emissões de GEE da produção do transporte</t>
        </r>
      </text>
    </comment>
    <comment ref="F78" authorId="0" shapeId="0" xr:uid="{3CF53901-F6A4-4FC9-8608-F34724C30B2C}">
      <text>
        <r>
          <rPr>
            <sz val="10"/>
            <color indexed="81"/>
            <rFont val="Tahoma"/>
            <family val="2"/>
          </rPr>
          <t>Com emissões de GEE da produção do transporte</t>
        </r>
      </text>
    </comment>
    <comment ref="C79" authorId="0" shapeId="0" xr:uid="{494F5F86-A47D-44E3-A0B4-D2AA28F18882}">
      <text>
        <r>
          <rPr>
            <b/>
            <sz val="11"/>
            <color indexed="81"/>
            <rFont val="Tahoma"/>
            <family val="2"/>
          </rPr>
          <t>Interpretação de resultados (emissões relativas = Re= Ab-Be):</t>
        </r>
        <r>
          <rPr>
            <sz val="11"/>
            <color indexed="81"/>
            <rFont val="Tahoma"/>
            <family val="2"/>
          </rPr>
          <t xml:space="preserve">
(A) Se Re &lt; 0, o projeto contribui para a redução das emissões de GEE relativamente às emissões do cenário de referência considerado. 
(B) Se Re = 0, o projeto apresenta emissões de GEE iguais às emissões do cenário de referência considerado.
(C) Se Re &gt;0, o projeto contribui para o incremento das emissões de GEE relativamente às emissões do cenário de referência considerado.</t>
        </r>
      </text>
    </comment>
    <comment ref="C82" authorId="0" shapeId="0" xr:uid="{F9BBB9FD-9D16-40CD-864A-C720E76F4014}">
      <text>
        <r>
          <rPr>
            <b/>
            <sz val="11"/>
            <color indexed="81"/>
            <rFont val="Tahoma"/>
            <family val="2"/>
          </rPr>
          <t>Interpretação dos resultados (emissões evitadas = - Re= Be- Ab)</t>
        </r>
        <r>
          <rPr>
            <sz val="11"/>
            <color indexed="81"/>
            <rFont val="Tahoma"/>
            <family val="2"/>
          </rPr>
          <t xml:space="preserve">
(A) Se as emissões evitadas (EV) &gt; 0, o projeto contribui para a redução das emissões de GEE relativamente às emissões do cenário de referência considerado. 
(B) Se as emissões evitadas (EV) = 0, o projeto apresenta emissões de GEE iguais às emissões do cenário de referência considerado.
(C) Se as emissões evitadas (EV) &lt; 0, o projeto contribui para o incremento das emissões de GEE relativamente às emissões do cenário de referência considerado.</t>
        </r>
      </text>
    </comment>
    <comment ref="E86" authorId="0" shapeId="0" xr:uid="{7FE27860-6ED7-4068-98B6-C9F127A3F548}">
      <text>
        <r>
          <rPr>
            <sz val="10"/>
            <color indexed="81"/>
            <rFont val="Tahoma"/>
            <family val="2"/>
          </rPr>
          <t>Sem emissões de GEE da produção do transporte</t>
        </r>
      </text>
    </comment>
    <comment ref="F86" authorId="0" shapeId="0" xr:uid="{1CD622CE-BC63-4652-8FD8-AB15313299EA}">
      <text>
        <r>
          <rPr>
            <sz val="10"/>
            <color indexed="81"/>
            <rFont val="Tahoma"/>
            <family val="2"/>
          </rPr>
          <t>Com emissões de GEE da produção do transporte</t>
        </r>
      </text>
    </comment>
    <comment ref="E90" authorId="0" shapeId="0" xr:uid="{6B6EFF7D-13B4-4437-8CE6-B73A3AD2A88E}">
      <text>
        <r>
          <rPr>
            <sz val="10"/>
            <color indexed="81"/>
            <rFont val="Tahoma"/>
            <family val="2"/>
          </rPr>
          <t>Sem emissões de GEE da produção do transporte</t>
        </r>
      </text>
    </comment>
    <comment ref="F90" authorId="0" shapeId="0" xr:uid="{4345633A-0245-45CD-A243-C83C94423CA6}">
      <text>
        <r>
          <rPr>
            <sz val="10"/>
            <color indexed="81"/>
            <rFont val="Tahoma"/>
            <family val="2"/>
          </rPr>
          <t>Com emissões de GEE da produção do transporte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<sst xmlns="http://schemas.openxmlformats.org/spreadsheetml/2006/main" count="4048" uniqueCount="1357">
  <si>
    <t>Orientações</t>
  </si>
  <si>
    <t>Nome do responsável:</t>
  </si>
  <si>
    <t>Energia</t>
  </si>
  <si>
    <t>Unidade</t>
  </si>
  <si>
    <t>Exploração</t>
  </si>
  <si>
    <t>Total</t>
  </si>
  <si>
    <t>-</t>
  </si>
  <si>
    <t>Modo de transporte</t>
  </si>
  <si>
    <t>Tipo</t>
  </si>
  <si>
    <t>kg/p.km</t>
  </si>
  <si>
    <t>Veículo ligeiro de passageiros</t>
  </si>
  <si>
    <t>Gasolina - motor desconhecido</t>
  </si>
  <si>
    <t>Gasóleo - motor desconhecido</t>
  </si>
  <si>
    <t>Híbrido - motor desconhecido</t>
  </si>
  <si>
    <t>GPL - motor de tamanho médio</t>
  </si>
  <si>
    <t>Mota</t>
  </si>
  <si>
    <t>Metro</t>
  </si>
  <si>
    <t>Nome da Projeto:</t>
  </si>
  <si>
    <t>Desativação</t>
  </si>
  <si>
    <t>Indique a data prevista para o início de cada uma destas fases e a duração das mesmas.</t>
  </si>
  <si>
    <t>Ano</t>
  </si>
  <si>
    <t>Conversão de unidades</t>
  </si>
  <si>
    <t>Nota: esta folha possui caráter exclusivamente informativo. Nenhuma informação desta folha é utilizada nos cálculos da ferramenta.</t>
  </si>
  <si>
    <t>Massa</t>
  </si>
  <si>
    <t>1 libra (lb)</t>
  </si>
  <si>
    <t>453,6 gramas (g)</t>
  </si>
  <si>
    <t>0,4536 quilograma (kg)</t>
  </si>
  <si>
    <t>0,0004536 tonelada métrica (t)</t>
  </si>
  <si>
    <t>1 quilograma (kg)</t>
  </si>
  <si>
    <t>2205 libras (lb)</t>
  </si>
  <si>
    <t>1 tonelada curta (T / ton)</t>
  </si>
  <si>
    <t>2000 libras (lb)</t>
  </si>
  <si>
    <t>907,2 quilogramas (kg)</t>
  </si>
  <si>
    <t>1 tonelada métrica (t)</t>
  </si>
  <si>
    <t>1000 quilogramas (kg)</t>
  </si>
  <si>
    <t>1,102 tonelada curta (T / ton)</t>
  </si>
  <si>
    <t>Volume</t>
  </si>
  <si>
    <t>7,4805 galões americanos (gal)</t>
  </si>
  <si>
    <t>0,1730 barril (bbl)</t>
  </si>
  <si>
    <t>28,32 litros (L)</t>
  </si>
  <si>
    <t>1 galão americano (gal)</t>
  </si>
  <si>
    <t>0,0238 barril (bbl)</t>
  </si>
  <si>
    <t>3,785 litros (L)</t>
  </si>
  <si>
    <t>1 barril (bbl)</t>
  </si>
  <si>
    <t>42 galões americanos (gal)</t>
  </si>
  <si>
    <t>158,9873 litros (L)</t>
  </si>
  <si>
    <t>1 litro (L)</t>
  </si>
  <si>
    <t>0,2642 galão americano (gal)</t>
  </si>
  <si>
    <t>6,2897 barris (bbl)</t>
  </si>
  <si>
    <t>264,2 galões americanos (gal)</t>
  </si>
  <si>
    <t>1000 litros (L)</t>
  </si>
  <si>
    <t>1 quilowatt hora (kWh)</t>
  </si>
  <si>
    <t>3412 Btu (Btu)</t>
  </si>
  <si>
    <t>3600 quilojoules (kJ)</t>
  </si>
  <si>
    <t>1 megajoule (MJ)</t>
  </si>
  <si>
    <t>0,001 gigajoule (GJ)</t>
  </si>
  <si>
    <t>1 gigajoule (GJ)</t>
  </si>
  <si>
    <t>0,9478 milhão de Btu (MMBtu)</t>
  </si>
  <si>
    <t>277,8 quilowatt horas (kWh)</t>
  </si>
  <si>
    <t>1 Btu (Btu)</t>
  </si>
  <si>
    <t>1055 joules (J)</t>
  </si>
  <si>
    <t>1 milhão de Btu (MBtu)</t>
  </si>
  <si>
    <t>1055 gigajoules (GJ)</t>
  </si>
  <si>
    <t>293 quilowatt horas (kWh)</t>
  </si>
  <si>
    <t>100 ft³ de gás natural (scf)</t>
  </si>
  <si>
    <t>100 000 Btu (Btu)</t>
  </si>
  <si>
    <t>Distância</t>
  </si>
  <si>
    <t>1 milha terrestre</t>
  </si>
  <si>
    <t>1,609 quilómetro terrestre</t>
  </si>
  <si>
    <t>1 milha náutica</t>
  </si>
  <si>
    <t>1,15 milha terrestre</t>
  </si>
  <si>
    <t>Outros</t>
  </si>
  <si>
    <t>quilo (k)</t>
  </si>
  <si>
    <t>mega (M)</t>
  </si>
  <si>
    <t>giga (G)</t>
  </si>
  <si>
    <t>tera (T)</t>
  </si>
  <si>
    <t>Peso molecular de C</t>
  </si>
  <si>
    <t>%</t>
  </si>
  <si>
    <t>Ano de Início</t>
  </si>
  <si>
    <t>(C) Atente-se para a utilização das unidades corretas nos dados inseridos. Se necessário, converta as unidades utilizando a Folha 'Fatores de Conversão' antes de preencher os campos.</t>
  </si>
  <si>
    <t>(D) O Menu de Navegação, presente na parte superior de todas as Folhas da Calculadora, pode ser utilizado para facilitar a navegação pela ferramenta.</t>
  </si>
  <si>
    <t>Fatores de Emissão</t>
  </si>
  <si>
    <t>Calculadora de GEE para projetos</t>
  </si>
  <si>
    <t>Sim</t>
  </si>
  <si>
    <t>Não</t>
  </si>
  <si>
    <t>Fonte</t>
  </si>
  <si>
    <t>Valor</t>
  </si>
  <si>
    <t>Duração em anos (a)</t>
  </si>
  <si>
    <t>Passo 1.    Indique a data e duração de cada fase do projeto, bem como o número de colaboradores total</t>
  </si>
  <si>
    <t>GNL</t>
  </si>
  <si>
    <r>
      <t xml:space="preserve">(A) </t>
    </r>
    <r>
      <rPr>
        <b/>
        <sz val="12"/>
        <rFont val="Calibri"/>
        <family val="2"/>
        <scheme val="minor"/>
      </rPr>
      <t xml:space="preserve">O primeiro passo para a utilização da ferramenta é a definição dos anos de início e da duração de cada fase do projeto (este último, se não souber, deixe por preencher). </t>
    </r>
    <r>
      <rPr>
        <sz val="12"/>
        <rFont val="Calibri"/>
        <family val="2"/>
        <scheme val="minor"/>
      </rPr>
      <t>Esta escolha é essencial, pois há fatores de emissão que variam com base nos anos escolhidos.</t>
    </r>
  </si>
  <si>
    <r>
      <t xml:space="preserve">(B) Preencha somente as Campos </t>
    </r>
    <r>
      <rPr>
        <b/>
        <sz val="12"/>
        <color theme="8"/>
        <rFont val="Calibri"/>
        <family val="2"/>
        <scheme val="minor"/>
      </rPr>
      <t>AZUL CLARO</t>
    </r>
    <r>
      <rPr>
        <sz val="12"/>
        <rFont val="Calibri"/>
        <family val="2"/>
        <scheme val="minor"/>
      </rPr>
      <t xml:space="preserve"> das Folhas da Ferramenta.</t>
    </r>
  </si>
  <si>
    <t>Data/Ano de preenchimento:</t>
  </si>
  <si>
    <t>Ficha técnica</t>
  </si>
  <si>
    <t>Autores</t>
  </si>
  <si>
    <t xml:space="preserve">Entidade Patronal: </t>
  </si>
  <si>
    <t>ADIST – Associação para o Desenvolvimento do Instituto Superior Técnico</t>
  </si>
  <si>
    <t>Título do documento</t>
  </si>
  <si>
    <t>Entidade Promotora</t>
  </si>
  <si>
    <t>Versão</t>
  </si>
  <si>
    <t>Publicação web</t>
  </si>
  <si>
    <t>Revisões</t>
  </si>
  <si>
    <t>V0</t>
  </si>
  <si>
    <r>
      <rPr>
        <b/>
        <sz val="12"/>
        <color theme="1"/>
        <rFont val="Calibri"/>
        <family val="2"/>
        <scheme val="minor"/>
      </rPr>
      <t>Tenha em atenção as unidades: a duração deve ser indicada em anos.</t>
    </r>
    <r>
      <rPr>
        <sz val="12"/>
        <color theme="1"/>
        <rFont val="Calibri"/>
        <family val="2"/>
        <scheme val="minor"/>
      </rPr>
      <t xml:space="preserve"> Se tiver a duração noutras unidades (ex.: meses) deverá converter para anos (ex.: numero de meses/12) antes de a introduzir na ferramenta </t>
    </r>
  </si>
  <si>
    <t>Data de conclusão</t>
  </si>
  <si>
    <t xml:space="preserve">Indique também o número de colaboradores que terá em média por ano em cada fase do projeto.  Inclua aqui mesmo os colaboradores subcontratados de outras empresas. Atenção que este valor refere-se à média e não ao valor total de colaboradores. Pode haver períodos no ano em que tenha mais colaboradores e outros períodos que tenha menos. Pretendemos obter aqui o valor médio. Por exemplo, se tiver 10 colaboradores que apenas trabalharão apenas 3 meses do ano, multiplique esse número de colaboradores por 3meses/11 meses de trabalho do ano. Este valor será usado para estimar as emissões de deslocação casa-trabalho efetuada por estes, considerando 2 viagens por dia, 22 dias por mês, 11 meses por ano, em meio de transporte e distâncias médias casa-trabalho obtidas dos Censos 2021. </t>
  </si>
  <si>
    <t>Número de colaboradores envolvidos em cada fase de projeto (média)</t>
  </si>
  <si>
    <t>Não aplicável</t>
  </si>
  <si>
    <t>INE</t>
  </si>
  <si>
    <t>e-bike</t>
  </si>
  <si>
    <t>modo pedonal</t>
  </si>
  <si>
    <t>Fonte:</t>
  </si>
  <si>
    <t xml:space="preserve"> </t>
  </si>
  <si>
    <t>Autocarros</t>
  </si>
  <si>
    <t>Indicadores</t>
  </si>
  <si>
    <t>Nº</t>
  </si>
  <si>
    <t>L</t>
  </si>
  <si>
    <t>kWh</t>
  </si>
  <si>
    <t>kWh/ ano</t>
  </si>
  <si>
    <t>kWh/ano</t>
  </si>
  <si>
    <t>p.km</t>
  </si>
  <si>
    <t>Equipa IST. FE calculado a partir de dados do INE (2022) e APA (2022)</t>
  </si>
  <si>
    <t>Nº de passageiros</t>
  </si>
  <si>
    <t>Ciclomotores (trotinetas, vespas) - categoria L</t>
  </si>
  <si>
    <t>Comboio de passageiros</t>
  </si>
  <si>
    <t>Gasóleo</t>
  </si>
  <si>
    <t>Observações</t>
  </si>
  <si>
    <t>Rede Nacional</t>
  </si>
  <si>
    <t>Produção de electricidade</t>
  </si>
  <si>
    <t>Autocarro</t>
  </si>
  <si>
    <t>Ferry</t>
  </si>
  <si>
    <t>Motociclo</t>
  </si>
  <si>
    <t>Bicicleta</t>
  </si>
  <si>
    <t>Ferry - bateria</t>
  </si>
  <si>
    <t>Comboio</t>
  </si>
  <si>
    <t>FE estimado a partir de dados do INE (2022) e APA (2022)</t>
  </si>
  <si>
    <r>
      <t>tCO</t>
    </r>
    <r>
      <rPr>
        <vertAlign val="subscript"/>
        <sz val="12"/>
        <color theme="1"/>
        <rFont val="Aptos"/>
        <family val="2"/>
      </rPr>
      <t>2eq</t>
    </r>
    <r>
      <rPr>
        <sz val="12"/>
        <color theme="1"/>
        <rFont val="Aptos"/>
        <family val="2"/>
      </rPr>
      <t>/ano</t>
    </r>
  </si>
  <si>
    <t>Nome do Projeto</t>
  </si>
  <si>
    <t>Código do Projeto</t>
  </si>
  <si>
    <t>Promotor</t>
  </si>
  <si>
    <t>Programa de Financiamento</t>
  </si>
  <si>
    <t>Dados do Projeto</t>
  </si>
  <si>
    <t>Tipo de Projeto</t>
  </si>
  <si>
    <t>Norte</t>
  </si>
  <si>
    <t>Centro</t>
  </si>
  <si>
    <t>Alentejo</t>
  </si>
  <si>
    <t>Selecionar uma opção</t>
  </si>
  <si>
    <t>Definir valor</t>
  </si>
  <si>
    <t xml:space="preserve">Data da avaliação </t>
  </si>
  <si>
    <t>km</t>
  </si>
  <si>
    <t>Opções</t>
  </si>
  <si>
    <t>Sim/não</t>
  </si>
  <si>
    <t>x</t>
  </si>
  <si>
    <t>Metropolitano</t>
  </si>
  <si>
    <t>comboio</t>
  </si>
  <si>
    <t>Minutos</t>
  </si>
  <si>
    <t>Automóvel</t>
  </si>
  <si>
    <t xml:space="preserve">Valor </t>
  </si>
  <si>
    <r>
      <rPr>
        <b/>
        <u/>
        <sz val="11"/>
        <color theme="1"/>
        <rFont val="Aptos"/>
        <family val="2"/>
      </rPr>
      <t>Fonte dos dados</t>
    </r>
    <r>
      <rPr>
        <b/>
        <sz val="11"/>
        <color theme="1"/>
        <rFont val="Aptos"/>
        <family val="2"/>
      </rPr>
      <t xml:space="preserve"> e </t>
    </r>
    <r>
      <rPr>
        <b/>
        <u/>
        <sz val="11"/>
        <color theme="1"/>
        <rFont val="Aptos"/>
        <family val="2"/>
      </rPr>
      <t>metodologia</t>
    </r>
    <r>
      <rPr>
        <b/>
        <sz val="11"/>
        <color theme="1"/>
        <rFont val="Aptos"/>
        <family val="2"/>
      </rPr>
      <t xml:space="preserve"> utilizada para estimar as transferências modais</t>
    </r>
  </si>
  <si>
    <t>3.3 Opção II - Definição dos tempos médios de viagem em movimentos pendulares</t>
  </si>
  <si>
    <t>Completar</t>
  </si>
  <si>
    <t>Modo Pedonal</t>
  </si>
  <si>
    <t xml:space="preserve">Tempo médio de viagem </t>
  </si>
  <si>
    <t>Tempo médio de viagem em hora de ponta (7 horas - 9 horas e 17 horas - 19 horas)</t>
  </si>
  <si>
    <t>Tempo médio de viagem em horário laboral (9 horas -17 horas)</t>
  </si>
  <si>
    <t>Tempo médio de viagem em horário laboral (9 horas - 17 horas)</t>
  </si>
  <si>
    <t>Tempos de viagem em movimentos pendulares</t>
  </si>
  <si>
    <t>Tempo médio de viagem em hora de ponta (7 horas- 9 horas e 17 horas - 19 horas) para deslocações até 10 km</t>
  </si>
  <si>
    <t>Tempo médio de viagem em horário laboral (9 horas - 17 horas) para deslocações até 10 km</t>
  </si>
  <si>
    <t>Ano de referência dos FE</t>
  </si>
  <si>
    <t xml:space="preserve">Elétricos </t>
  </si>
  <si>
    <t>autocarro</t>
  </si>
  <si>
    <t>automóvel</t>
  </si>
  <si>
    <t>M2 micromobilidade</t>
  </si>
  <si>
    <t>Nº total de deslocações de bicicleta/ motociclo/ trotineta anual</t>
  </si>
  <si>
    <t>Aplicar transferência modal referida no paper sobre a gira (</t>
  </si>
  <si>
    <t>modo pedonal (0  emissões)- incrementa as emissões nas BE, ME e TE</t>
  </si>
  <si>
    <t>Transferências Modais - Micromobilidade</t>
  </si>
  <si>
    <t>Qual a opção a utilizar para o cálculo das transferências modais?</t>
  </si>
  <si>
    <r>
      <rPr>
        <b/>
        <sz val="8"/>
        <color theme="1"/>
        <rFont val="Aptos"/>
        <family val="2"/>
      </rPr>
      <t>Iluminação:</t>
    </r>
    <r>
      <rPr>
        <sz val="8"/>
        <color theme="1"/>
        <rFont val="Aptos"/>
        <family val="2"/>
      </rPr>
      <t xml:space="preserve"> Consumo anual de electricidade num ano típico de operação</t>
    </r>
  </si>
  <si>
    <r>
      <rPr>
        <b/>
        <sz val="8"/>
        <color theme="1"/>
        <rFont val="Aptos"/>
        <family val="2"/>
      </rPr>
      <t>BC_Bicicletas não eléctricas</t>
    </r>
    <r>
      <rPr>
        <sz val="8"/>
        <color theme="1"/>
        <rFont val="Aptos"/>
        <family val="2"/>
      </rPr>
      <t>: número total de bicicletas em circulação previstas no projeto</t>
    </r>
  </si>
  <si>
    <r>
      <rPr>
        <b/>
        <sz val="8"/>
        <color theme="1"/>
        <rFont val="Aptos"/>
        <family val="2"/>
      </rPr>
      <t>BC_Bicicletas não eléctricas:</t>
    </r>
    <r>
      <rPr>
        <sz val="8"/>
        <color theme="1"/>
        <rFont val="Aptos"/>
        <family val="2"/>
      </rPr>
      <t xml:space="preserve"> Nº total de km percorridos por bicicleta num ano típico de funcionamento</t>
    </r>
  </si>
  <si>
    <r>
      <rPr>
        <b/>
        <sz val="8"/>
        <color theme="1"/>
        <rFont val="Aptos"/>
        <family val="2"/>
      </rPr>
      <t>BE_Bicicletas</t>
    </r>
    <r>
      <rPr>
        <sz val="8"/>
        <color theme="1"/>
        <rFont val="Aptos"/>
        <family val="2"/>
      </rPr>
      <t xml:space="preserve"> </t>
    </r>
    <r>
      <rPr>
        <b/>
        <sz val="8"/>
        <color theme="1"/>
        <rFont val="Aptos"/>
        <family val="2"/>
      </rPr>
      <t>eléctricas</t>
    </r>
    <r>
      <rPr>
        <sz val="8"/>
        <color theme="1"/>
        <rFont val="Aptos"/>
        <family val="2"/>
      </rPr>
      <t>: número total de bicicletas em circulação previstas no projeto</t>
    </r>
  </si>
  <si>
    <r>
      <rPr>
        <b/>
        <sz val="8"/>
        <color theme="1"/>
        <rFont val="Aptos"/>
        <family val="2"/>
      </rPr>
      <t>BE_Bicicletas eléctricas:</t>
    </r>
    <r>
      <rPr>
        <sz val="8"/>
        <color theme="1"/>
        <rFont val="Aptos"/>
        <family val="2"/>
      </rPr>
      <t xml:space="preserve"> Nº total de km percorridos por bicicleta num ano típico de funcionamento</t>
    </r>
  </si>
  <si>
    <r>
      <rPr>
        <b/>
        <sz val="8"/>
        <color theme="1"/>
        <rFont val="Aptos"/>
        <family val="2"/>
      </rPr>
      <t>ME_Motociclos eléctricos:</t>
    </r>
    <r>
      <rPr>
        <sz val="8"/>
        <color theme="1"/>
        <rFont val="Aptos"/>
        <family val="2"/>
      </rPr>
      <t xml:space="preserve"> número total de motociclos em circulação previstos no projeto</t>
    </r>
  </si>
  <si>
    <r>
      <rPr>
        <b/>
        <sz val="8"/>
        <color theme="1"/>
        <rFont val="Aptos"/>
        <family val="2"/>
      </rPr>
      <t>ME_Motociclos eléctricos:</t>
    </r>
    <r>
      <rPr>
        <sz val="8"/>
        <color theme="1"/>
        <rFont val="Aptos"/>
        <family val="2"/>
      </rPr>
      <t xml:space="preserve"> Nº total de km percorridos por bicicleta num ano típico de funcionamento</t>
    </r>
  </si>
  <si>
    <t>BC_Bicicletas não eléctricas</t>
  </si>
  <si>
    <t>BE_Bicicletas eléctricas</t>
  </si>
  <si>
    <t>ME_Motociclos eléctricos</t>
  </si>
  <si>
    <t>Iluminação: Consumo de electricidade</t>
  </si>
  <si>
    <r>
      <t xml:space="preserve">Ano típico de operação= Ano do </t>
    </r>
    <r>
      <rPr>
        <b/>
        <sz val="8"/>
        <color theme="1"/>
        <rFont val="Aptos"/>
        <family val="2"/>
      </rPr>
      <t>início da operação</t>
    </r>
    <r>
      <rPr>
        <sz val="8"/>
        <color theme="1"/>
        <rFont val="Aptos"/>
        <family val="2"/>
      </rPr>
      <t xml:space="preserve"> do projeto +2</t>
    </r>
  </si>
  <si>
    <t>Factor Consumo Electricidade (kWh/unidade)</t>
  </si>
  <si>
    <t>1. Cálculo das emissões absolutas:</t>
  </si>
  <si>
    <r>
      <t>Euros/ tCO</t>
    </r>
    <r>
      <rPr>
        <vertAlign val="subscript"/>
        <sz val="12"/>
        <color theme="1"/>
        <rFont val="Aptos"/>
        <family val="2"/>
      </rPr>
      <t>2eq</t>
    </r>
  </si>
  <si>
    <r>
      <t xml:space="preserve">O projeto situa-se numa zona </t>
    </r>
    <r>
      <rPr>
        <b/>
        <sz val="12"/>
        <color theme="1"/>
        <rFont val="Aptos"/>
        <family val="2"/>
      </rPr>
      <t>turística ou junto de escolas/ universidades</t>
    </r>
  </si>
  <si>
    <t>Fator de emissão GEE a utilizar</t>
  </si>
  <si>
    <t>I- Fator de emissão de GEE do utilizador</t>
  </si>
  <si>
    <t>Fator de emissão GEE a utilizar (electricidade)</t>
  </si>
  <si>
    <t>Fator de emissão de GEE do motociclo eléctrico</t>
  </si>
  <si>
    <t>% de TM micromobilidade</t>
  </si>
  <si>
    <t>Custo Sombra</t>
  </si>
  <si>
    <r>
      <t>Euro/ tCO</t>
    </r>
    <r>
      <rPr>
        <b/>
        <vertAlign val="subscript"/>
        <sz val="12"/>
        <color theme="0"/>
        <rFont val="Aptos"/>
        <family val="2"/>
      </rPr>
      <t>2eq</t>
    </r>
  </si>
  <si>
    <t xml:space="preserve">Electricidade </t>
  </si>
  <si>
    <t>Fatores de emissão electricidade  utilizador</t>
  </si>
  <si>
    <t>Transporte público</t>
  </si>
  <si>
    <t>metro</t>
  </si>
  <si>
    <t>Transferência modal (%) (utilizador)- e-bike</t>
  </si>
  <si>
    <t>Transferência modal (%) (utilizador)- bicicleta não eléctrica</t>
  </si>
  <si>
    <t>Transferência modal (%) (utilizador)- e-motociclo</t>
  </si>
  <si>
    <t>Transferência modal (%) (defeito)- bicicleta não eléctrica</t>
  </si>
  <si>
    <t>Transferência modal (%) (defeito)- e-bike</t>
  </si>
  <si>
    <t>Transferência modal (%) (defeito)- e-motociclo</t>
  </si>
  <si>
    <r>
      <t xml:space="preserve">Indicadores                                </t>
    </r>
    <r>
      <rPr>
        <sz val="20"/>
        <color theme="1"/>
        <rFont val="Aptos"/>
        <family val="2"/>
      </rPr>
      <t>modos de transporte</t>
    </r>
  </si>
  <si>
    <t>Nº passageiros</t>
  </si>
  <si>
    <t>Estimativa equipa IST com FE electricidade Rede Nacional</t>
  </si>
  <si>
    <t>FE estimado pela equipa IST</t>
  </si>
  <si>
    <t>Metro de Lisboa (metro subterrâneo)</t>
  </si>
  <si>
    <t>Metro do Porto (metro subterrâneo e de superfície)</t>
  </si>
  <si>
    <t>Comboio (passageiros)</t>
  </si>
  <si>
    <t>pkm</t>
  </si>
  <si>
    <t>Dados de Atividade/indicador</t>
  </si>
  <si>
    <t>Nacional</t>
  </si>
  <si>
    <t>Suburbano</t>
  </si>
  <si>
    <t>Linhas ferroviárias</t>
  </si>
  <si>
    <t>Electrificadas</t>
  </si>
  <si>
    <t>Não electrificadas</t>
  </si>
  <si>
    <t>Ano de referência</t>
  </si>
  <si>
    <t>Gasolina</t>
  </si>
  <si>
    <t>Eléctrico puro (bateria)</t>
  </si>
  <si>
    <t>Motociclos</t>
  </si>
  <si>
    <t>GPL</t>
  </si>
  <si>
    <t xml:space="preserve">Elétrico híbrido plug-in	</t>
  </si>
  <si>
    <t xml:space="preserve">Elétrico híbrido não plug-in	</t>
  </si>
  <si>
    <t xml:space="preserve">Coeficiente de utilização de transportes (%) das empresas de transporte rodoviário de passageiros </t>
  </si>
  <si>
    <t>Urbano/suburbano</t>
  </si>
  <si>
    <t>Interurbano</t>
  </si>
  <si>
    <t>Consumo de gás natural (m³) das empresas de transporte rodoviário de passageiros</t>
  </si>
  <si>
    <t>m3</t>
  </si>
  <si>
    <t>Gas Natural</t>
  </si>
  <si>
    <t>GPL auto</t>
  </si>
  <si>
    <t xml:space="preserve">Consumo de electricidade (kW) das empresas de transporte rodoviário de passageiros </t>
  </si>
  <si>
    <t>kW</t>
  </si>
  <si>
    <t>Electricidade</t>
  </si>
  <si>
    <t>Transporte de passageiros (pkm) pelas empresas de transporte rodoviário de passageiros</t>
  </si>
  <si>
    <t>Fertagus</t>
  </si>
  <si>
    <t>Indicador estimado</t>
  </si>
  <si>
    <t>total</t>
  </si>
  <si>
    <t xml:space="preserve">Consumo de combustível (L) das empresas de transporte rodoviário de passageiros </t>
  </si>
  <si>
    <t>Veículos de passageiros</t>
  </si>
  <si>
    <t>Emissões absolutas (Totais)</t>
  </si>
  <si>
    <t>v.km</t>
  </si>
  <si>
    <t>Custo do ano típico do projeto (n+2)</t>
  </si>
  <si>
    <t>Proporções do automóvel e do autocarro utilizadas para a as TM (estimadas de acordo com os dados do INE 2023- Estatísticas do transporte)</t>
  </si>
  <si>
    <t>Carro</t>
  </si>
  <si>
    <t>Hibrido (motor desconhecido)</t>
  </si>
  <si>
    <t>Eléctrico- bateria</t>
  </si>
  <si>
    <t>(%*FE)</t>
  </si>
  <si>
    <t>Pressuposto equipa IST</t>
  </si>
  <si>
    <t>autocarros</t>
  </si>
  <si>
    <t>Fator de Emissão (sem ACV)</t>
  </si>
  <si>
    <t>Hibrido (plug in)</t>
  </si>
  <si>
    <t>autocarro standard (energia utilizada desconhecida)</t>
  </si>
  <si>
    <t>automóvel (energia utilizada desconhecida)</t>
  </si>
  <si>
    <t>FE</t>
  </si>
  <si>
    <t>A: veiculo</t>
  </si>
  <si>
    <t>B: TM (Nº bicicletas*Nº km ano* %TM)-                                 unidade: km evitados/ veículo</t>
  </si>
  <si>
    <t>bike não electrica</t>
  </si>
  <si>
    <t>e-motociclo</t>
  </si>
  <si>
    <t>e-trotineta</t>
  </si>
  <si>
    <t>bicicleta não eléctrica</t>
  </si>
  <si>
    <t xml:space="preserve"> e-motociclo</t>
  </si>
  <si>
    <t>Redes e vias Total A+B (emissões evitadas) com  ACV</t>
  </si>
  <si>
    <t>FE metro</t>
  </si>
  <si>
    <t>GOOD TO GO? ASSESSING THE ENVIRONMENTAL PERFORMANCE OF NEW MOBILITY © OECD/ITF 2020</t>
  </si>
  <si>
    <t xml:space="preserve">Estimativa equipa IST com FE electricidade Rede Nacional </t>
  </si>
  <si>
    <t xml:space="preserve">metro </t>
  </si>
  <si>
    <t>Ferry (passageiros)</t>
  </si>
  <si>
    <t>Ferry - combustão</t>
  </si>
  <si>
    <t>2020,  International  Transport Forum- BoardCPBGood to Go? Assessing the Environmental Performance of New Mobility</t>
  </si>
  <si>
    <t>Nº Passageiros</t>
  </si>
  <si>
    <t>Carris- Elétricos (&lt;221 passageiros)</t>
  </si>
  <si>
    <t>Tipo de projeto</t>
  </si>
  <si>
    <t>4.4 Resultados (Subtotais do projeto)</t>
  </si>
  <si>
    <t>Fator de emissão  (kgCO2e/p.km)- utilizador</t>
  </si>
  <si>
    <t>Fórmula= (Nº total de km * FE)/1000</t>
  </si>
  <si>
    <t>Carro (nº de carros)</t>
  </si>
  <si>
    <t>autocarros (tipo de energia)</t>
  </si>
  <si>
    <t>Transferência modal (%) (defeito- AML)- Estudo Gira</t>
  </si>
  <si>
    <t>Fator de emissão GEE (electricidade) do utilizador (obrigatório)</t>
  </si>
  <si>
    <t xml:space="preserve">Fator de emissão e-bicicleta </t>
  </si>
  <si>
    <t xml:space="preserve">Fator de emissão e-motociclo </t>
  </si>
  <si>
    <t>Fator de Emissão (sem ACV) (kg/pkm)</t>
  </si>
  <si>
    <t>C= B* FE                                                 Emissões Referência  (sem ACV)- ton CO2e/pkm</t>
  </si>
  <si>
    <r>
      <rPr>
        <b/>
        <sz val="8"/>
        <color theme="1"/>
        <rFont val="Aptos"/>
        <family val="2"/>
      </rPr>
      <t>Localização</t>
    </r>
    <r>
      <rPr>
        <sz val="8"/>
        <color theme="1"/>
        <rFont val="Aptos"/>
        <family val="2"/>
      </rPr>
      <t xml:space="preserve"> do projeto</t>
    </r>
  </si>
  <si>
    <r>
      <t xml:space="preserve">Nº total de </t>
    </r>
    <r>
      <rPr>
        <b/>
        <sz val="8"/>
        <color theme="1"/>
        <rFont val="Aptos"/>
        <family val="2"/>
      </rPr>
      <t xml:space="preserve">trotinetas </t>
    </r>
    <r>
      <rPr>
        <b/>
        <u/>
        <sz val="8"/>
        <color theme="1"/>
        <rFont val="Aptos"/>
        <family val="2"/>
      </rPr>
      <t>partilhadas</t>
    </r>
    <r>
      <rPr>
        <sz val="8"/>
        <color theme="1"/>
        <rFont val="Aptos"/>
        <family val="2"/>
      </rPr>
      <t xml:space="preserve"> em circulação previstas no projeto num ano típico de funcionamento</t>
    </r>
  </si>
  <si>
    <r>
      <t>Nº total de km percorridos por</t>
    </r>
    <r>
      <rPr>
        <b/>
        <sz val="8"/>
        <color theme="1"/>
        <rFont val="Aptos"/>
        <family val="2"/>
      </rPr>
      <t xml:space="preserve"> trotineta </t>
    </r>
    <r>
      <rPr>
        <b/>
        <u/>
        <sz val="8"/>
        <color theme="1"/>
        <rFont val="Aptos"/>
        <family val="2"/>
      </rPr>
      <t>partilhada</t>
    </r>
    <r>
      <rPr>
        <sz val="8"/>
        <color theme="1"/>
        <rFont val="Aptos"/>
        <family val="2"/>
      </rPr>
      <t xml:space="preserve"> num ano típico de funcionamento</t>
    </r>
  </si>
  <si>
    <r>
      <t>Nº total de</t>
    </r>
    <r>
      <rPr>
        <b/>
        <sz val="8"/>
        <color theme="1"/>
        <rFont val="Aptos"/>
        <family val="2"/>
      </rPr>
      <t xml:space="preserve"> trotinetas </t>
    </r>
    <r>
      <rPr>
        <b/>
        <u/>
        <sz val="8"/>
        <color theme="1"/>
        <rFont val="Aptos"/>
        <family val="2"/>
      </rPr>
      <t>privadas</t>
    </r>
    <r>
      <rPr>
        <sz val="8"/>
        <color theme="1"/>
        <rFont val="Aptos"/>
        <family val="2"/>
      </rPr>
      <t xml:space="preserve"> em circulação previstas no projeto num ano típico de funcionamento</t>
    </r>
  </si>
  <si>
    <r>
      <t>Nº total de km percorridos por</t>
    </r>
    <r>
      <rPr>
        <b/>
        <sz val="8"/>
        <color theme="1"/>
        <rFont val="Aptos"/>
        <family val="2"/>
      </rPr>
      <t xml:space="preserve"> trotineta </t>
    </r>
    <r>
      <rPr>
        <b/>
        <u/>
        <sz val="8"/>
        <color theme="1"/>
        <rFont val="Aptos"/>
        <family val="2"/>
      </rPr>
      <t>privada</t>
    </r>
    <r>
      <rPr>
        <sz val="8"/>
        <color theme="1"/>
        <rFont val="Aptos"/>
        <family val="2"/>
      </rPr>
      <t xml:space="preserve"> num ano típico de funcionamento</t>
    </r>
  </si>
  <si>
    <t>TE_Trotinetas eléctricas partilhadas</t>
  </si>
  <si>
    <t>TE_Trotinetas eléctricas privadas</t>
  </si>
  <si>
    <t>% TM (defeito)</t>
  </si>
  <si>
    <t>Transferência modal (%) (defeito)- e-trotineta privada</t>
  </si>
  <si>
    <t>Transferência modal (%) (defeito)- e-trotineta partilhada</t>
  </si>
  <si>
    <t>e-trotineta privada</t>
  </si>
  <si>
    <t>e-trotineta partilhada</t>
  </si>
  <si>
    <t>Transferência modal (%) (utilizador)- e-trotineta partilhada</t>
  </si>
  <si>
    <t>Transferência modal (%) (utilizador)- e-trotineta privada</t>
  </si>
  <si>
    <t>modo pedonal (0  emissões)</t>
  </si>
  <si>
    <t>Nº total de autocarros em circulação/ novos previstos no projeto num ano típico de funcionamento</t>
  </si>
  <si>
    <t>Minibus -elétrico</t>
  </si>
  <si>
    <t>Minibus -combustão</t>
  </si>
  <si>
    <t>Autocarro standard- elétrico</t>
  </si>
  <si>
    <t>Autocarro standard- combustão</t>
  </si>
  <si>
    <t>Autocarros articulados/ BRT  - elétrico</t>
  </si>
  <si>
    <t>Autocarros articulados/ BRT  -combustão</t>
  </si>
  <si>
    <t>Nº total de km percorridos por um autocarro num ano típico de funcionamento</t>
  </si>
  <si>
    <t>Autocarro Standard: elétrico (&lt; 85 passageiros)</t>
  </si>
  <si>
    <t>Autocarros Articulados/ Bus Rapid Transit: elétrico  (&lt;130 passageiros)</t>
  </si>
  <si>
    <t>Autocarro Standard: combustivel (&lt; 85 passageiros)</t>
  </si>
  <si>
    <t>Fator de emissão de GEE (eletricidade)</t>
  </si>
  <si>
    <t>Bicicletas elétricas</t>
  </si>
  <si>
    <t>Trotinetas elétricas</t>
  </si>
  <si>
    <t>Bicicletas não elétricas ou convencionais</t>
  </si>
  <si>
    <t>TE_Trotinetas elétricas: tempo médio de viagem em movimentos pendulares</t>
  </si>
  <si>
    <t>Bicicletas não elétricas</t>
  </si>
  <si>
    <t>Fator de emissão de GEE da bicicleta elétrica</t>
  </si>
  <si>
    <t>Trotineta elétrica</t>
  </si>
  <si>
    <t>Motociclos elétricos</t>
  </si>
  <si>
    <t>Motociclos elétrico</t>
  </si>
  <si>
    <t>Comboios urbanos</t>
  </si>
  <si>
    <t>Comboios (metro subterrâneo)</t>
  </si>
  <si>
    <t>Comboios (metro de superfície)</t>
  </si>
  <si>
    <t>Elétricos</t>
  </si>
  <si>
    <t>Comboios (metro de superfície + subterrâneo)</t>
  </si>
  <si>
    <t>Emissões Absolutas</t>
  </si>
  <si>
    <t>Trotinetas elétricas partilhadas</t>
  </si>
  <si>
    <t>Trotinetas elétricas privadas</t>
  </si>
  <si>
    <t>Trotinetas elétricas (partilhadas)</t>
  </si>
  <si>
    <t>Comboio urbano</t>
  </si>
  <si>
    <t>Elétrico</t>
  </si>
  <si>
    <r>
      <t xml:space="preserve">Indicadores                                </t>
    </r>
    <r>
      <rPr>
        <sz val="18"/>
        <color theme="1"/>
        <rFont val="Aptos"/>
        <family val="2"/>
      </rPr>
      <t>autocarros urbanos</t>
    </r>
  </si>
  <si>
    <t>Barco elétrico</t>
  </si>
  <si>
    <r>
      <t xml:space="preserve">Qual a TM expectável do </t>
    </r>
    <r>
      <rPr>
        <b/>
        <sz val="14"/>
        <color theme="1"/>
        <rFont val="Aptos"/>
        <family val="2"/>
      </rPr>
      <t>metro</t>
    </r>
    <r>
      <rPr>
        <sz val="14"/>
        <color theme="1"/>
        <rFont val="Aptos"/>
        <family val="2"/>
      </rPr>
      <t xml:space="preserve"> para o </t>
    </r>
    <r>
      <rPr>
        <b/>
        <sz val="14"/>
        <color theme="1"/>
        <rFont val="Aptos"/>
        <family val="2"/>
      </rPr>
      <t>minibus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</si>
  <si>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minibus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</si>
  <si>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minibus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</si>
  <si>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autocarro standard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</si>
  <si>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autocarro standard </t>
    </r>
    <r>
      <rPr>
        <b/>
        <sz val="14"/>
        <color theme="1"/>
        <rFont val="Aptos"/>
        <family val="2"/>
      </rPr>
      <t>a combustível</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</si>
  <si>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autocarro standard a combustível</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</si>
  <si>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</si>
  <si>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o </t>
    </r>
    <r>
      <rPr>
        <b/>
        <sz val="14"/>
        <color theme="1"/>
        <rFont val="Aptos"/>
        <family val="2"/>
      </rPr>
      <t xml:space="preserve"> autocarro articulado/BRT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</si>
  <si>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articulado/BRT a combustão</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</si>
  <si>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o </t>
    </r>
    <r>
      <rPr>
        <b/>
        <sz val="14"/>
        <color theme="1"/>
        <rFont val="Aptos"/>
        <family val="2"/>
      </rPr>
      <t xml:space="preserve"> autocarro articulado/BRT a combustão</t>
    </r>
    <r>
      <rPr>
        <sz val="14"/>
        <color theme="1"/>
        <rFont val="Aptos"/>
        <family val="2"/>
      </rPr>
      <t>?</t>
    </r>
  </si>
  <si>
    <r>
      <t xml:space="preserve">Fator de emissão de GEE - </t>
    </r>
    <r>
      <rPr>
        <b/>
        <sz val="14"/>
        <color theme="1"/>
        <rFont val="Aptos"/>
        <family val="2"/>
      </rPr>
      <t>material circulante elétrico</t>
    </r>
  </si>
  <si>
    <r>
      <t>tCO</t>
    </r>
    <r>
      <rPr>
        <vertAlign val="subscript"/>
        <sz val="14"/>
        <color theme="1"/>
        <rFont val="Aptos"/>
        <family val="2"/>
      </rPr>
      <t>2eq</t>
    </r>
    <r>
      <rPr>
        <sz val="14"/>
        <color theme="1"/>
        <rFont val="Aptos"/>
        <family val="2"/>
      </rPr>
      <t>/ano</t>
    </r>
  </si>
  <si>
    <r>
      <rPr>
        <b/>
        <sz val="14"/>
        <color theme="1"/>
        <rFont val="Aptos"/>
        <family val="2"/>
      </rPr>
      <t>A</t>
    </r>
    <r>
      <rPr>
        <b/>
        <vertAlign val="subscript"/>
        <sz val="14"/>
        <color theme="1"/>
        <rFont val="Aptos"/>
        <family val="2"/>
      </rPr>
      <t>b</t>
    </r>
    <r>
      <rPr>
        <b/>
        <sz val="14"/>
        <color theme="1"/>
        <rFont val="Aptos"/>
        <family val="2"/>
      </rPr>
      <t>: Emissões Absolutas</t>
    </r>
    <r>
      <rPr>
        <sz val="14"/>
        <color theme="1"/>
        <rFont val="Aptos"/>
        <family val="2"/>
      </rPr>
      <t xml:space="preserve"> Totais </t>
    </r>
  </si>
  <si>
    <r>
      <rPr>
        <b/>
        <sz val="14"/>
        <color theme="1"/>
        <rFont val="Aptos"/>
        <family val="2"/>
      </rPr>
      <t>B</t>
    </r>
    <r>
      <rPr>
        <b/>
        <vertAlign val="subscript"/>
        <sz val="14"/>
        <color theme="1"/>
        <rFont val="Aptos"/>
        <family val="2"/>
      </rPr>
      <t>e</t>
    </r>
    <r>
      <rPr>
        <b/>
        <sz val="14"/>
        <color theme="1"/>
        <rFont val="Aptos"/>
        <family val="2"/>
      </rPr>
      <t>: Emissões de Referência</t>
    </r>
    <r>
      <rPr>
        <sz val="14"/>
        <color theme="1"/>
        <rFont val="Aptos"/>
        <family val="2"/>
      </rPr>
      <t xml:space="preserve"> Totais</t>
    </r>
  </si>
  <si>
    <r>
      <rPr>
        <b/>
        <sz val="14"/>
        <color theme="1"/>
        <rFont val="Aptos"/>
        <family val="2"/>
      </rPr>
      <t>CS: Custo Sombra</t>
    </r>
    <r>
      <rPr>
        <sz val="14"/>
        <color theme="1"/>
        <rFont val="Aptos"/>
        <family val="2"/>
      </rPr>
      <t xml:space="preserve"> das emissões evitadas totais</t>
    </r>
  </si>
  <si>
    <r>
      <t>Euros/ tCO</t>
    </r>
    <r>
      <rPr>
        <vertAlign val="subscript"/>
        <sz val="14"/>
        <color theme="1"/>
        <rFont val="Aptos"/>
        <family val="2"/>
      </rPr>
      <t>2eq</t>
    </r>
  </si>
  <si>
    <r>
      <rPr>
        <b/>
        <sz val="14"/>
        <color theme="1"/>
        <rFont val="Aptos"/>
        <family val="2"/>
      </rPr>
      <t>CS: Custo Sombra</t>
    </r>
    <r>
      <rPr>
        <sz val="14"/>
        <color theme="1"/>
        <rFont val="Aptos"/>
        <family val="2"/>
      </rPr>
      <t xml:space="preserve"> das emissões            evitadas totais</t>
    </r>
  </si>
  <si>
    <r>
      <t>tCO</t>
    </r>
    <r>
      <rPr>
        <vertAlign val="subscript"/>
        <sz val="14"/>
        <rFont val="Aptos"/>
        <family val="2"/>
      </rPr>
      <t>2eq</t>
    </r>
    <r>
      <rPr>
        <sz val="14"/>
        <rFont val="Aptos"/>
        <family val="2"/>
      </rPr>
      <t>/ano</t>
    </r>
  </si>
  <si>
    <r>
      <rPr>
        <b/>
        <sz val="14"/>
        <rFont val="Aptos"/>
        <family val="2"/>
      </rPr>
      <t>Emissões de Referência</t>
    </r>
    <r>
      <rPr>
        <sz val="14"/>
        <rFont val="Aptos"/>
        <family val="2"/>
      </rPr>
      <t xml:space="preserve"> </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</si>
  <si>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minibus elétrico</t>
    </r>
    <r>
      <rPr>
        <sz val="14"/>
        <color theme="1"/>
        <rFont val="Aptos"/>
        <family val="2"/>
      </rPr>
      <t>?</t>
    </r>
  </si>
  <si>
    <t>TM2_autocarros</t>
  </si>
  <si>
    <t>Minibus: Fator de emissão de GEE - material circulante elétrico</t>
  </si>
  <si>
    <t>Minibus: Fator de emissão de GEE - material circulante combustão</t>
  </si>
  <si>
    <t>Autocarro Standard: Fator de emissão de GEE - material circulante elétrico</t>
  </si>
  <si>
    <t>Autocarro Standard: Fator de emissão de GEE - material circulante combustão</t>
  </si>
  <si>
    <t>BRT: Fator de emissão de GEE - material circulante elétrico</t>
  </si>
  <si>
    <t>BRT: Fator de emissão de GEE - material circulante combustão</t>
  </si>
  <si>
    <t>Articulado/ BRT - Gasóleo (&lt; 130 passageiros)</t>
  </si>
  <si>
    <t>Articulado/ BRT - GNC  (&lt; 130 passageiros)</t>
  </si>
  <si>
    <t>0.09177</t>
  </si>
  <si>
    <t xml:space="preserve">Estimativa Equipa IST baseado no Relatório de Sustentabilidade - Triénio 2021 a 2023 da CP. </t>
  </si>
  <si>
    <t>CP- Comboios de Portugal  (Gasóleo)</t>
  </si>
  <si>
    <t>Standard-GNL (&lt;85 passageiros)</t>
  </si>
  <si>
    <t>Standard- Gasóleo (&lt;85 passageiros)</t>
  </si>
  <si>
    <t>Fator de emissão GEE (eletricidade) do utilizador (obrigatório)</t>
  </si>
  <si>
    <t>Minibus elétrico</t>
  </si>
  <si>
    <t>Minibus combustão</t>
  </si>
  <si>
    <t>Standard elétrico</t>
  </si>
  <si>
    <t>BRT elétrico</t>
  </si>
  <si>
    <t>BRT combustão</t>
  </si>
  <si>
    <t>Transferências Modais - Autocarros</t>
  </si>
  <si>
    <t>Standard combustão</t>
  </si>
  <si>
    <t>BRTs elétrico</t>
  </si>
  <si>
    <t>BRTs combustão</t>
  </si>
  <si>
    <t>Transferência modal (%) Minibus- elétrico</t>
  </si>
  <si>
    <t>Transferência modal (%) Minibus- combustão</t>
  </si>
  <si>
    <t>Transferência modal (%) Standard- elétrico</t>
  </si>
  <si>
    <t>Transferência modal (%) Standard- combustão</t>
  </si>
  <si>
    <t>Transferência modal (%) BRT- elétrico</t>
  </si>
  <si>
    <t>Transferência modal (%) BRT- combustão</t>
  </si>
  <si>
    <t>Material Circulante</t>
  </si>
  <si>
    <t>B: TM (Nº autocarros*Nº km ano* %TM)-                                 unidade: km / veículo</t>
  </si>
  <si>
    <t>BRT- elétrico</t>
  </si>
  <si>
    <t xml:space="preserve"> BRT- combustão</t>
  </si>
  <si>
    <t xml:space="preserve"> Standard- combustão</t>
  </si>
  <si>
    <t>Standard- elétrico</t>
  </si>
  <si>
    <t xml:space="preserve"> Minibus- combustão</t>
  </si>
  <si>
    <t xml:space="preserve"> Minibus- elétrico</t>
  </si>
  <si>
    <t>Minibus (elétrico)</t>
  </si>
  <si>
    <t>Autocarro Standard (elétrico)</t>
  </si>
  <si>
    <r>
      <rPr>
        <b/>
        <sz val="14"/>
        <color theme="1"/>
        <rFont val="Aptos"/>
        <family val="2"/>
      </rPr>
      <t>En: Emissões Totais</t>
    </r>
    <r>
      <rPr>
        <sz val="14"/>
        <color theme="1"/>
        <rFont val="Aptos"/>
        <family val="2"/>
      </rPr>
      <t xml:space="preserve"> do consumo de eletricidade (transporte elétrico)</t>
    </r>
    <r>
      <rPr>
        <b/>
        <sz val="14"/>
        <color theme="1"/>
        <rFont val="Aptos"/>
        <family val="2"/>
      </rPr>
      <t xml:space="preserve"> </t>
    </r>
  </si>
  <si>
    <t>Autocarro Articulado/                      Bus Rapid Transit (elétrico)</t>
  </si>
  <si>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minibus a combustão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</si>
  <si>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standard elétrico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</si>
  <si>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standard a combustível</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</si>
  <si>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</si>
  <si>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autocarro articulado/BRT a combustão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</si>
  <si>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</si>
  <si>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(subterrâneo)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</si>
  <si>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metro (subterrâneo))</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</si>
  <si>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(superficie)</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</si>
  <si>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o metro</t>
    </r>
    <r>
      <rPr>
        <b/>
        <sz val="14"/>
        <color theme="1"/>
        <rFont val="Aptos"/>
        <family val="2"/>
      </rPr>
      <t xml:space="preserve"> (superficie)?</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</si>
  <si>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t>
    </r>
    <r>
      <rPr>
        <b/>
        <sz val="14"/>
        <color theme="1"/>
        <rFont val="Aptos"/>
        <family val="2"/>
      </rPr>
      <t xml:space="preserve"> elétrico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</si>
  <si>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elétrico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</si>
  <si>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elétrico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</si>
  <si>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barco elétrico?</t>
    </r>
  </si>
  <si>
    <r>
      <t xml:space="preserve">Qual a TM expectável do </t>
    </r>
    <r>
      <rPr>
        <b/>
        <sz val="14"/>
        <color theme="1"/>
        <rFont val="Aptos"/>
        <family val="2"/>
      </rPr>
      <t>comboio urbano</t>
    </r>
    <r>
      <rPr>
        <sz val="14"/>
        <color theme="1"/>
        <rFont val="Aptos"/>
        <family val="2"/>
      </rPr>
      <t xml:space="preserve"> para o barco elétrico?</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</si>
  <si>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de energia desconhecida)</t>
    </r>
    <r>
      <rPr>
        <sz val="14"/>
        <color theme="1"/>
        <rFont val="Aptos"/>
        <family val="2"/>
      </rPr>
      <t xml:space="preserve"> para o barco elétrico?</t>
    </r>
  </si>
  <si>
    <t>TM2_ferrovia</t>
  </si>
  <si>
    <t>Comboios urbanos: Fator de emissão de GEE - material circulante elétrico</t>
  </si>
  <si>
    <t>Comboios metro subterrâneo</t>
  </si>
  <si>
    <t>Comboios metro superfície</t>
  </si>
  <si>
    <t>Comboios metro superficie+ subterrâneo</t>
  </si>
  <si>
    <t>Comboios metro superficie</t>
  </si>
  <si>
    <t>Comboios metro superficie + subterrâneo</t>
  </si>
  <si>
    <t>Metro de superfície</t>
  </si>
  <si>
    <t>Comboios metro superficie: Fator de emissão de GEE - material circulante elétrico</t>
  </si>
  <si>
    <t>Transferência modal (%) Metro Superficie</t>
  </si>
  <si>
    <t>Transferência modal (%) Metro subterrâneo</t>
  </si>
  <si>
    <t>Transferência modal (%) Metro Superficie + Subterrâneo</t>
  </si>
  <si>
    <t>Transferência modal (%) Elétrico</t>
  </si>
  <si>
    <t>Transferências Modais - ferrovia</t>
  </si>
  <si>
    <t>Comboios Urbanos</t>
  </si>
  <si>
    <t>Metro subterrâneo</t>
  </si>
  <si>
    <t>Metro Superficie</t>
  </si>
  <si>
    <t xml:space="preserve"> Metro Superficie + Subterrâneo</t>
  </si>
  <si>
    <t xml:space="preserve"> Elétrico</t>
  </si>
  <si>
    <t>TM2_Transporte Fluvial</t>
  </si>
  <si>
    <t>Fator de Emissão (ACV) (kg/pkm)</t>
  </si>
  <si>
    <r>
      <rPr>
        <b/>
        <sz val="14"/>
        <color theme="1"/>
        <rFont val="Aptos"/>
        <family val="2"/>
      </rPr>
      <t xml:space="preserve">En: </t>
    </r>
    <r>
      <rPr>
        <sz val="14"/>
        <color theme="1"/>
        <rFont val="Aptos"/>
        <family val="2"/>
      </rPr>
      <t>Consumo de eletricidade (transporte elétrico)</t>
    </r>
    <r>
      <rPr>
        <b/>
        <sz val="14"/>
        <color theme="1"/>
        <rFont val="Aptos"/>
        <family val="2"/>
      </rPr>
      <t xml:space="preserve"> </t>
    </r>
  </si>
  <si>
    <t xml:space="preserve">Fator de emissão GEE do utilizador </t>
  </si>
  <si>
    <t>Quadro A</t>
  </si>
  <si>
    <t>Quadro B</t>
  </si>
  <si>
    <t>Cálculos adicionais do utilizador</t>
  </si>
  <si>
    <t>Glossário</t>
  </si>
  <si>
    <r>
      <t>CO</t>
    </r>
    <r>
      <rPr>
        <b/>
        <vertAlign val="subscript"/>
        <sz val="12"/>
        <color theme="0" tint="-4.9989318521683403E-2"/>
        <rFont val="Aptos"/>
        <family val="2"/>
      </rPr>
      <t xml:space="preserve">2 </t>
    </r>
  </si>
  <si>
    <r>
      <t>CH</t>
    </r>
    <r>
      <rPr>
        <b/>
        <vertAlign val="subscript"/>
        <sz val="12"/>
        <color theme="0" tint="-4.9989318521683403E-2"/>
        <rFont val="Aptos"/>
        <family val="2"/>
      </rPr>
      <t>4</t>
    </r>
  </si>
  <si>
    <r>
      <t>N</t>
    </r>
    <r>
      <rPr>
        <b/>
        <vertAlign val="subscript"/>
        <sz val="12"/>
        <color theme="0" tint="-4.9989318521683403E-2"/>
        <rFont val="Aptos"/>
        <family val="2"/>
      </rPr>
      <t>2</t>
    </r>
    <r>
      <rPr>
        <b/>
        <sz val="12"/>
        <color theme="0" tint="-4.9989318521683403E-2"/>
        <rFont val="Aptos"/>
        <family val="2"/>
      </rPr>
      <t>O</t>
    </r>
  </si>
  <si>
    <r>
      <t xml:space="preserve">Fonte: Mendes, J. </t>
    </r>
    <r>
      <rPr>
        <i/>
        <sz val="12"/>
        <color theme="1"/>
        <rFont val="Aptos"/>
        <family val="2"/>
      </rPr>
      <t xml:space="preserve">et al. </t>
    </r>
    <r>
      <rPr>
        <sz val="12"/>
        <color theme="1"/>
        <rFont val="Aptos"/>
        <family val="2"/>
      </rPr>
      <t xml:space="preserve"> (2022). CleanBusPT . Transporte Público Urbano em Portugal: O caminho para as zero emissões. Dados estimados a partir dos valores para os Autocarros standard (Fonte: APA, NATIONAL INVENTORY REPORT 2021 PORTUGAL) tendo em conta a ponderação a partir da relação de consumos face ao veículo Standard</t>
    </r>
  </si>
  <si>
    <t>Fatores de Conversão</t>
  </si>
  <si>
    <r>
      <t xml:space="preserve">Fator de emissão de GEE da trotineta elétrica </t>
    </r>
    <r>
      <rPr>
        <u/>
        <sz val="14"/>
        <color theme="1"/>
        <rFont val="Aptos"/>
        <family val="2"/>
      </rPr>
      <t>partilhada</t>
    </r>
  </si>
  <si>
    <r>
      <t xml:space="preserve">Fator de emissão de GEE da trotineta elétrica </t>
    </r>
    <r>
      <rPr>
        <u/>
        <sz val="14"/>
        <color theme="1"/>
        <rFont val="Aptos"/>
        <family val="2"/>
      </rPr>
      <t>privada</t>
    </r>
  </si>
  <si>
    <r>
      <t xml:space="preserve">Nº total de trotinetas </t>
    </r>
    <r>
      <rPr>
        <b/>
        <u/>
        <sz val="14"/>
        <color theme="1"/>
        <rFont val="Aptos"/>
        <family val="2"/>
      </rPr>
      <t>privadas</t>
    </r>
    <r>
      <rPr>
        <b/>
        <sz val="14"/>
        <color theme="1"/>
        <rFont val="Aptos"/>
        <family val="2"/>
      </rPr>
      <t xml:space="preserve"> </t>
    </r>
    <r>
      <rPr>
        <sz val="14"/>
        <color theme="1"/>
        <rFont val="Aptos"/>
        <family val="2"/>
      </rPr>
      <t>em circulação previstas no projeto num ano típico de funcionamento</t>
    </r>
  </si>
  <si>
    <r>
      <t xml:space="preserve">Qual a TM expectável do </t>
    </r>
    <r>
      <rPr>
        <b/>
        <sz val="14"/>
        <color theme="1"/>
        <rFont val="Aptos"/>
        <family val="2"/>
      </rPr>
      <t>automóvel</t>
    </r>
    <r>
      <rPr>
        <sz val="14"/>
        <color theme="1"/>
        <rFont val="Aptos"/>
        <family val="2"/>
      </rPr>
      <t xml:space="preserve"> (combustível desconhecido) para a bicicleta não elétrica?</t>
    </r>
  </si>
  <si>
    <r>
      <t xml:space="preserve">Qual a TM expectável do </t>
    </r>
    <r>
      <rPr>
        <b/>
        <sz val="14"/>
        <color theme="1"/>
        <rFont val="Aptos"/>
        <family val="2"/>
      </rPr>
      <t>autocarro</t>
    </r>
    <r>
      <rPr>
        <sz val="14"/>
        <color theme="1"/>
        <rFont val="Aptos"/>
        <family val="2"/>
      </rPr>
      <t xml:space="preserve"> (combustível desconhecido) para a bicicleta não elétrica?</t>
    </r>
  </si>
  <si>
    <r>
      <t xml:space="preserve">Qual a TM expectável do </t>
    </r>
    <r>
      <rPr>
        <b/>
        <sz val="14"/>
        <color theme="1"/>
        <rFont val="Aptos"/>
        <family val="2"/>
      </rPr>
      <t>metro</t>
    </r>
    <r>
      <rPr>
        <sz val="14"/>
        <color theme="1"/>
        <rFont val="Aptos"/>
        <family val="2"/>
      </rPr>
      <t xml:space="preserve"> para a bicicleta não elétrica?</t>
    </r>
  </si>
  <si>
    <r>
      <t xml:space="preserve">Qual a TM expectável do </t>
    </r>
    <r>
      <rPr>
        <b/>
        <sz val="14"/>
        <color theme="1"/>
        <rFont val="Aptos"/>
        <family val="2"/>
      </rPr>
      <t>automóvel</t>
    </r>
    <r>
      <rPr>
        <sz val="14"/>
        <color theme="1"/>
        <rFont val="Aptos"/>
        <family val="2"/>
      </rPr>
      <t xml:space="preserve"> (combustível desconhecido) para a bicicleta elétrica?</t>
    </r>
  </si>
  <si>
    <r>
      <t xml:space="preserve">Qual a TM expectável do </t>
    </r>
    <r>
      <rPr>
        <b/>
        <sz val="14"/>
        <color theme="1"/>
        <rFont val="Aptos"/>
        <family val="2"/>
      </rPr>
      <t>autocarro</t>
    </r>
    <r>
      <rPr>
        <sz val="14"/>
        <color theme="1"/>
        <rFont val="Aptos"/>
        <family val="2"/>
      </rPr>
      <t xml:space="preserve"> (combustível desconhecido) para a bicicleta elétrica?</t>
    </r>
  </si>
  <si>
    <r>
      <t xml:space="preserve">Qual a TM expectável do </t>
    </r>
    <r>
      <rPr>
        <b/>
        <sz val="14"/>
        <color theme="1"/>
        <rFont val="Aptos"/>
        <family val="2"/>
      </rPr>
      <t>metro</t>
    </r>
    <r>
      <rPr>
        <sz val="14"/>
        <color theme="1"/>
        <rFont val="Aptos"/>
        <family val="2"/>
      </rPr>
      <t xml:space="preserve"> para a bicicleta elétrica?</t>
    </r>
  </si>
  <si>
    <r>
      <t xml:space="preserve">Qual a TM expectável do </t>
    </r>
    <r>
      <rPr>
        <b/>
        <sz val="14"/>
        <color theme="1"/>
        <rFont val="Aptos"/>
        <family val="2"/>
      </rPr>
      <t>comboio urbano</t>
    </r>
    <r>
      <rPr>
        <sz val="14"/>
        <color theme="1"/>
        <rFont val="Aptos"/>
        <family val="2"/>
      </rPr>
      <t xml:space="preserve"> para a bicicleta elétrica?</t>
    </r>
  </si>
  <si>
    <r>
      <t xml:space="preserve">Qual a TM expectável do </t>
    </r>
    <r>
      <rPr>
        <b/>
        <sz val="14"/>
        <color theme="1"/>
        <rFont val="Aptos"/>
        <family val="2"/>
      </rPr>
      <t>automóvel</t>
    </r>
    <r>
      <rPr>
        <sz val="14"/>
        <color theme="1"/>
        <rFont val="Aptos"/>
        <family val="2"/>
      </rPr>
      <t xml:space="preserve"> (combustível desconhecido) para o motociclo eléctrico?</t>
    </r>
  </si>
  <si>
    <r>
      <t xml:space="preserve">Qual a TM expectável do </t>
    </r>
    <r>
      <rPr>
        <b/>
        <sz val="14"/>
        <color theme="1"/>
        <rFont val="Aptos"/>
        <family val="2"/>
      </rPr>
      <t>autocarro</t>
    </r>
    <r>
      <rPr>
        <sz val="14"/>
        <color theme="1"/>
        <rFont val="Aptos"/>
        <family val="2"/>
      </rPr>
      <t xml:space="preserve"> (combustível desconhecido) para a moticiclo eléctrico?</t>
    </r>
  </si>
  <si>
    <r>
      <t xml:space="preserve">Qual a TM expectável do </t>
    </r>
    <r>
      <rPr>
        <b/>
        <sz val="14"/>
        <color theme="1"/>
        <rFont val="Aptos"/>
        <family val="2"/>
      </rPr>
      <t>metro</t>
    </r>
    <r>
      <rPr>
        <sz val="14"/>
        <color theme="1"/>
        <rFont val="Aptos"/>
        <family val="2"/>
      </rPr>
      <t xml:space="preserve"> para a moticiclo eléctrico?</t>
    </r>
  </si>
  <si>
    <r>
      <t xml:space="preserve">Qual a TM expectável do </t>
    </r>
    <r>
      <rPr>
        <b/>
        <sz val="14"/>
        <color theme="1"/>
        <rFont val="Aptos"/>
        <family val="2"/>
      </rPr>
      <t>comboio urbano</t>
    </r>
    <r>
      <rPr>
        <sz val="14"/>
        <color theme="1"/>
        <rFont val="Aptos"/>
        <family val="2"/>
      </rPr>
      <t xml:space="preserve"> para a moticiclo eléctrico?</t>
    </r>
  </si>
  <si>
    <r>
      <rPr>
        <b/>
        <sz val="14"/>
        <color theme="1"/>
        <rFont val="Aptos"/>
        <family val="2"/>
      </rPr>
      <t>CS_Custo Sombra</t>
    </r>
    <r>
      <rPr>
        <sz val="14"/>
        <color theme="1"/>
        <rFont val="Aptos"/>
        <family val="2"/>
      </rPr>
      <t xml:space="preserve"> das emissões evitadas totais</t>
    </r>
  </si>
  <si>
    <t>Emissões Evitadas</t>
  </si>
  <si>
    <t>Emissões de Referência</t>
  </si>
  <si>
    <t>Motociclo elétrico</t>
  </si>
  <si>
    <r>
      <t xml:space="preserve">Qual a TM expectável do </t>
    </r>
    <r>
      <rPr>
        <b/>
        <sz val="14"/>
        <color theme="1"/>
        <rFont val="Aptos"/>
        <family val="2"/>
      </rPr>
      <t>comboio urbano</t>
    </r>
    <r>
      <rPr>
        <sz val="14"/>
        <color theme="1"/>
        <rFont val="Aptos"/>
        <family val="2"/>
      </rPr>
      <t xml:space="preserve"> para a bicicleta não elétrica?</t>
    </r>
  </si>
  <si>
    <t>Glossary for transport statistics — 5th edition — co-published by Eurostat, UN and ITF</t>
  </si>
  <si>
    <t>EIB Project Carbon Footprint Methodologies- Methodologies for the assessment
of project greenhouse gas emissions
and emission variations
Version 11.3 (January 2023)</t>
  </si>
  <si>
    <t>IC1_micromobilidade</t>
  </si>
  <si>
    <t>Ano de tipico do projeto</t>
  </si>
  <si>
    <r>
      <rPr>
        <b/>
        <sz val="14"/>
        <color theme="1"/>
        <rFont val="Aptos"/>
        <family val="2"/>
      </rPr>
      <t>En: Eletricidade</t>
    </r>
    <r>
      <rPr>
        <sz val="14"/>
        <color theme="1"/>
        <rFont val="Aptos"/>
        <family val="2"/>
      </rPr>
      <t xml:space="preserve"> Total Consumida (transporte elétrico)</t>
    </r>
  </si>
  <si>
    <t>Autocarros Articulados/ Bus Rapid Transit: combustão  (&lt;130 passageiros)</t>
  </si>
  <si>
    <t>LAND TRANSPORT, SCIENCE-BASED, TARGET-SETTING
GUIDANCE, Version 1.1, October 2024</t>
  </si>
  <si>
    <t>Registo de atualizações</t>
  </si>
  <si>
    <t xml:space="preserve">Ana Sampaio e Ricardo da Silva Vieira  </t>
  </si>
  <si>
    <t>RE_Resultados das várias componentes do projeto</t>
  </si>
  <si>
    <t xml:space="preserve">          </t>
  </si>
  <si>
    <t>Completar para o fator de emissão do utilizador</t>
  </si>
  <si>
    <t xml:space="preserve">Eletricidade </t>
  </si>
  <si>
    <t>IC_  redução de intensidade carbónica: todos os projetos de mobilidade urbana</t>
  </si>
  <si>
    <t xml:space="preserve"> Identificação do Projeto </t>
  </si>
  <si>
    <t xml:space="preserve">1.1 Dados do projeto </t>
  </si>
  <si>
    <t>Nº passageiros/ ano</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</si>
  <si>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Totais </t>
    </r>
  </si>
  <si>
    <t>1.1 Fatores de emissão de GEE</t>
  </si>
  <si>
    <t>1.2 Indicadores do projeto</t>
  </si>
  <si>
    <t>1.2 Resultados</t>
  </si>
  <si>
    <t>2. Dados relativos às transferências modais</t>
  </si>
  <si>
    <t>2.1 Definição das percentagens das Transferências Modais (TM)</t>
  </si>
  <si>
    <t>3. Resultados</t>
  </si>
  <si>
    <t xml:space="preserve">3.1 Resultados Totais </t>
  </si>
  <si>
    <t>1. Dados para o cálculo das emissões</t>
  </si>
  <si>
    <r>
      <t>1. Dados do Projeto</t>
    </r>
    <r>
      <rPr>
        <sz val="20"/>
        <color theme="0"/>
        <rFont val="Aptos"/>
        <family val="2"/>
      </rPr>
      <t xml:space="preserve"> </t>
    </r>
  </si>
  <si>
    <t>2.1 Opções para o cálculo das transferências modais</t>
  </si>
  <si>
    <t>2.2 Opção I - Definição das percentagens das Transferências Modais (TM)</t>
  </si>
  <si>
    <t>Emissões Relativas</t>
  </si>
  <si>
    <t>Fator de emissão e-trotineta partilhada</t>
  </si>
  <si>
    <t>Fator de emissão e-trotineta privada</t>
  </si>
  <si>
    <t>Consumo anual de electricidade num ano típico de funcionamento</t>
  </si>
  <si>
    <t xml:space="preserve">Emissões Relativas </t>
  </si>
  <si>
    <r>
      <rPr>
        <b/>
        <sz val="14"/>
        <color theme="1"/>
        <rFont val="Aptos"/>
        <family val="2"/>
      </rPr>
      <t>R</t>
    </r>
    <r>
      <rPr>
        <b/>
        <vertAlign val="subscript"/>
        <sz val="14"/>
        <color theme="1"/>
        <rFont val="Aptos"/>
        <family val="2"/>
      </rPr>
      <t>e_</t>
    </r>
    <r>
      <rPr>
        <b/>
        <sz val="14"/>
        <color theme="1"/>
        <rFont val="Aptos"/>
        <family val="2"/>
      </rPr>
      <t xml:space="preserve"> Emissões relativas</t>
    </r>
    <r>
      <rPr>
        <sz val="14"/>
        <color theme="1"/>
        <rFont val="Aptos"/>
        <family val="2"/>
      </rPr>
      <t xml:space="preserve"> Totais </t>
    </r>
  </si>
  <si>
    <t xml:space="preserve">2.1 Dados do projeto </t>
  </si>
  <si>
    <t xml:space="preserve">3.1 Dados do projeto </t>
  </si>
  <si>
    <t>3.2 Resultados</t>
  </si>
  <si>
    <t xml:space="preserve">5.1 Dados do projeto </t>
  </si>
  <si>
    <t xml:space="preserve">2.2 Resultados </t>
  </si>
  <si>
    <t>5.2 Resultados</t>
  </si>
  <si>
    <t xml:space="preserve">              </t>
  </si>
  <si>
    <t>Resultados Globais: Pressuposto da Redução da Intensidade Carbónica</t>
  </si>
  <si>
    <t xml:space="preserve"> Resultados Globais : Pressuposto da Transferência Modal</t>
  </si>
  <si>
    <t>Ficha técnica e registo de atualizações</t>
  </si>
  <si>
    <t>Região Autónoma dos Açores</t>
  </si>
  <si>
    <t>Região Autónoma da Madeira</t>
  </si>
  <si>
    <t>Grande Lisboa</t>
  </si>
  <si>
    <t>Oeste e Vale do Tejo</t>
  </si>
  <si>
    <t xml:space="preserve">Algarve </t>
  </si>
  <si>
    <t>AAAA/MM/DD</t>
  </si>
  <si>
    <t>Preencher com o nome do projeto</t>
  </si>
  <si>
    <t>Preencher com o código do projeto</t>
  </si>
  <si>
    <t>Preencher com o nome do promotor do projeto</t>
  </si>
  <si>
    <t>Preencher com o nome do programa de financiamento</t>
  </si>
  <si>
    <t>Península de Setúbal</t>
  </si>
  <si>
    <t>Continente</t>
  </si>
  <si>
    <t>Localização do projecto (NUTS 2024: NUTS I e II)</t>
  </si>
  <si>
    <r>
      <rPr>
        <b/>
        <sz val="18"/>
        <color theme="1"/>
        <rFont val="Aptos"/>
        <family val="2"/>
      </rPr>
      <t>Localização</t>
    </r>
    <r>
      <rPr>
        <sz val="18"/>
        <color theme="1"/>
        <rFont val="Aptos"/>
        <family val="2"/>
      </rPr>
      <t xml:space="preserve"> do projeto</t>
    </r>
    <r>
      <rPr>
        <b/>
        <sz val="18"/>
        <rFont val="Aptos"/>
        <family val="2"/>
      </rPr>
      <t xml:space="preserve"> </t>
    </r>
    <r>
      <rPr>
        <b/>
        <sz val="10"/>
        <rFont val="Aptos"/>
        <family val="2"/>
      </rPr>
      <t xml:space="preserve">(NUTS 2024: hierarquia cumulativa- NUTS I, II e III)                    </t>
    </r>
    <r>
      <rPr>
        <b/>
        <sz val="18"/>
        <rFont val="Aptos"/>
        <family val="2"/>
      </rPr>
      <t xml:space="preserve">                                        </t>
    </r>
    <r>
      <rPr>
        <b/>
        <sz val="11"/>
        <color theme="5" tint="-0.249977111117893"/>
        <rFont val="Aptos"/>
        <family val="2"/>
      </rPr>
      <t>preenchimento obrigatório</t>
    </r>
  </si>
  <si>
    <r>
      <rPr>
        <b/>
        <sz val="14"/>
        <color theme="1"/>
        <rFont val="Aptos"/>
        <family val="2"/>
      </rPr>
      <t>CS_Custo Sombra</t>
    </r>
    <r>
      <rPr>
        <sz val="14"/>
        <color theme="1"/>
        <rFont val="Aptos"/>
        <family val="2"/>
      </rPr>
      <t xml:space="preserve"> das emissões relativas totais </t>
    </r>
  </si>
  <si>
    <t>Outras emissões de GEE</t>
  </si>
  <si>
    <t>1.2 Quais são os indicadores e as emissões de GEE que a ferramenta permite calcular?</t>
  </si>
  <si>
    <t>Principais emissões de GEE</t>
  </si>
  <si>
    <t>Indicadores (Eletricidade)</t>
  </si>
  <si>
    <t>Indicadores (Custo-sombra)</t>
  </si>
  <si>
    <t>Indicadores de Intensidade</t>
  </si>
  <si>
    <t>Comissão Europeia</t>
  </si>
  <si>
    <t>Banco Europeu de Investimento</t>
  </si>
  <si>
    <t>1.3 Quais são os projetos abrangidos pela calculadora?</t>
  </si>
  <si>
    <t>2.1 Quais são os referenciais metodológicos da calculadora?</t>
  </si>
  <si>
    <t>Fatores de emissão padrão do transporte elétrico</t>
  </si>
  <si>
    <t>Fatores de emissão padrão do transporte a combustão</t>
  </si>
  <si>
    <t xml:space="preserve"> Projetos de transporte rodoviário de passageiros</t>
  </si>
  <si>
    <t xml:space="preserve"> Projetos de transporte ferroviário de passageiros</t>
  </si>
  <si>
    <t xml:space="preserve"> Projetos de transporte de passageiros em vias navegáveis interiores</t>
  </si>
  <si>
    <t>2. Referenciais metodológicos, pressupostos metodológicos e fatores de emissão padrão utilizados na calculadora</t>
  </si>
  <si>
    <t>Parques de estacionamento associados a interfaces modais</t>
  </si>
  <si>
    <t>Criação de zonas de baixas emissões</t>
  </si>
  <si>
    <t>Redução da Intensidade Carbónica</t>
  </si>
  <si>
    <t>2.2 Quais são os pressupostos metodológicos subjacentes ao cálculo das emissões de GEE relativas?</t>
  </si>
  <si>
    <t>2.3 Como foram estimados os fatores de emissão padrão?</t>
  </si>
  <si>
    <t>Transferência Modal</t>
  </si>
  <si>
    <t>TM1_micromobilidade</t>
  </si>
  <si>
    <t>TM2_rodovia</t>
  </si>
  <si>
    <t>TM3_ferrovia e metro</t>
  </si>
  <si>
    <t>TM4_vias navegáveis interiores</t>
  </si>
  <si>
    <t>Unidade dos fatores de emissão padrão</t>
  </si>
  <si>
    <t>1.1 Quais são os objetivos da calculadora GEE_mobilidade?</t>
  </si>
  <si>
    <t>Objectivos</t>
  </si>
  <si>
    <t>PFs_ Instruções e Perguntas Frequentes</t>
  </si>
  <si>
    <t>1.  Objetivos, indicadores e emissões de GEE, referenciais metodológicos e projetos abrangidos pela calculadora</t>
  </si>
  <si>
    <t>Passo I- Início da avaliação</t>
  </si>
  <si>
    <t>Quais as diferenças entre a NUTS 2013 e a NUTS 2024?</t>
  </si>
  <si>
    <t>A NUT III “Península de Setúbal”corresponde a municípios a sul do Tejo da extinta “Área Metropolitana de Lisboa”, coincidente com a NUTS II. A NUT III “Grande Lisboa” corresponde a  municípios a norte do Tejo da extinta “Área Metropolitana de Lisboa”, coincidente com a NUTS II. Para mais informação consultar o portal do Instituto Nacional de Estatística (INE).</t>
  </si>
  <si>
    <t>Projetos de carregamento de veículos elétricos/ navios/embarcações</t>
  </si>
  <si>
    <t>Criação de zonas condicionadas (ex. zonas 20; zonas 30)</t>
  </si>
  <si>
    <t>Todos os projetos (preenchimento obrigatório)</t>
  </si>
  <si>
    <t>1. IC1_Projetos de micromobilidade</t>
  </si>
  <si>
    <t>É um projeto relacionado com a micromobilidade?</t>
  </si>
  <si>
    <t>É um projeto relacionado com o transporte rodoviário de passageiros?</t>
  </si>
  <si>
    <t>É um projeto relacionado com o transporte ferroviário de passageiros?</t>
  </si>
  <si>
    <t>É um projeto relacionado com o transporte de passageiros em vias navegáveis interiores?</t>
  </si>
  <si>
    <t>O projeto inclui o carregamento de veículos elétricos e/ ou navios/embarcações?</t>
  </si>
  <si>
    <t>É um projeto relacionado com a micromobilidade (redes e vias, renovação ou aquisição de novas bicicletas, motociclos elétricos e trotinetas elétricas?</t>
  </si>
  <si>
    <t>É um projeto relacionado com o transporte rodoviário de passageiros (redes e vias, renovação e aquisição de nova frota de autocarros)?</t>
  </si>
  <si>
    <t xml:space="preserve">   Tr_Triagem: Que separadores preencher?</t>
  </si>
  <si>
    <t>Separadores a preencher</t>
  </si>
  <si>
    <t>Separador TM1_micromobilidade</t>
  </si>
  <si>
    <t>Separador TM2_rodovia</t>
  </si>
  <si>
    <t>Separador TM3_ferrovia e metro</t>
  </si>
  <si>
    <t>Separador TM4_vias navegáveis interiores</t>
  </si>
  <si>
    <t xml:space="preserve">Separador ID_Identificação do projeto </t>
  </si>
  <si>
    <t xml:space="preserve"> Questões: Tipos de Projetos</t>
  </si>
  <si>
    <t>Pressupostos metodológicos</t>
  </si>
  <si>
    <t>Selecionar caso se aplique ao projeto</t>
  </si>
  <si>
    <t>3. Preencher o questionário em "TR_Triagem". Este procedimento permitirá listar os separadores a preencher para o cálculo das emissões de GEE do projeto.</t>
  </si>
  <si>
    <t xml:space="preserve">Passo II- Preenchimento dos separadores listados na "Triagem" </t>
  </si>
  <si>
    <t>3.1 Como  iniciar o cálculo das emissões de GEE com a GEE_mobilidade?</t>
  </si>
  <si>
    <t>IC_todos os projetos</t>
  </si>
  <si>
    <t>3. Separador associado ao pressuposto Redução da Intensidade Carbónica:</t>
  </si>
  <si>
    <t xml:space="preserve">3. Separadores associados ao pressuposto Transferência Modal: </t>
  </si>
  <si>
    <t>2. Projetos abrangidos pelo pressuposto Intensidade Carbónica (IC): Projetos de micromobilidade; Projetos de transporte rodoviário de passageiros; Projetos de transporte ferroviário de passageiros; Projetos de transporte de passageiros em vias navegáveis interiores; Projetos de carregamento de veículos elétricos/navios/embarcações.</t>
  </si>
  <si>
    <t xml:space="preserve">4. Preencher os campos do separador "Identificação do projeto" com as informações do projeto: </t>
  </si>
  <si>
    <t>(Campos de preenchimento obrigatório )</t>
  </si>
  <si>
    <t xml:space="preserve">TM2_ rodovia (autocarros) </t>
  </si>
  <si>
    <r>
      <t>Passageiro-quilómetro:</t>
    </r>
    <r>
      <rPr>
        <sz val="14"/>
        <color theme="1"/>
        <rFont val="Aptos"/>
        <family val="2"/>
      </rPr>
      <t xml:space="preserve"> Um passageiro-quilómetro, abreviado como p.km, é a unidade de medida que representa o transporte de um passageiro por um meio de transporte definido (rodoviário, ferroviário, aéreo, marítimo, vias navegáveis interiores, etc.) ao longo de um quilómetro.</t>
    </r>
  </si>
  <si>
    <r>
      <rPr>
        <b/>
        <sz val="14"/>
        <color theme="1"/>
        <rFont val="Aptos"/>
        <family val="2"/>
      </rPr>
      <t>Emissões de GEE no cenário de referência (B</t>
    </r>
    <r>
      <rPr>
        <b/>
        <vertAlign val="subscript"/>
        <sz val="14"/>
        <color theme="1"/>
        <rFont val="Aptos"/>
        <family val="2"/>
      </rPr>
      <t>e</t>
    </r>
    <r>
      <rPr>
        <b/>
        <sz val="14"/>
        <color theme="1"/>
        <rFont val="Aptos"/>
        <family val="2"/>
      </rPr>
      <t>):</t>
    </r>
    <r>
      <rPr>
        <sz val="14"/>
        <color theme="1"/>
        <rFont val="Aptos"/>
        <family val="2"/>
      </rPr>
      <t xml:space="preserve"> As emissões de referência do projeto resultam do cenário alternativo (contrafactual) esperado que representa de forma credível as emissões antropogénicas por fontes de GEE que teriam ocorrido na ausência do projeto, estimadas para um ano médio de funcionamento.</t>
    </r>
  </si>
  <si>
    <r>
      <rPr>
        <b/>
        <sz val="14"/>
        <color theme="1"/>
        <rFont val="Aptos"/>
        <family val="2"/>
      </rPr>
      <t>Pegada de carbono:</t>
    </r>
    <r>
      <rPr>
        <sz val="14"/>
        <color theme="1"/>
        <rFont val="Aptos"/>
        <family val="2"/>
      </rPr>
      <t xml:space="preserve"> A pegada de carbono é o impacte climático (emissões de GEE) de um projeto.</t>
    </r>
  </si>
  <si>
    <r>
      <rPr>
        <b/>
        <sz val="14"/>
        <color theme="1"/>
        <rFont val="Aptos"/>
        <family val="2"/>
      </rPr>
      <t>Gases com efeito de estufa (GEE):</t>
    </r>
    <r>
      <rPr>
        <sz val="14"/>
        <color theme="1"/>
        <rFont val="Aptos"/>
        <family val="2"/>
      </rPr>
      <t xml:space="preserve"> Os GEE são os sete gases enumerados no Protocolo de Quioto: dióxido de carbono (CO</t>
    </r>
    <r>
      <rPr>
        <vertAlign val="subscript"/>
        <sz val="14"/>
        <color theme="1"/>
        <rFont val="Aptos"/>
        <family val="2"/>
      </rPr>
      <t>2</t>
    </r>
    <r>
      <rPr>
        <sz val="14"/>
        <color theme="1"/>
        <rFont val="Aptos"/>
        <family val="2"/>
      </rPr>
      <t>); metano (CH</t>
    </r>
    <r>
      <rPr>
        <vertAlign val="subscript"/>
        <sz val="14"/>
        <color theme="1"/>
        <rFont val="Aptos"/>
        <family val="2"/>
      </rPr>
      <t>4</t>
    </r>
    <r>
      <rPr>
        <sz val="14"/>
        <color theme="1"/>
        <rFont val="Aptos"/>
        <family val="2"/>
      </rPr>
      <t>); óxido nitroso (N</t>
    </r>
    <r>
      <rPr>
        <vertAlign val="subscript"/>
        <sz val="14"/>
        <color theme="1"/>
        <rFont val="Aptos"/>
        <family val="2"/>
      </rPr>
      <t>2</t>
    </r>
    <r>
      <rPr>
        <sz val="14"/>
        <color theme="1"/>
        <rFont val="Aptos"/>
        <family val="2"/>
      </rPr>
      <t>O); hidrofluorocarbonetos (HFC); perfluorocarbonetos (PFC); hexafluoreto de enxofre (SF</t>
    </r>
    <r>
      <rPr>
        <vertAlign val="subscript"/>
        <sz val="14"/>
        <color theme="1"/>
        <rFont val="Aptos"/>
        <family val="2"/>
      </rPr>
      <t>6</t>
    </r>
    <r>
      <rPr>
        <sz val="14"/>
        <color theme="1"/>
        <rFont val="Aptos"/>
        <family val="2"/>
      </rPr>
      <t>); e trifluoreto de azoto (NF</t>
    </r>
    <r>
      <rPr>
        <vertAlign val="subscript"/>
        <sz val="14"/>
        <color theme="1"/>
        <rFont val="Aptos"/>
        <family val="2"/>
      </rPr>
      <t>3</t>
    </r>
    <r>
      <rPr>
        <sz val="14"/>
        <color theme="1"/>
        <rFont val="Aptos"/>
        <family val="2"/>
      </rPr>
      <t>).</t>
    </r>
  </si>
  <si>
    <r>
      <rPr>
        <b/>
        <sz val="14"/>
        <color theme="1"/>
        <rFont val="Aptos"/>
        <family val="2"/>
      </rPr>
      <t>Potencial de aquecimento global (GWP):</t>
    </r>
    <r>
      <rPr>
        <sz val="14"/>
        <color theme="1"/>
        <rFont val="Aptos"/>
        <family val="2"/>
      </rPr>
      <t xml:space="preserve"> Fator que descreve o impacto do forçamento radiativo (grau de dano à atmosfera) de uma unidade de um determinado GEE relativamente a uma unidade de CO2 durante um determinado período de tempo.</t>
    </r>
  </si>
  <si>
    <r>
      <rPr>
        <b/>
        <sz val="14"/>
        <color theme="1"/>
        <rFont val="Aptos"/>
        <family val="2"/>
      </rPr>
      <t>Emissões relativas (R</t>
    </r>
    <r>
      <rPr>
        <b/>
        <vertAlign val="subscript"/>
        <sz val="14"/>
        <color theme="1"/>
        <rFont val="Aptos"/>
        <family val="2"/>
      </rPr>
      <t>e</t>
    </r>
    <r>
      <rPr>
        <b/>
        <sz val="14"/>
        <color theme="1"/>
        <rFont val="Aptos"/>
        <family val="2"/>
      </rPr>
      <t>):</t>
    </r>
    <r>
      <rPr>
        <sz val="14"/>
        <color theme="1"/>
        <rFont val="Aptos"/>
        <family val="2"/>
      </rPr>
      <t xml:space="preserve"> É a diferença entre as emissões absolutas (A</t>
    </r>
    <r>
      <rPr>
        <vertAlign val="subscript"/>
        <sz val="14"/>
        <color theme="1"/>
        <rFont val="Aptos"/>
        <family val="2"/>
      </rPr>
      <t>b</t>
    </r>
    <r>
      <rPr>
        <sz val="14"/>
        <color theme="1"/>
        <rFont val="Aptos"/>
        <family val="2"/>
      </rPr>
      <t>) do projeto e as emissões do cenário de referência/ contrafactual (B</t>
    </r>
    <r>
      <rPr>
        <vertAlign val="subscript"/>
        <sz val="14"/>
        <color theme="1"/>
        <rFont val="Aptos"/>
        <family val="2"/>
      </rPr>
      <t>e</t>
    </r>
    <r>
      <rPr>
        <sz val="14"/>
        <color theme="1"/>
        <rFont val="Aptos"/>
        <family val="2"/>
      </rPr>
      <t>).</t>
    </r>
  </si>
  <si>
    <r>
      <rPr>
        <b/>
        <sz val="14"/>
        <color theme="1"/>
        <rFont val="Aptos"/>
        <family val="2"/>
      </rPr>
      <t>NUTS I, II e III (2024):</t>
    </r>
    <r>
      <rPr>
        <sz val="14"/>
        <color theme="1"/>
        <rFont val="Aptos"/>
        <family val="2"/>
      </rPr>
      <t xml:space="preserve"> A União Europeia (EU) estabeleceu uma nomenclatura comum das unidades territoriais estatísticas, denominada “NUTS”, a fim de permitir a recolha, o tratamento e a divulgação de estatísticas regionais harmonizadas na UE. Esta nomenclatura foi criada pelo Eurostat no início dos anos 1970, destinando-se igualmente às análises socioeconómicas das regiões e à elaboração das intervenções no contexto da política de coesão da UE. Em 2024, entrou em vigor uma nova divisão regional em Portugal –Nomenclatura das unidades territoriais para fins estatísticos, versão de 2024, que substitui a divisão territorial vigente até então (NUTS 2013).</t>
    </r>
  </si>
  <si>
    <t>Objetivo do separador</t>
  </si>
  <si>
    <t>Passo III- Interpretação dos resultados</t>
  </si>
  <si>
    <t>3.2 Como  interpretar os resultados das emissões relativas e das emissões evitadas ?</t>
  </si>
  <si>
    <t>Exemplos de projetos</t>
  </si>
  <si>
    <t xml:space="preserve"> Integração com outras tipologias de projetos</t>
  </si>
  <si>
    <t>Selecionar uma opção:</t>
  </si>
  <si>
    <t>Passo II- Outros fatores de emissão</t>
  </si>
  <si>
    <t xml:space="preserve"> I- Fator de emissão de GEE do utilizador</t>
  </si>
  <si>
    <t>Passo I- Fator de Emissão da Eletricidade (obrigatório)</t>
  </si>
  <si>
    <t>Outros consumos de eletricidade</t>
  </si>
  <si>
    <t>Como posso obter o fator de emissão de GEE dos autocarros do projeto?</t>
  </si>
  <si>
    <t>Como posso calcular o fator de emissão do transporte elétrico?</t>
  </si>
  <si>
    <t>Dados transporte</t>
  </si>
  <si>
    <t>kg CO2e/p.km</t>
  </si>
  <si>
    <t>kg CO2e/kWh</t>
  </si>
  <si>
    <r>
      <t xml:space="preserve">Fator de emissão de GEE - </t>
    </r>
    <r>
      <rPr>
        <b/>
        <sz val="14"/>
        <color theme="1"/>
        <rFont val="Aptos"/>
        <family val="2"/>
      </rPr>
      <t>combustão</t>
    </r>
  </si>
  <si>
    <t>Mobilidade e funcionalidade do território nas Áreas Metropolitanas do Porto e de Lisboa : 2017</t>
  </si>
  <si>
    <t>Informação adicional</t>
  </si>
  <si>
    <t>Passo I- Dados do Projeto</t>
  </si>
  <si>
    <r>
      <t>1. Introduzir o fator de emissão de GEE (campo "Valor" a</t>
    </r>
    <r>
      <rPr>
        <b/>
        <sz val="14"/>
        <color rgb="FF002060"/>
        <rFont val="Aptos"/>
        <family val="2"/>
      </rPr>
      <t xml:space="preserve"> AZUL escuro</t>
    </r>
    <r>
      <rPr>
        <sz val="14"/>
        <rFont val="Aptos"/>
        <family val="2"/>
      </rPr>
      <t xml:space="preserve">) para a eletricidade que pretende utilizar nos cálculos de emissões de GEE. A introdução deste fator de emissão é </t>
    </r>
    <r>
      <rPr>
        <b/>
        <sz val="14"/>
        <rFont val="Aptos"/>
        <family val="2"/>
      </rPr>
      <t>obrigatória</t>
    </r>
    <r>
      <rPr>
        <sz val="14"/>
        <rFont val="Aptos"/>
        <family val="2"/>
      </rPr>
      <t xml:space="preserve"> para a realização dos cálculos.</t>
    </r>
  </si>
  <si>
    <t>Fonte e ano de referência do fator de emissão de GEE</t>
  </si>
  <si>
    <t xml:space="preserve">Minibus </t>
  </si>
  <si>
    <t>Autocarro Standard</t>
  </si>
  <si>
    <t xml:space="preserve">Autocarros Articulados/ Bus Rapid Transit </t>
  </si>
  <si>
    <t>1. Selecionar a opção disponibilizada no campo "Fator de Emissão a utilizar" relativa ao fator de emissão de GEE a utilizar para calcular as emissões de GEE dos tipos de autocarros incluídos no projeto:</t>
  </si>
  <si>
    <t>1. A GEE_mobilidade permite o cálculo do Custo-sombra de emissões ou reduções de GEE do projeto em EUR/tCO2e, a preços de 2016. Fonte: EIB Group Climate Bank Roadmap 2021-2025</t>
  </si>
  <si>
    <t>Minibus: elétrico</t>
  </si>
  <si>
    <t>Minibus: combustão</t>
  </si>
  <si>
    <t>Autocarro Standard: elétrico</t>
  </si>
  <si>
    <t>Autocarro Standard: combustão</t>
  </si>
  <si>
    <r>
      <t xml:space="preserve">Fator de emissão GEE (eletricidade) do utilizador </t>
    </r>
    <r>
      <rPr>
        <b/>
        <sz val="14"/>
        <color theme="1"/>
        <rFont val="Aptos"/>
        <family val="2"/>
      </rPr>
      <t>(obrigatório)</t>
    </r>
  </si>
  <si>
    <t>Instruções</t>
  </si>
  <si>
    <r>
      <t xml:space="preserve">2. </t>
    </r>
    <r>
      <rPr>
        <b/>
        <sz val="14"/>
        <rFont val="Aptos"/>
        <family val="2"/>
      </rPr>
      <t>Nota:</t>
    </r>
    <r>
      <rPr>
        <sz val="14"/>
        <rFont val="Aptos"/>
        <family val="2"/>
      </rPr>
      <t xml:space="preserve"> caso seja utilizada eletricidade proveniente de fontes de energia renováveis o fator de emissão a utilizar é       </t>
    </r>
  </si>
  <si>
    <t xml:space="preserve">      0 (zero) kgCO2e/ kWh</t>
  </si>
  <si>
    <t>Autocarros Articulados/ Bus Rapid Transit: elétrico</t>
  </si>
  <si>
    <t>Autocarros Articulados/ Bus Rapid Transit: combustão</t>
  </si>
  <si>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minibus elétrico</t>
    </r>
    <r>
      <rPr>
        <sz val="14"/>
        <color theme="1"/>
        <rFont val="Aptos"/>
        <family val="2"/>
      </rPr>
      <t xml:space="preserve">? </t>
    </r>
  </si>
  <si>
    <t>Fonte dos dados e metodologia utilizada para estimar as transferências modais</t>
  </si>
  <si>
    <t xml:space="preserve">Passo I- Valor das Transferências Modais </t>
  </si>
  <si>
    <t>Nota 1</t>
  </si>
  <si>
    <t>Minibus: Elétrico</t>
  </si>
  <si>
    <r>
      <t xml:space="preserve">Qual a TM expectável do </t>
    </r>
    <r>
      <rPr>
        <b/>
        <sz val="14"/>
        <color theme="1"/>
        <rFont val="Aptos"/>
        <family val="2"/>
      </rPr>
      <t xml:space="preserve">modo pedonal + procura induzida (indução) </t>
    </r>
    <r>
      <rPr>
        <sz val="14"/>
        <color theme="1"/>
        <rFont val="Aptos"/>
        <family val="2"/>
      </rPr>
      <t xml:space="preserve">para </t>
    </r>
    <r>
      <rPr>
        <b/>
        <sz val="14"/>
        <color theme="1"/>
        <rFont val="Aptos"/>
        <family val="2"/>
      </rPr>
      <t xml:space="preserve"> autocarro standard elétrico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</si>
  <si>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minibus a combustão</t>
    </r>
    <r>
      <rPr>
        <sz val="14"/>
        <color theme="1"/>
        <rFont val="Aptos"/>
        <family val="2"/>
      </rPr>
      <t xml:space="preserve">? </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</si>
  <si>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autocarro standard elétrico</t>
    </r>
    <r>
      <rPr>
        <sz val="14"/>
        <color theme="1"/>
        <rFont val="Aptos"/>
        <family val="2"/>
      </rPr>
      <t>?</t>
    </r>
  </si>
  <si>
    <r>
      <t xml:space="preserve">Qual a TM expectável do </t>
    </r>
    <r>
      <rPr>
        <b/>
        <sz val="14"/>
        <color theme="1"/>
        <rFont val="Aptos"/>
        <family val="2"/>
      </rPr>
      <t xml:space="preserve">modo pedonal + procura induzida (indução) </t>
    </r>
    <r>
      <rPr>
        <sz val="14"/>
        <color theme="1"/>
        <rFont val="Aptos"/>
        <family val="2"/>
      </rPr>
      <t xml:space="preserve"> para </t>
    </r>
    <r>
      <rPr>
        <b/>
        <sz val="14"/>
        <color theme="1"/>
        <rFont val="Aptos"/>
        <family val="2"/>
      </rPr>
      <t xml:space="preserve"> autocarro standard a combustível</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</si>
  <si>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 </t>
    </r>
    <r>
      <rPr>
        <b/>
        <sz val="14"/>
        <color theme="1"/>
        <rFont val="Aptos"/>
        <family val="2"/>
      </rPr>
      <t>autocarro articulado/BRT elétrico</t>
    </r>
    <r>
      <rPr>
        <sz val="14"/>
        <color theme="1"/>
        <rFont val="Aptos"/>
        <family val="2"/>
      </rPr>
      <t>?</t>
    </r>
  </si>
  <si>
    <r>
      <t xml:space="preserve">Qual a TM expectável do </t>
    </r>
    <r>
      <rPr>
        <b/>
        <sz val="14"/>
        <color theme="1"/>
        <rFont val="Aptos"/>
        <family val="2"/>
      </rPr>
      <t xml:space="preserve">modo pedonal + procura induzida (indução) </t>
    </r>
    <r>
      <rPr>
        <sz val="14"/>
        <color theme="1"/>
        <rFont val="Aptos"/>
        <family val="2"/>
      </rPr>
      <t xml:space="preserve"> para o </t>
    </r>
    <r>
      <rPr>
        <b/>
        <sz val="14"/>
        <color theme="1"/>
        <rFont val="Aptos"/>
        <family val="2"/>
      </rPr>
      <t>autocarro articulado/BRT a combustão</t>
    </r>
    <r>
      <rPr>
        <sz val="14"/>
        <color theme="1"/>
        <rFont val="Aptos"/>
        <family val="2"/>
      </rPr>
      <t>?</t>
    </r>
  </si>
  <si>
    <t>1. Eletricidade Total consumida no transporte elétrico em kWh/ano</t>
  </si>
  <si>
    <r>
      <t xml:space="preserve">1. Projetos que incluem a </t>
    </r>
    <r>
      <rPr>
        <b/>
        <sz val="14"/>
        <rFont val="Aptos"/>
        <family val="2"/>
      </rPr>
      <t>renovação</t>
    </r>
    <r>
      <rPr>
        <sz val="14"/>
        <rFont val="Aptos"/>
        <family val="2"/>
      </rPr>
      <t xml:space="preserve"> de bicicletas (elétricas e não elétricas), motociclos elétricos e trotinetas elétricas. </t>
    </r>
    <r>
      <rPr>
        <b/>
        <sz val="14"/>
        <rFont val="Aptos"/>
        <family val="2"/>
      </rPr>
      <t>Exemplo:</t>
    </r>
    <r>
      <rPr>
        <sz val="14"/>
        <rFont val="Aptos"/>
        <family val="2"/>
      </rPr>
      <t xml:space="preserve"> Substituição de 10 bicicletas elétricas por 10 bicicletas elétricas com menor consumo de eletricidade por pessoa-quilómetro.</t>
    </r>
  </si>
  <si>
    <r>
      <t xml:space="preserve">2. Projetos que incluem a </t>
    </r>
    <r>
      <rPr>
        <b/>
        <sz val="14"/>
        <rFont val="Aptos"/>
        <family val="2"/>
      </rPr>
      <t>aquisição</t>
    </r>
    <r>
      <rPr>
        <sz val="14"/>
        <rFont val="Aptos"/>
        <family val="2"/>
      </rPr>
      <t xml:space="preserve"> de </t>
    </r>
    <r>
      <rPr>
        <b/>
        <sz val="14"/>
        <rFont val="Aptos"/>
        <family val="2"/>
      </rPr>
      <t>novas</t>
    </r>
    <r>
      <rPr>
        <sz val="14"/>
        <rFont val="Aptos"/>
        <family val="2"/>
      </rPr>
      <t xml:space="preserve"> bicicletas (elétricas e não elétricas), motociclos elétricos e trotinetas elétricas. </t>
    </r>
    <r>
      <rPr>
        <b/>
        <sz val="14"/>
        <rFont val="Aptos"/>
        <family val="2"/>
      </rPr>
      <t>Exemplo:</t>
    </r>
    <r>
      <rPr>
        <sz val="14"/>
        <rFont val="Aptos"/>
        <family val="2"/>
      </rPr>
      <t xml:space="preserve"> Compra de 10 novas bicicletas elétricas partilhadas com o objetivo de intensificar a oferta.</t>
    </r>
  </si>
  <si>
    <r>
      <t xml:space="preserve">1. Projetos que incluem a </t>
    </r>
    <r>
      <rPr>
        <b/>
        <sz val="14"/>
        <rFont val="Aptos"/>
        <family val="2"/>
      </rPr>
      <t>renovação</t>
    </r>
    <r>
      <rPr>
        <sz val="14"/>
        <rFont val="Aptos"/>
        <family val="2"/>
      </rPr>
      <t xml:space="preserve"> </t>
    </r>
    <r>
      <rPr>
        <b/>
        <sz val="14"/>
        <rFont val="Aptos"/>
        <family val="2"/>
      </rPr>
      <t xml:space="preserve">de frota </t>
    </r>
    <r>
      <rPr>
        <sz val="14"/>
        <rFont val="Aptos"/>
        <family val="2"/>
      </rPr>
      <t xml:space="preserve">de autocarros. </t>
    </r>
    <r>
      <rPr>
        <b/>
        <sz val="14"/>
        <rFont val="Aptos"/>
        <family val="2"/>
      </rPr>
      <t>Exemplo:</t>
    </r>
    <r>
      <rPr>
        <sz val="14"/>
        <rFont val="Aptos"/>
        <family val="2"/>
      </rPr>
      <t xml:space="preserve"> Substituição de 10 autocarros a gasóleo por 10 autocarros elétricos (bateria).</t>
    </r>
  </si>
  <si>
    <r>
      <t xml:space="preserve">2. Projetos que incluem a </t>
    </r>
    <r>
      <rPr>
        <b/>
        <sz val="14"/>
        <rFont val="Aptos"/>
        <family val="2"/>
      </rPr>
      <t>aquisição</t>
    </r>
    <r>
      <rPr>
        <sz val="14"/>
        <rFont val="Aptos"/>
        <family val="2"/>
      </rPr>
      <t xml:space="preserve"> de </t>
    </r>
    <r>
      <rPr>
        <b/>
        <sz val="14"/>
        <rFont val="Aptos"/>
        <family val="2"/>
      </rPr>
      <t xml:space="preserve">nova frota </t>
    </r>
    <r>
      <rPr>
        <sz val="14"/>
        <rFont val="Aptos"/>
        <family val="2"/>
      </rPr>
      <t xml:space="preserve">de autocarros. </t>
    </r>
    <r>
      <rPr>
        <b/>
        <sz val="14"/>
        <rFont val="Aptos"/>
        <family val="2"/>
      </rPr>
      <t>Exemplo:</t>
    </r>
    <r>
      <rPr>
        <sz val="14"/>
        <rFont val="Aptos"/>
        <family val="2"/>
      </rPr>
      <t xml:space="preserve"> Compra de 10 novos autocarros com o objetivo de intensificar a oferta.</t>
    </r>
  </si>
  <si>
    <r>
      <t xml:space="preserve">1. Projetos que incluem a </t>
    </r>
    <r>
      <rPr>
        <b/>
        <sz val="14"/>
        <rFont val="Aptos"/>
        <family val="2"/>
      </rPr>
      <t>renovação</t>
    </r>
    <r>
      <rPr>
        <sz val="14"/>
        <rFont val="Aptos"/>
        <family val="2"/>
      </rPr>
      <t xml:space="preserve"> de material circulante. </t>
    </r>
    <r>
      <rPr>
        <b/>
        <sz val="14"/>
        <rFont val="Aptos"/>
        <family val="2"/>
      </rPr>
      <t>Exemplo:</t>
    </r>
    <r>
      <rPr>
        <sz val="14"/>
        <rFont val="Aptos"/>
        <family val="2"/>
      </rPr>
      <t xml:space="preserve"> Substituição de 10 comboios a gasóleo por 10 comboios movidos a eletricidade.</t>
    </r>
  </si>
  <si>
    <r>
      <t xml:space="preserve">2. Projetos que incluem a </t>
    </r>
    <r>
      <rPr>
        <b/>
        <sz val="14"/>
        <rFont val="Aptos"/>
        <family val="2"/>
      </rPr>
      <t>aquisição</t>
    </r>
    <r>
      <rPr>
        <sz val="14"/>
        <rFont val="Aptos"/>
        <family val="2"/>
      </rPr>
      <t xml:space="preserve"> de </t>
    </r>
    <r>
      <rPr>
        <b/>
        <sz val="14"/>
        <rFont val="Aptos"/>
        <family val="2"/>
      </rPr>
      <t>novo</t>
    </r>
    <r>
      <rPr>
        <sz val="14"/>
        <rFont val="Aptos"/>
        <family val="2"/>
      </rPr>
      <t xml:space="preserve"> material circulante. </t>
    </r>
    <r>
      <rPr>
        <b/>
        <sz val="14"/>
        <rFont val="Aptos"/>
        <family val="2"/>
      </rPr>
      <t>Exemplo:</t>
    </r>
    <r>
      <rPr>
        <sz val="14"/>
        <rFont val="Aptos"/>
        <family val="2"/>
      </rPr>
      <t xml:space="preserve"> Compra de 10 novos comboios com o objetivo de intensificar a oferta.</t>
    </r>
  </si>
  <si>
    <r>
      <t xml:space="preserve">1. Projetos que incluem a </t>
    </r>
    <r>
      <rPr>
        <b/>
        <sz val="14"/>
        <rFont val="Aptos"/>
        <family val="2"/>
      </rPr>
      <t>renovação</t>
    </r>
    <r>
      <rPr>
        <sz val="14"/>
        <rFont val="Aptos"/>
        <family val="2"/>
      </rPr>
      <t xml:space="preserve"> </t>
    </r>
    <r>
      <rPr>
        <b/>
        <sz val="14"/>
        <rFont val="Aptos"/>
        <family val="2"/>
      </rPr>
      <t xml:space="preserve">de frota </t>
    </r>
    <r>
      <rPr>
        <sz val="14"/>
        <rFont val="Aptos"/>
        <family val="2"/>
      </rPr>
      <t xml:space="preserve">de navios/ embarcações. </t>
    </r>
    <r>
      <rPr>
        <b/>
        <sz val="14"/>
        <rFont val="Aptos"/>
        <family val="2"/>
      </rPr>
      <t>Exemplo:</t>
    </r>
    <r>
      <rPr>
        <sz val="14"/>
        <rFont val="Aptos"/>
        <family val="2"/>
      </rPr>
      <t xml:space="preserve"> Substituição de 10 embarcações a gasóleo por 10 embarcações elétricas (bateria).</t>
    </r>
  </si>
  <si>
    <r>
      <t xml:space="preserve">2. Projetos que incluem a </t>
    </r>
    <r>
      <rPr>
        <b/>
        <sz val="14"/>
        <rFont val="Aptos"/>
        <family val="2"/>
      </rPr>
      <t>aquisição</t>
    </r>
    <r>
      <rPr>
        <sz val="14"/>
        <rFont val="Aptos"/>
        <family val="2"/>
      </rPr>
      <t xml:space="preserve"> de </t>
    </r>
    <r>
      <rPr>
        <b/>
        <sz val="14"/>
        <rFont val="Aptos"/>
        <family val="2"/>
      </rPr>
      <t xml:space="preserve">nova frota </t>
    </r>
    <r>
      <rPr>
        <sz val="14"/>
        <rFont val="Aptos"/>
        <family val="2"/>
      </rPr>
      <t xml:space="preserve">de navios/embarcações. </t>
    </r>
    <r>
      <rPr>
        <b/>
        <sz val="14"/>
        <rFont val="Aptos"/>
        <family val="2"/>
      </rPr>
      <t>Exemplo:</t>
    </r>
    <r>
      <rPr>
        <sz val="14"/>
        <rFont val="Aptos"/>
        <family val="2"/>
      </rPr>
      <t xml:space="preserve"> Compra de 10 novas embarcações com o objetivo de intensificar a oferta.</t>
    </r>
  </si>
  <si>
    <r>
      <t xml:space="preserve">1. Projetos que podem incluir a construção de parques de estacionamento num interface modal. </t>
    </r>
    <r>
      <rPr>
        <b/>
        <sz val="14"/>
        <rFont val="Aptos"/>
        <family val="2"/>
      </rPr>
      <t>Exemplo:</t>
    </r>
    <r>
      <rPr>
        <sz val="14"/>
        <rFont val="Aptos"/>
        <family val="2"/>
      </rPr>
      <t xml:space="preserve"> Construção de um parque de estacionamento para 100 veículos junto a uma estação de metro e a uma estação de bicicletas partilhadas. </t>
    </r>
  </si>
  <si>
    <r>
      <t xml:space="preserve">1. O pressuposto da Transferência Modal (TM) refere-se à transição de um tipo de transporte para outro para efeitos de deslocação. </t>
    </r>
    <r>
      <rPr>
        <b/>
        <sz val="14"/>
        <rFont val="Aptos"/>
        <family val="2"/>
      </rPr>
      <t>Exemplo:</t>
    </r>
    <r>
      <rPr>
        <sz val="14"/>
        <rFont val="Aptos"/>
        <family val="2"/>
      </rPr>
      <t xml:space="preserve"> Transição de autocarro para bicicleta elétrica partilhada para efeitos de deslocação associada a movimentos pendulares. </t>
    </r>
  </si>
  <si>
    <r>
      <t xml:space="preserve">1. Iniciar cada </t>
    </r>
    <r>
      <rPr>
        <b/>
        <sz val="14"/>
        <rFont val="Aptos"/>
        <family val="2"/>
      </rPr>
      <t xml:space="preserve">nova avaliação </t>
    </r>
    <r>
      <rPr>
        <sz val="14"/>
        <rFont val="Aptos"/>
        <family val="2"/>
      </rPr>
      <t xml:space="preserve">de emissões de GEE </t>
    </r>
    <r>
      <rPr>
        <b/>
        <sz val="14"/>
        <rFont val="Aptos"/>
        <family val="2"/>
      </rPr>
      <t>num ficheiro Excel novo</t>
    </r>
    <r>
      <rPr>
        <sz val="14"/>
        <rFont val="Aptos"/>
        <family val="2"/>
      </rPr>
      <t>.</t>
    </r>
  </si>
  <si>
    <r>
      <t xml:space="preserve">2. Ler atentamente as </t>
    </r>
    <r>
      <rPr>
        <b/>
        <sz val="14"/>
        <rFont val="Aptos"/>
        <family val="2"/>
      </rPr>
      <t xml:space="preserve">Instruções e Perguntas Frequentes </t>
    </r>
    <r>
      <rPr>
        <sz val="14"/>
        <rFont val="Aptos"/>
        <family val="2"/>
      </rPr>
      <t>no inicio de cada avaliação e sempre que existirem dúvidas no preenchimento dos separadores.</t>
    </r>
  </si>
  <si>
    <r>
      <rPr>
        <b/>
        <sz val="14"/>
        <rFont val="Aptos"/>
        <family val="2"/>
      </rPr>
      <t>- Localização do projeto</t>
    </r>
    <r>
      <rPr>
        <sz val="14"/>
        <rFont val="Aptos"/>
        <family val="2"/>
      </rPr>
      <t xml:space="preserve"> (NUTS 2024: hierarquia cumulativa- NUTS I, II e III). Indicar qual a a localização do projeto considerando as NUTS de 2024. </t>
    </r>
    <r>
      <rPr>
        <b/>
        <sz val="14"/>
        <rFont val="Aptos"/>
        <family val="2"/>
      </rPr>
      <t xml:space="preserve">Nota: </t>
    </r>
    <r>
      <rPr>
        <sz val="14"/>
        <rFont val="Aptos"/>
        <family val="2"/>
      </rPr>
      <t xml:space="preserve">Consultar o separador </t>
    </r>
    <r>
      <rPr>
        <b/>
        <sz val="14"/>
        <rFont val="Aptos"/>
        <family val="2"/>
      </rPr>
      <t xml:space="preserve">"Glossário" </t>
    </r>
    <r>
      <rPr>
        <sz val="14"/>
        <rFont val="Aptos"/>
        <family val="2"/>
      </rPr>
      <t xml:space="preserve">para esclarecer dúvidas sobre as NUTS 2024. </t>
    </r>
    <r>
      <rPr>
        <b/>
        <sz val="14"/>
        <rFont val="Aptos"/>
        <family val="2"/>
      </rPr>
      <t xml:space="preserve">Exemplo: </t>
    </r>
    <r>
      <rPr>
        <sz val="14"/>
        <rFont val="Aptos"/>
        <family val="2"/>
      </rPr>
      <t>No caso de um projeto de expansão das linhas de metro a norte do Rio Tejo deve ser selecionada a opção "Grande Lisboa".</t>
    </r>
  </si>
  <si>
    <r>
      <t xml:space="preserve">1. Ler atentamente as </t>
    </r>
    <r>
      <rPr>
        <b/>
        <sz val="14"/>
        <rFont val="Aptos"/>
        <family val="2"/>
      </rPr>
      <t>instruções</t>
    </r>
    <r>
      <rPr>
        <sz val="14"/>
        <rFont val="Aptos"/>
        <family val="2"/>
      </rPr>
      <t xml:space="preserve"> existentes em cada separador para o preenchimento das tabelas. Consultar </t>
    </r>
    <r>
      <rPr>
        <b/>
        <sz val="14"/>
        <rFont val="Aptos"/>
        <family val="2"/>
      </rPr>
      <t xml:space="preserve">as caixas "info" a laranja </t>
    </r>
    <r>
      <rPr>
        <sz val="14"/>
        <rFont val="Aptos"/>
        <family val="2"/>
      </rPr>
      <t>para informações adicionais.</t>
    </r>
  </si>
  <si>
    <r>
      <t xml:space="preserve">(A) Seguir as setas </t>
    </r>
    <r>
      <rPr>
        <b/>
        <sz val="14"/>
        <color rgb="FF0070C0"/>
        <rFont val="Aptos"/>
        <family val="2"/>
      </rPr>
      <t>AZUIS</t>
    </r>
    <r>
      <rPr>
        <sz val="14"/>
        <rFont val="Aptos"/>
        <family val="2"/>
      </rPr>
      <t xml:space="preserve"> para o preenchimento das tabelas</t>
    </r>
  </si>
  <si>
    <r>
      <t xml:space="preserve">(C) Preencher </t>
    </r>
    <r>
      <rPr>
        <b/>
        <sz val="14"/>
        <rFont val="Aptos"/>
        <family val="2"/>
      </rPr>
      <t>obrigatoriamente</t>
    </r>
    <r>
      <rPr>
        <sz val="14"/>
        <rFont val="Aptos"/>
        <family val="2"/>
      </rPr>
      <t xml:space="preserve"> o campo relativo ao </t>
    </r>
    <r>
      <rPr>
        <b/>
        <sz val="14"/>
        <rFont val="Aptos"/>
        <family val="2"/>
      </rPr>
      <t>Fator de Emissão de GEE da eletricidade</t>
    </r>
    <r>
      <rPr>
        <sz val="14"/>
        <rFont val="Aptos"/>
        <family val="2"/>
      </rPr>
      <t xml:space="preserve"> a</t>
    </r>
    <r>
      <rPr>
        <b/>
        <sz val="14"/>
        <color theme="4" tint="-0.499984740745262"/>
        <rFont val="Aptos"/>
        <family val="2"/>
      </rPr>
      <t xml:space="preserve"> AZUL ESCURO</t>
    </r>
    <r>
      <rPr>
        <b/>
        <sz val="14"/>
        <rFont val="Aptos"/>
        <family val="2"/>
      </rPr>
      <t xml:space="preserve"> (obrigatório). </t>
    </r>
    <r>
      <rPr>
        <b/>
        <u/>
        <sz val="14"/>
        <rFont val="Aptos"/>
        <family val="2"/>
      </rPr>
      <t>Não existirão resultados sem este campo estar preenchido.</t>
    </r>
  </si>
  <si>
    <r>
      <t xml:space="preserve">(D) Conferir sempre as unidades dos dados de actividade solicitados de modo a evitar erros nos resultados. </t>
    </r>
    <r>
      <rPr>
        <b/>
        <sz val="14"/>
        <rFont val="Aptos"/>
        <family val="2"/>
      </rPr>
      <t xml:space="preserve">Nota: </t>
    </r>
    <r>
      <rPr>
        <sz val="14"/>
        <rFont val="Aptos"/>
        <family val="2"/>
      </rPr>
      <t>A qualidade dos dados introduzidos pelo utilizador determina a qualidade dos resultados.</t>
    </r>
  </si>
  <si>
    <r>
      <t>1. Os resultados relativos às emissões do projeto podem ser visualizados na tabela</t>
    </r>
    <r>
      <rPr>
        <b/>
        <sz val="14"/>
        <rFont val="Aptos"/>
        <family val="2"/>
      </rPr>
      <t xml:space="preserve"> "3. Resultados"</t>
    </r>
    <r>
      <rPr>
        <sz val="14"/>
        <rFont val="Aptos"/>
        <family val="2"/>
      </rPr>
      <t xml:space="preserve"> ou juntamente com as outras componentes do projeto no </t>
    </r>
    <r>
      <rPr>
        <b/>
        <sz val="14"/>
        <rFont val="Aptos"/>
        <family val="2"/>
      </rPr>
      <t>separador "RE_Resultados".</t>
    </r>
  </si>
  <si>
    <t>3. Instruções para a utilização da GEE_mobilidade</t>
  </si>
  <si>
    <r>
      <rPr>
        <b/>
        <sz val="14"/>
        <color theme="1"/>
        <rFont val="Aptos"/>
        <family val="2"/>
      </rPr>
      <t>CS: Custo-Sombra</t>
    </r>
    <r>
      <rPr>
        <sz val="14"/>
        <color theme="1"/>
        <rFont val="Aptos"/>
        <family val="2"/>
      </rPr>
      <t xml:space="preserve"> das emissões            relativas totais</t>
    </r>
  </si>
  <si>
    <t>SEM ProdT</t>
  </si>
  <si>
    <r>
      <rPr>
        <b/>
        <sz val="14"/>
        <color theme="1"/>
        <rFont val="Aptos"/>
        <family val="2"/>
      </rPr>
      <t>Consumo de eletricidade  (sem ProdT)</t>
    </r>
    <r>
      <rPr>
        <sz val="14"/>
        <color theme="1"/>
        <rFont val="Aptos"/>
        <family val="2"/>
      </rPr>
      <t xml:space="preserve"> </t>
    </r>
  </si>
  <si>
    <t>COM ProdT</t>
  </si>
  <si>
    <r>
      <t>5. Interpretação dos resultados (emissões evitadas = - R</t>
    </r>
    <r>
      <rPr>
        <b/>
        <vertAlign val="subscript"/>
        <sz val="14"/>
        <rFont val="Aptos"/>
        <family val="2"/>
      </rPr>
      <t>e</t>
    </r>
    <r>
      <rPr>
        <b/>
        <sz val="14"/>
        <rFont val="Aptos"/>
        <family val="2"/>
      </rPr>
      <t>= B</t>
    </r>
    <r>
      <rPr>
        <b/>
        <vertAlign val="subscript"/>
        <sz val="14"/>
        <rFont val="Aptos"/>
        <family val="2"/>
      </rPr>
      <t>e</t>
    </r>
    <r>
      <rPr>
        <b/>
        <sz val="14"/>
        <rFont val="Aptos"/>
        <family val="2"/>
      </rPr>
      <t>-</t>
    </r>
    <r>
      <rPr>
        <b/>
        <vertAlign val="subscript"/>
        <sz val="14"/>
        <rFont val="Aptos"/>
        <family val="2"/>
      </rPr>
      <t xml:space="preserve"> </t>
    </r>
    <r>
      <rPr>
        <b/>
        <sz val="14"/>
        <rFont val="Aptos"/>
        <family val="2"/>
      </rPr>
      <t>A</t>
    </r>
    <r>
      <rPr>
        <b/>
        <vertAlign val="subscript"/>
        <sz val="14"/>
        <rFont val="Aptos"/>
        <family val="2"/>
      </rPr>
      <t>b</t>
    </r>
    <r>
      <rPr>
        <b/>
        <sz val="14"/>
        <rFont val="Aptos"/>
        <family val="2"/>
      </rPr>
      <t>)</t>
    </r>
  </si>
  <si>
    <r>
      <t>4. Interpretação dos resultados (emissões relativas = R</t>
    </r>
    <r>
      <rPr>
        <b/>
        <vertAlign val="subscript"/>
        <sz val="14"/>
        <rFont val="Aptos"/>
        <family val="2"/>
      </rPr>
      <t>e</t>
    </r>
    <r>
      <rPr>
        <b/>
        <sz val="14"/>
        <rFont val="Aptos"/>
        <family val="2"/>
      </rPr>
      <t>= A</t>
    </r>
    <r>
      <rPr>
        <b/>
        <vertAlign val="subscript"/>
        <sz val="14"/>
        <rFont val="Aptos"/>
        <family val="2"/>
      </rPr>
      <t>b</t>
    </r>
    <r>
      <rPr>
        <b/>
        <sz val="14"/>
        <rFont val="Aptos"/>
        <family val="2"/>
      </rPr>
      <t>-B</t>
    </r>
    <r>
      <rPr>
        <b/>
        <vertAlign val="subscript"/>
        <sz val="14"/>
        <rFont val="Aptos"/>
        <family val="2"/>
      </rPr>
      <t>e</t>
    </r>
    <r>
      <rPr>
        <b/>
        <sz val="14"/>
        <rFont val="Aptos"/>
        <family val="2"/>
      </rPr>
      <t>)</t>
    </r>
  </si>
  <si>
    <t>Passo II- Especificar a Metodologia</t>
  </si>
  <si>
    <t xml:space="preserve">Autocarros Articulados/ Bus Rapid Transit: elétrico  </t>
  </si>
  <si>
    <t xml:space="preserve">Autocarros Articulados/ Bus Rapid Transit: combustão  </t>
  </si>
  <si>
    <t>tCO2e/ ano</t>
  </si>
  <si>
    <t>tCO2e/p.km</t>
  </si>
  <si>
    <t>tCO2e/ano</t>
  </si>
  <si>
    <t>3.2 Resultados (Subtotais)</t>
  </si>
  <si>
    <t>Aplicabilidade</t>
  </si>
  <si>
    <r>
      <rPr>
        <b/>
        <sz val="14"/>
        <rFont val="Aptos"/>
        <family val="2"/>
      </rPr>
      <t>Redução da Intensidade Carbónica (IC):</t>
    </r>
    <r>
      <rPr>
        <sz val="14"/>
        <rFont val="Aptos"/>
        <family val="2"/>
      </rPr>
      <t xml:space="preserve"> Implica a existência de uma alteração tecnológica no tipo de transporte a adquirir no projeto, de modo a permitir uma potencial redução das emissões de GEE totais por unidade (no setor dos transportes esta unidade é geralmente o passageiro-quilómetro). Aplica-se na substituição de veículos (micromobilidade), na renovação de frota/ material circulante e em projetos de carregamento de veículos elétricos e/ou navios/embarcações.</t>
    </r>
  </si>
  <si>
    <t>É um projeto de criação de parques de estacionamento junto a interfaces modais</t>
  </si>
  <si>
    <t>Separador TM5_parques estacionamento</t>
  </si>
  <si>
    <t xml:space="preserve">Minibus: elétrico </t>
  </si>
  <si>
    <t xml:space="preserve">Minibus: combustão </t>
  </si>
  <si>
    <r>
      <t xml:space="preserve">Fator de emissão de GEE - </t>
    </r>
    <r>
      <rPr>
        <b/>
        <sz val="14"/>
        <color theme="1"/>
        <rFont val="Aptos"/>
        <family val="2"/>
      </rPr>
      <t xml:space="preserve">elétrico </t>
    </r>
  </si>
  <si>
    <t>2. IC2_Projetos de transporte rodoviário de passageiros (autocarros)</t>
  </si>
  <si>
    <r>
      <t xml:space="preserve">Fator de emissão de GEE - </t>
    </r>
    <r>
      <rPr>
        <b/>
        <sz val="14"/>
        <color theme="1"/>
        <rFont val="Aptos"/>
        <family val="2"/>
      </rPr>
      <t xml:space="preserve">elétrico </t>
    </r>
    <r>
      <rPr>
        <sz val="14"/>
        <color theme="1"/>
        <rFont val="Aptos"/>
        <family val="2"/>
      </rPr>
      <t>(incluindo hidrogénio)</t>
    </r>
  </si>
  <si>
    <t xml:space="preserve">                      </t>
  </si>
  <si>
    <t>Como são estimados os fatores de emissão padrão do transporte elétrico?</t>
  </si>
  <si>
    <t>O fator de emissão de GEE dos autocarros poderá ser consultado na declaração ambiental do produto (EPD- Environmental Product Declaration), a disponibilizar pelo fornecedor.</t>
  </si>
  <si>
    <t>Como são estimados os fatores de emissão padrão do transporte a combustão?</t>
  </si>
  <si>
    <t>Os fatores de emissão do transporte a combustão são os indicados na bibliografia ou, quando disponíveis, os indicados no Inventário de Emissões de GEE da Agência Portuguesa do Ambiente. Para mais informação consultar o separador "Fatores de Emissão".</t>
  </si>
  <si>
    <t>Os fatores de emissão do transporte elétrico são calculados tendo em conta os consumos de eletricidade do transporte (referenciados em bibliografia) por passageiro-quilómetro e o fator emissão de eletricidade indicado pelo utilizador. Para mais informação consultar o separador "Fatores de Emissão".</t>
  </si>
  <si>
    <r>
      <t xml:space="preserve">Fator de emissão de GEE - </t>
    </r>
    <r>
      <rPr>
        <b/>
        <sz val="14"/>
        <color theme="1"/>
        <rFont val="Aptos"/>
        <family val="2"/>
      </rPr>
      <t>elétrico</t>
    </r>
    <r>
      <rPr>
        <sz val="14"/>
        <color theme="1"/>
        <rFont val="Aptos"/>
        <family val="2"/>
      </rPr>
      <t xml:space="preserve">  (incluindo hidrogénio)</t>
    </r>
  </si>
  <si>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t>
    </r>
  </si>
  <si>
    <t>II- Fator de emissão de GEE (padrão): eléctrico_bateria (iões de lítio)</t>
  </si>
  <si>
    <t>II- Fator de emissão de GEE (padrão): combustão_GNC</t>
  </si>
  <si>
    <t>III- Fator de emissão de GEE (padrão): combustão_gasóleo</t>
  </si>
  <si>
    <t>III- Fator de emissão de GEE (padrão): elétrico_hidrogénio (fuel cell)</t>
  </si>
  <si>
    <t>II- Fator de emissão de GEE (padrão): combustão_GNL</t>
  </si>
  <si>
    <t>II- Fator de emissão de GEE (padrão)</t>
  </si>
  <si>
    <t xml:space="preserve">Autocarros Articulados/ Bus Rapid Transit: elétrico </t>
  </si>
  <si>
    <t>Emissões evitadas              totais (-Re)</t>
  </si>
  <si>
    <t xml:space="preserve">Autocarros </t>
  </si>
  <si>
    <t>Fator de Emissão do Transporte a Adquirir</t>
  </si>
  <si>
    <t xml:space="preserve">Emissões totais  </t>
  </si>
  <si>
    <t>Fator de emissão GEE do utilizador (introduzir valor nos campos a azul)</t>
  </si>
  <si>
    <t>TM3_ ferrovia e metro</t>
  </si>
  <si>
    <t>Integração com outras tipologias de projetos</t>
  </si>
  <si>
    <t>Distância média das deslocações em metro: AML: 12,5 km; AMP: 10 km</t>
  </si>
  <si>
    <t>Distância média das deslocações em comboio:  AML= 18,5 km;  AMP= 33 km</t>
  </si>
  <si>
    <t>Consumo anual de eletricidade num ano típico de funcionamento</t>
  </si>
  <si>
    <t>Outros consumos</t>
  </si>
  <si>
    <t>Fator de emissão (ProdT) (kg/p.km)</t>
  </si>
  <si>
    <t>Emissões CO2e (ton/ano) (com ProdT)-</t>
  </si>
  <si>
    <t>Emissões CO2e (ton/ano) (sem ProdT)</t>
  </si>
  <si>
    <t>Fator de emissão (kgCO2eq/p.km) padrão</t>
  </si>
  <si>
    <t>É um projeto relacionado com o transporte ferroviário de passageiros (redes e vias, renovação e/ ou aquisição de novo material circulante)?</t>
  </si>
  <si>
    <t>É um projeto relacionado com o transporte de passageiros em vias navegáveis interiores (renovação e aquisição de nova frota de navios/embarcações)?</t>
  </si>
  <si>
    <t xml:space="preserve">Os projectos relacionados com o transporte ferroviário de passageiros, o metro e elétricos podem estar integrados noutros projectos mais  abrangentes (ex. criação de zonas condicionadas tais como zonas 20 ou zonas 30; criação de zonas com baixas emissões; parques de estacionamento associados a interfaces modais).                                                                                                                                                   </t>
  </si>
  <si>
    <r>
      <rPr>
        <b/>
        <sz val="14"/>
        <rFont val="Aptos"/>
        <family val="2"/>
      </rPr>
      <t>Nota 1</t>
    </r>
    <r>
      <rPr>
        <sz val="14"/>
        <rFont val="Aptos"/>
        <family val="2"/>
      </rPr>
      <t xml:space="preserve">: Caso a </t>
    </r>
    <r>
      <rPr>
        <b/>
        <sz val="14"/>
        <rFont val="Aptos"/>
        <family val="2"/>
      </rPr>
      <t>opção I- Fator de emissão de GEE  do utilizador</t>
    </r>
    <r>
      <rPr>
        <sz val="14"/>
        <rFont val="Aptos"/>
        <family val="2"/>
      </rPr>
      <t xml:space="preserve"> 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preenchidas, quando aplicável</t>
    </r>
    <r>
      <rPr>
        <sz val="14"/>
        <rFont val="Aptos"/>
        <family val="2"/>
      </rPr>
      <t>.</t>
    </r>
  </si>
  <si>
    <r>
      <rPr>
        <b/>
        <sz val="14"/>
        <rFont val="Aptos"/>
        <family val="2"/>
      </rPr>
      <t>Nota 2:</t>
    </r>
    <r>
      <rPr>
        <sz val="14"/>
        <rFont val="Aptos"/>
        <family val="2"/>
      </rPr>
      <t xml:space="preserve"> Caso a</t>
    </r>
    <r>
      <rPr>
        <b/>
        <sz val="14"/>
        <rFont val="Aptos"/>
        <family val="2"/>
      </rPr>
      <t xml:space="preserve"> opção II- Fator de emissão de GEE (padrão) </t>
    </r>
    <r>
      <rPr>
        <sz val="14"/>
        <rFont val="Aptos"/>
        <family val="2"/>
      </rPr>
      <t xml:space="preserve">tenha sido selecionada, os campos "Valor" e "Fonte e ano de referência do fator de emissão de GEE" a </t>
    </r>
    <r>
      <rPr>
        <b/>
        <sz val="14"/>
        <rFont val="Aptos"/>
        <family val="2"/>
      </rPr>
      <t>PRETO</t>
    </r>
    <r>
      <rPr>
        <sz val="14"/>
        <rFont val="Aptos"/>
        <family val="2"/>
      </rPr>
      <t xml:space="preserve"> </t>
    </r>
    <r>
      <rPr>
        <b/>
        <sz val="14"/>
        <rFont val="Aptos"/>
        <family val="2"/>
      </rPr>
      <t>não devem ser preenchidos</t>
    </r>
    <r>
      <rPr>
        <sz val="14"/>
        <rFont val="Aptos"/>
        <family val="2"/>
      </rPr>
      <t xml:space="preserve">.     </t>
    </r>
  </si>
  <si>
    <t>Os projectos relacionados com o transporte rodoviário de passageiros podem estar integrados noutros projectos mais  abrangentes (ex. criação de zonas condicionadas tais como zonas 20 ou zonas 30; criação de zonas com baixas emissões; parques de estacionamento associados a interfaces modais)</t>
  </si>
  <si>
    <t>1. Selecionar a opção disponibilizada no campo "Fator de Emissão a utilizar" relativa ao fator de emissão de GEE a utilizar para calcular as emissões de GEE dos tipos de comboios e/ou elétricos incluídos no projeto:</t>
  </si>
  <si>
    <t>Fator de emissão GEE a utilizar (micromobilidade/ferrovia/ fluvial)</t>
  </si>
  <si>
    <t xml:space="preserve">II- Fator de emissão de GEE (padrão) </t>
  </si>
  <si>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</si>
  <si>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 xml:space="preserve"> o metro (superficie)</t>
    </r>
    <r>
      <rPr>
        <sz val="14"/>
        <color theme="1"/>
        <rFont val="Aptos"/>
        <family val="2"/>
      </rPr>
      <t>?</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</si>
  <si>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 </t>
    </r>
    <r>
      <rPr>
        <b/>
        <sz val="14"/>
        <color theme="1"/>
        <rFont val="Aptos"/>
        <family val="2"/>
      </rPr>
      <t>metro (superficie+ subterrâneo)</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</si>
  <si>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metro </t>
    </r>
    <r>
      <rPr>
        <b/>
        <sz val="14"/>
        <color theme="1"/>
        <rFont val="Aptos"/>
        <family val="2"/>
      </rPr>
      <t>(superficie+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</si>
  <si>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t>
    </r>
    <r>
      <rPr>
        <b/>
        <sz val="14"/>
        <color theme="1"/>
        <rFont val="Aptos"/>
        <family val="2"/>
      </rPr>
      <t xml:space="preserve"> o metro (superficie+ subterrâneo)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</si>
  <si>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elétrico</t>
    </r>
    <r>
      <rPr>
        <sz val="14"/>
        <color theme="1"/>
        <rFont val="Aptos"/>
        <family val="2"/>
      </rPr>
      <t>?</t>
    </r>
  </si>
  <si>
    <t>Comboios metro subterrâneo: Fator de emissão de GEE - material circulante elétrico</t>
  </si>
  <si>
    <t>Comboios metro superficie+ subterrâneo: Fator de emissão de GEE - material circulante elétrico</t>
  </si>
  <si>
    <t>Outro material circulante</t>
  </si>
  <si>
    <r>
      <t xml:space="preserve">Fator de emissão de GEE - </t>
    </r>
    <r>
      <rPr>
        <b/>
        <sz val="14"/>
        <color theme="1"/>
        <rFont val="Aptos"/>
        <family val="2"/>
      </rPr>
      <t xml:space="preserve">material circulante </t>
    </r>
  </si>
  <si>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energia desconhecida)</t>
    </r>
    <r>
      <rPr>
        <sz val="14"/>
        <color theme="1"/>
        <rFont val="Aptos"/>
        <family val="2"/>
      </rPr>
      <t xml:space="preserve"> para o</t>
    </r>
    <r>
      <rPr>
        <b/>
        <sz val="14"/>
        <color theme="1"/>
        <rFont val="Aptos"/>
        <family val="2"/>
      </rPr>
      <t xml:space="preserve"> outro material circulante</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</si>
  <si>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o </t>
    </r>
    <r>
      <rPr>
        <b/>
        <sz val="14"/>
        <color theme="1"/>
        <rFont val="Aptos"/>
        <family val="2"/>
      </rPr>
      <t>outro material circulante</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</si>
  <si>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outro material circulante</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</si>
  <si>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t>
    </r>
    <r>
      <rPr>
        <b/>
        <sz val="14"/>
        <color theme="1"/>
        <rFont val="Aptos"/>
        <family val="2"/>
      </rPr>
      <t xml:space="preserve"> outro material circulante</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</si>
  <si>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o </t>
    </r>
    <r>
      <rPr>
        <b/>
        <sz val="14"/>
        <color theme="1"/>
        <rFont val="Aptos"/>
        <family val="2"/>
      </rPr>
      <t>outro material circulante</t>
    </r>
    <r>
      <rPr>
        <sz val="14"/>
        <color theme="1"/>
        <rFont val="Aptos"/>
        <family val="2"/>
      </rPr>
      <t>?</t>
    </r>
  </si>
  <si>
    <t>Outro material circulante- podução do material circulante</t>
  </si>
  <si>
    <r>
      <t xml:space="preserve">Qual a TM expectável do </t>
    </r>
    <r>
      <rPr>
        <b/>
        <sz val="14"/>
        <color theme="1"/>
        <rFont val="Aptos"/>
        <family val="2"/>
      </rPr>
      <t>autocarro</t>
    </r>
    <r>
      <rPr>
        <sz val="14"/>
        <color theme="1"/>
        <rFont val="Aptos"/>
        <family val="2"/>
      </rPr>
      <t xml:space="preserve"> para </t>
    </r>
    <r>
      <rPr>
        <b/>
        <sz val="14"/>
        <color theme="1"/>
        <rFont val="Aptos"/>
        <family val="2"/>
      </rPr>
      <t>comboio</t>
    </r>
    <r>
      <rPr>
        <sz val="14"/>
        <color theme="1"/>
        <rFont val="Aptos"/>
        <family val="2"/>
      </rPr>
      <t>?</t>
    </r>
  </si>
  <si>
    <r>
      <t xml:space="preserve">Qual a TM expectável do </t>
    </r>
    <r>
      <rPr>
        <b/>
        <sz val="14"/>
        <color theme="1"/>
        <rFont val="Aptos"/>
        <family val="2"/>
      </rPr>
      <t>metro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</si>
  <si>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modo pedonal + procura induzida (indução)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</si>
  <si>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comboio</t>
    </r>
    <r>
      <rPr>
        <sz val="14"/>
        <color theme="1"/>
        <rFont val="Aptos"/>
        <family val="2"/>
      </rPr>
      <t xml:space="preserve"> para o </t>
    </r>
    <r>
      <rPr>
        <b/>
        <sz val="14"/>
        <color theme="1"/>
        <rFont val="Aptos"/>
        <family val="2"/>
      </rPr>
      <t xml:space="preserve"> elétrico</t>
    </r>
    <r>
      <rPr>
        <sz val="14"/>
        <color theme="1"/>
        <rFont val="Aptos"/>
        <family val="2"/>
      </rPr>
      <t>?</t>
    </r>
  </si>
  <si>
    <t>% captação (TM)</t>
  </si>
  <si>
    <t>Calculadora A: Cálculo do Fator de emissão do transporte elétrico</t>
  </si>
  <si>
    <t>Nº médio de passageiros transportados por unidade (ex. 1 autocarro/ 1 comboio/ 1 embarcação/ 1 bicicleta)</t>
  </si>
  <si>
    <t>Consumo de eletricidade do transporte elétrico  (kWh/ km)</t>
  </si>
  <si>
    <t>Fator de emissão de GEE                        (kgCO2e/ p.km)</t>
  </si>
  <si>
    <t>Sem ProdT</t>
  </si>
  <si>
    <t>Com ProdT</t>
  </si>
  <si>
    <t>Passo I- Componentes do Projeto</t>
  </si>
  <si>
    <t>1. Responder ao questionário seguinte selecionando a opção SIM apenas nas questões do pressuposto metodológico que se apliquem ao Projeto. (ex. Resposta SIM a: Pressuposto Transferência Modal - "É um projeto relacionado com a micromobilidade?" + "É um projeto relacionado com o transporte rodoviário de passageiros?")</t>
  </si>
  <si>
    <t>Passo II- Resposta ao questionário</t>
  </si>
  <si>
    <t>1. Preencher os separadores que aparecem no campo "Separadores a preencher"? (ex. ID_Identificação do projeto; TM1_micromobilidade; TM2_rodovia)</t>
  </si>
  <si>
    <t>Passo III- Preencher os separadores da GEE_mobilidade</t>
  </si>
  <si>
    <r>
      <t>Resposta: SIM</t>
    </r>
    <r>
      <rPr>
        <b/>
        <sz val="14"/>
        <color theme="0"/>
        <rFont val="Aptos"/>
        <family val="2"/>
      </rPr>
      <t xml:space="preserve"> (Selecionar caso se aplique ao projeto)</t>
    </r>
  </si>
  <si>
    <t xml:space="preserve">B: TM (total Passageiros* km ano* %TM)                             </t>
  </si>
  <si>
    <t>modo pedonal+ procura induzida</t>
  </si>
  <si>
    <t>Transferência modal (%) Outro material circulante</t>
  </si>
  <si>
    <r>
      <t xml:space="preserve">Qual a TM expectável do </t>
    </r>
    <r>
      <rPr>
        <b/>
        <sz val="14"/>
        <color theme="1"/>
        <rFont val="Aptos"/>
        <family val="2"/>
      </rPr>
      <t>elétrico</t>
    </r>
    <r>
      <rPr>
        <sz val="14"/>
        <color theme="1"/>
        <rFont val="Aptos"/>
        <family val="2"/>
      </rPr>
      <t xml:space="preserve"> para o </t>
    </r>
    <r>
      <rPr>
        <b/>
        <sz val="14"/>
        <color theme="1"/>
        <rFont val="Aptos"/>
        <family val="2"/>
      </rPr>
      <t>comboio</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</si>
  <si>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</si>
  <si>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(superficie+ subterrâneo)</t>
    </r>
    <r>
      <rPr>
        <sz val="14"/>
        <color theme="1"/>
        <rFont val="Aptos"/>
        <family val="2"/>
      </rPr>
      <t>?</t>
    </r>
  </si>
  <si>
    <t>elétrico</t>
  </si>
  <si>
    <t xml:space="preserve">Transferência modal (%) Comboios </t>
  </si>
  <si>
    <t>modo pedonal+ procura induzida(0  emissões)</t>
  </si>
  <si>
    <t>modo pedonal + procura induzida(0  emissões)</t>
  </si>
  <si>
    <t xml:space="preserve"> Outro material circulante</t>
  </si>
  <si>
    <t xml:space="preserve"> Total (emissões referencia) com ProdT (ton/p.km)</t>
  </si>
  <si>
    <t>Emissões referencia  Total Global  (tCO2e/pkm)</t>
  </si>
  <si>
    <t>modo pedonal (0  emissões)+ procura induzida</t>
  </si>
  <si>
    <t xml:space="preserve">4.2 Resultados Totais </t>
  </si>
  <si>
    <r>
      <t xml:space="preserve">Fator de emissão de GEE - </t>
    </r>
    <r>
      <rPr>
        <b/>
        <sz val="14"/>
        <color theme="1"/>
        <rFont val="Aptos"/>
        <family val="2"/>
      </rPr>
      <t>produção do</t>
    </r>
    <r>
      <rPr>
        <sz val="14"/>
        <color theme="1"/>
        <rFont val="Aptos"/>
        <family val="2"/>
      </rPr>
      <t xml:space="preserve"> </t>
    </r>
    <r>
      <rPr>
        <b/>
        <sz val="14"/>
        <color theme="1"/>
        <rFont val="Aptos"/>
        <family val="2"/>
      </rPr>
      <t>transporte</t>
    </r>
    <r>
      <rPr>
        <sz val="14"/>
        <color theme="1"/>
        <rFont val="Aptos"/>
        <family val="2"/>
      </rPr>
      <t xml:space="preserve"> (ProdT)</t>
    </r>
  </si>
  <si>
    <t>tCO2e/ p.km</t>
  </si>
  <si>
    <r>
      <t xml:space="preserve">Nº total passageiros* C.km percorridos num ano típico de operação / </t>
    </r>
    <r>
      <rPr>
        <sz val="8"/>
        <color theme="1"/>
        <rFont val="Calibri"/>
        <family val="2"/>
        <scheme val="minor"/>
      </rPr>
      <t>outros consumos de eletricidade</t>
    </r>
  </si>
  <si>
    <t xml:space="preserve">Total Global </t>
  </si>
  <si>
    <r>
      <t xml:space="preserve">Indicadores                               </t>
    </r>
    <r>
      <rPr>
        <sz val="14"/>
        <color theme="1"/>
        <rFont val="Aptos"/>
        <family val="2"/>
      </rPr>
      <t xml:space="preserve"> comboios urbanos, metro e elétricos</t>
    </r>
  </si>
  <si>
    <t>MWh/ ano</t>
  </si>
  <si>
    <t xml:space="preserve">Emissões relativas </t>
  </si>
  <si>
    <t>Índice</t>
  </si>
  <si>
    <t>1. A GEE_mobilidade é aplicável a qualquer região e contexto quando são utilizados os fatores de emissão do utilizador e quando não são incluidas as emissões de GEE da produção do transporte (cenário SEM Produção do Transporte). Em todos os outros casos, a GEE_mobilidade apenas é aplicável ao contexto Português.</t>
  </si>
  <si>
    <r>
      <t xml:space="preserve">1. A calculadora permite incluir </t>
    </r>
    <r>
      <rPr>
        <b/>
        <sz val="14"/>
        <rFont val="Aptos"/>
        <family val="2"/>
      </rPr>
      <t xml:space="preserve">" Outros consumos de eletricidade" </t>
    </r>
    <r>
      <rPr>
        <sz val="14"/>
        <rFont val="Aptos"/>
        <family val="2"/>
      </rPr>
      <t xml:space="preserve">provenientes de infraestruturas e equipamentos (ex. iluminação urbana, unidades de ar condicionado) associados ao projeto, no cálculo das emissões relativas. </t>
    </r>
  </si>
  <si>
    <t>2. Intensidade carbónica por tipo de transporte em tonelada de CO2e por passageiro-quilómetro (tCO2e/p.km)</t>
  </si>
  <si>
    <t>1. Intensidade carbónica por tipo de transporte em tonelada de CO2e por unidade de transporte- quilómetro (ex. 1 unidade = 1 bicicleta/1 autocarro/1 comboio/)</t>
  </si>
  <si>
    <r>
      <t xml:space="preserve">2. A GEE_mobilidade </t>
    </r>
    <r>
      <rPr>
        <b/>
        <sz val="14"/>
        <rFont val="Aptos"/>
        <family val="2"/>
      </rPr>
      <t>não permite o cálculo</t>
    </r>
    <r>
      <rPr>
        <sz val="14"/>
        <rFont val="Aptos"/>
        <family val="2"/>
      </rPr>
      <t xml:space="preserve"> das emissões de GEE relativas das fases de construção e desativação de infraestruturas associadas a projetos de mobilidade. Estas emissões de GEE podem ser calculadas com recurso à calculadora de emissões de GEE para projetos sujeitos à Avaliação de Impacte Ambiental (AIA) disponibilizada no portal da Agência Portuguesa do Ambiente (APA).</t>
    </r>
  </si>
  <si>
    <r>
      <t xml:space="preserve">1. Projetos que incluem a disponibilização de estações de carregamento de veículos elétricos. </t>
    </r>
    <r>
      <rPr>
        <b/>
        <sz val="14"/>
        <rFont val="Aptos"/>
        <family val="2"/>
      </rPr>
      <t>Exemplo:</t>
    </r>
    <r>
      <rPr>
        <sz val="14"/>
        <rFont val="Aptos"/>
        <family val="2"/>
      </rPr>
      <t xml:space="preserve"> Construção de 5 estações de carregamento de veículos elétricos para carregamento de 25 veículos elétricos.</t>
    </r>
  </si>
  <si>
    <r>
      <t xml:space="preserve">1. Projetos que podem incluir vários tipos de transporte rodoviário e de micromobilidade. </t>
    </r>
    <r>
      <rPr>
        <b/>
        <sz val="14"/>
        <rFont val="Aptos"/>
        <family val="2"/>
      </rPr>
      <t>Exemplo:</t>
    </r>
    <r>
      <rPr>
        <sz val="14"/>
        <rFont val="Aptos"/>
        <family val="2"/>
      </rPr>
      <t xml:space="preserve"> Condicionamento da velocidade de todos os veículos a 30km/hora + construção de infraestruturas associadas à micromobilidade. </t>
    </r>
  </si>
  <si>
    <t>TM5_parques de estacionamento</t>
  </si>
  <si>
    <t>Fatores de emissão padrão da produção do transporte</t>
  </si>
  <si>
    <r>
      <t>(B) Preencher os campos a</t>
    </r>
    <r>
      <rPr>
        <b/>
        <sz val="14"/>
        <color rgb="FF00B0F0"/>
        <rFont val="Aptos"/>
        <family val="2"/>
      </rPr>
      <t xml:space="preserve"> AZUL CLARO</t>
    </r>
    <r>
      <rPr>
        <sz val="14"/>
        <rFont val="Aptos"/>
        <family val="2"/>
      </rPr>
      <t>, quando aplicável</t>
    </r>
  </si>
  <si>
    <t>Valor médio</t>
  </si>
  <si>
    <r>
      <t xml:space="preserve">3. A GEE_mobilidade </t>
    </r>
    <r>
      <rPr>
        <b/>
        <sz val="14"/>
        <rFont val="Aptos"/>
        <family val="2"/>
      </rPr>
      <t>não permite o cálculo</t>
    </r>
    <r>
      <rPr>
        <sz val="14"/>
        <rFont val="Aptos"/>
        <family val="2"/>
      </rPr>
      <t xml:space="preserve"> das emissões de GEE relativas de transporte de mercadorias.</t>
    </r>
  </si>
  <si>
    <t>Resultados apresentados</t>
  </si>
  <si>
    <t>Emissões de GEE</t>
  </si>
  <si>
    <t>Quadros de Resultados</t>
  </si>
  <si>
    <t>Resultados Globais: Pressuposto da Redução da Intensidade Carbónica + Pressuposto da Transferência Modal</t>
  </si>
  <si>
    <t>IC2_Projetos de transporte rodoviário de passageiros</t>
  </si>
  <si>
    <t>IC3_Projetos de transporte ferroviário de passageiros</t>
  </si>
  <si>
    <t>A. Projeto de criação de redes e vias</t>
  </si>
  <si>
    <t>C. Projeto de renovação de veículos (micromobilidade)/frota/material circulante</t>
  </si>
  <si>
    <t>D. Projeto de aquisição de novos veículos (micromobilidade)/ frota/material circulante.</t>
  </si>
  <si>
    <t>E. Projeto de carregamento de veículos elétricos</t>
  </si>
  <si>
    <t>F. Projeto de carregamento de navios/embarcações</t>
  </si>
  <si>
    <t>G. Parques de estacionamento associados a interfaces modais</t>
  </si>
  <si>
    <t>H. Criação de zonas condicionadas (ex. zonas 20; zonas 30)</t>
  </si>
  <si>
    <t>I. Criação de zonas de baixas emissões</t>
  </si>
  <si>
    <t>IC4_Projetos de transporte de passageiros em vias navegáveis</t>
  </si>
  <si>
    <t>1. Dados para o cálculo das emissões absolutas</t>
  </si>
  <si>
    <t>Passo II- Instruções</t>
  </si>
  <si>
    <t>1. Orientações técnicas sobre a resistência às alterações climáticas das infraestruturas no período 2021-2027 (2021/C 373/01)</t>
  </si>
  <si>
    <t>2. Projetos abrangidos pelo pressuposto Transferência Modal (TM): Projetos de micromobilidade; Projetos de transporte rodoviário de passageiros com transferência modal (ex. criação/ melhoria/ ampliação de redes e vias, renovação ou aquisição de novos autocarros); Projetos de transporte ferroviário de passageiros com transferência modal (ex. criação/ melhoria/ ampliação de redes e vias, renovação ou aquisição de material circulante); Projetos de transporte em vias navegáveis interiores com transferência modal (ex. renovação ou aquisição de nova frota de navios/embarcações); Projetos de criação de zonas condicionadas (e.g. zonas 20; zonas 30); Projetos de criação de baixas emissões; Projetos de parques de estacionamento associados a interfaces modais.</t>
  </si>
  <si>
    <t>B. Projeto de melhoria/ ampliação de redes e vias</t>
  </si>
  <si>
    <r>
      <rPr>
        <b/>
        <sz val="14"/>
        <rFont val="Aptos"/>
        <family val="2"/>
      </rPr>
      <t xml:space="preserve">C. Projeto de renovação de veículos (micromobilidade)/frota/material circulante.  Exemplo: </t>
    </r>
    <r>
      <rPr>
        <sz val="14"/>
        <rFont val="Aptos"/>
        <family val="2"/>
      </rPr>
      <t xml:space="preserve">Substituição de 10 autocarros a gasóleo por 10  autocarros elétricos.                                                                                                                                                                                      </t>
    </r>
  </si>
  <si>
    <r>
      <t xml:space="preserve">D. Projeto de aquisição de novos veículos (micromobilidade)/ frota/material circulante. Exemplo: </t>
    </r>
    <r>
      <rPr>
        <sz val="14"/>
        <rFont val="Aptos"/>
        <family val="2"/>
      </rPr>
      <t>Aquisição de 20 novas bicicletas elétricas.</t>
    </r>
  </si>
  <si>
    <r>
      <t xml:space="preserve">E. Projeto de carregamento de veículos elétricos. Exemplo: </t>
    </r>
    <r>
      <rPr>
        <sz val="14"/>
        <rFont val="Aptos"/>
        <family val="2"/>
      </rPr>
      <t>Construção de 5 estações de carregamento de veículos elétricos para carregamento de um total de 25 veículos elétricos.</t>
    </r>
  </si>
  <si>
    <r>
      <t>F. Projeto de carregamento de navios/embarcações. Exemplo:</t>
    </r>
    <r>
      <rPr>
        <sz val="14"/>
        <rFont val="Aptos"/>
        <family val="2"/>
      </rPr>
      <t xml:space="preserve"> Intensificação da oferta de estações de carregamento da frota elétrica de navios/embarcações. </t>
    </r>
  </si>
  <si>
    <r>
      <t xml:space="preserve">G. Parques de estacionamento associados a interfaces modais. Exemplo: </t>
    </r>
    <r>
      <rPr>
        <sz val="14"/>
        <rFont val="Aptos"/>
        <family val="2"/>
      </rPr>
      <t xml:space="preserve">Construção de um parque de estacionamento para 100 veículos junto a uma estação de metro e a uma estação de bicicletas partilhadas. </t>
    </r>
  </si>
  <si>
    <r>
      <t xml:space="preserve">H. Criação de zonas condicionadas (ex. zonas 20; zonas 30). Exemplo: </t>
    </r>
    <r>
      <rPr>
        <sz val="14"/>
        <rFont val="Aptos"/>
        <family val="2"/>
      </rPr>
      <t>Condicionamento da velocidade de todos os veículos a 30 km/hora + construção de infraestruturas associadas à micromobilidade.</t>
    </r>
  </si>
  <si>
    <r>
      <t xml:space="preserve"> I. Criação de zonas de baixas emissões. Exemplo: </t>
    </r>
    <r>
      <rPr>
        <sz val="14"/>
        <rFont val="Aptos"/>
        <family val="2"/>
      </rPr>
      <t>Criação de uma zona de baixas emissões com permissão de circulação de transporte público elétrico, bicicletas, motociclos elétricos e trotinetas elétricas.</t>
    </r>
  </si>
  <si>
    <r>
      <t xml:space="preserve">4. Verificar ou consultar os </t>
    </r>
    <r>
      <rPr>
        <b/>
        <sz val="14"/>
        <rFont val="Aptos"/>
        <family val="2"/>
      </rPr>
      <t>Resultados</t>
    </r>
    <r>
      <rPr>
        <sz val="14"/>
        <rFont val="Aptos"/>
        <family val="2"/>
      </rPr>
      <t>: campos a verde (Emissões) ou a amarelo claro (Energia).</t>
    </r>
  </si>
  <si>
    <t>5. Consultar Resultados Globais, juntamente com as várias componentes do projeto em:</t>
  </si>
  <si>
    <t>Passo III- Resultados</t>
  </si>
  <si>
    <t>RE_resultados</t>
  </si>
  <si>
    <t>3. IC3_ Projetos de transporte ferroviário de passageiros</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</si>
  <si>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de transporte ferroviário de passageiros, metro e elétricos que impliquem transferência modal.</t>
    </r>
  </si>
  <si>
    <t xml:space="preserve">Projetos de redes e vias (ex. criação/ melhoria/ampliação de vias ferroviárias para transporte de passageiros, rede de metro e de elétricos); Projetos de aquisição de novo material circulante (ex. aquisição de novos comboios para utilização numa nova via ferroviária ou em adição ao material circulante existente); Projetos de renovação de material circulante em que se preveja haver transferência modal (ex. substituição total ou parcial de material circulante por outro com maior capacidade/ mais conveniente). </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</si>
  <si>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relacionados com a micromobilidade que impliquem transferência modal.</t>
    </r>
  </si>
  <si>
    <t>Projetos de redes e vias (ex. criação/ melhoria/ampliação de vias ciclopedonais/pedonais, ciclovias, estações de bicicleta); Projetos de aquisição de novo transporte (ex. aquisição de novas bicicletas, motociclos e trotinetas elétricas partilhadas)</t>
  </si>
  <si>
    <t xml:space="preserve">Os projectos relacionados com a micromobilidade podem estar integrados noutros projectos mais  abrangentes (ex. criação de zonas condicionadas tais como zonas 20 ou zonas 30; criação de zonas com baixas emissões; parques de estacionamento associados a interfaces modais).                                                                                                                                                   </t>
  </si>
  <si>
    <t>3. Recomenda-se a utilização do fator de emissão de eletricidade (Rede Nacional ou do fornecedor de eletricidade) mais próximo do ano típico de funcionamento do projeto (i.e. ano típico (médio)= n+2 em que "n" é o ano de ínicio de operação do projeto). O fator de emissão de eletricidade (Rede Nacional)  pode ser consultado no portal da Agência Portuguesa do Ambiente.</t>
  </si>
  <si>
    <t xml:space="preserve">II- Fator de emissão de GEE (padrão) 
</t>
  </si>
  <si>
    <t>Cálculo das emissões absolutas (Ab), das emissões emissões de referência (Be) e das emissões relativas (Re= Ab - Be)  de projetos de transporte rodoviário de passageiros que impliquem transferência modal.</t>
  </si>
  <si>
    <t>Projetos de redes e vias (ex. criação/ melhoria/ ampliação de vias dedicadas a autocarros urbanos, metrobus/BRTs); Projetos de aquisição de nova frota (ex. aquisição de autocarros em adição à frota existente); Projetos de renovação de frota (ex. substituição total ou parcial da frota de autocarros) em que se preveja haver transferência modal.</t>
  </si>
  <si>
    <t xml:space="preserve">Nº de passageiros/ ano </t>
  </si>
  <si>
    <t>Distância média das deslocações em bicicleta: AML: 8 km; AMP: 9 km</t>
  </si>
  <si>
    <t>Nº/ano</t>
  </si>
  <si>
    <t>I- % de captação (TM) do utilizador</t>
  </si>
  <si>
    <t>II- % de captação (TM) em Lisboa (padrão)</t>
  </si>
  <si>
    <t xml:space="preserve"> I- % captação (TM) do utilizador</t>
  </si>
  <si>
    <t>1. Selecionar uma opção:</t>
  </si>
  <si>
    <t xml:space="preserve"> A % de captação (TM) em Lisboa (padrão) é baseada em transferências modais (ano de 2019) de um estudo realizado para a Cidade de Lisboa por:
</t>
  </si>
  <si>
    <t xml:space="preserve">Nota 1 </t>
  </si>
  <si>
    <r>
      <t xml:space="preserve">Qual a TM expectável do </t>
    </r>
    <r>
      <rPr>
        <b/>
        <sz val="14"/>
        <color theme="1"/>
        <rFont val="Aptos"/>
        <family val="2"/>
      </rPr>
      <t>automóvel</t>
    </r>
    <r>
      <rPr>
        <sz val="14"/>
        <color theme="1"/>
        <rFont val="Aptos"/>
        <family val="2"/>
      </rPr>
      <t xml:space="preserve"> (combustível desconhecido)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</si>
  <si>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(combustível desconhecido)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</si>
  <si>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autocarro</t>
    </r>
    <r>
      <rPr>
        <sz val="14"/>
        <color theme="1"/>
        <rFont val="Aptos"/>
        <family val="2"/>
      </rPr>
      <t xml:space="preserve"> (combustível desconhecido)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</si>
  <si>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metro</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</si>
  <si>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</si>
  <si>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autocarro</t>
    </r>
    <r>
      <rPr>
        <sz val="14"/>
        <color theme="1"/>
        <rFont val="Aptos"/>
        <family val="2"/>
      </rPr>
      <t xml:space="preserve"> (combustível desconhecido)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</si>
  <si>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metro</t>
    </r>
    <r>
      <rPr>
        <sz val="14"/>
        <color theme="1"/>
        <rFont val="Aptos"/>
        <family val="2"/>
      </rPr>
      <t xml:space="preserve"> para a trotineta </t>
    </r>
    <r>
      <rPr>
        <b/>
        <sz val="14"/>
        <color theme="1"/>
        <rFont val="Aptos"/>
        <family val="2"/>
      </rPr>
      <t>elétrica privada</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</si>
  <si>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a trotineta </t>
    </r>
    <r>
      <rPr>
        <b/>
        <sz val="14"/>
        <color theme="1"/>
        <rFont val="Aptos"/>
        <family val="2"/>
      </rPr>
      <t>elétrica privada</t>
    </r>
    <r>
      <rPr>
        <sz val="14"/>
        <color theme="1"/>
        <rFont val="Aptos"/>
        <family val="2"/>
      </rPr>
      <t>?</t>
    </r>
  </si>
  <si>
    <t>3.1 Resultados Totais para um ano típico de funcionamento (ano médio)</t>
  </si>
  <si>
    <t>Horizonte do projeto</t>
  </si>
  <si>
    <t xml:space="preserve">  </t>
  </si>
  <si>
    <r>
      <t xml:space="preserve">Nº total de trotinetas elétricas </t>
    </r>
    <r>
      <rPr>
        <b/>
        <u/>
        <sz val="14"/>
        <color theme="1"/>
        <rFont val="Aptos"/>
        <family val="2"/>
      </rPr>
      <t>partilhadas</t>
    </r>
    <r>
      <rPr>
        <sz val="14"/>
        <color theme="1"/>
        <rFont val="Aptos"/>
        <family val="2"/>
      </rPr>
      <t xml:space="preserve"> em circulação previstas no projeto num ano típico de funcionamento</t>
    </r>
  </si>
  <si>
    <r>
      <t xml:space="preserve">Nº total de km por trotineta elétrica </t>
    </r>
    <r>
      <rPr>
        <b/>
        <u/>
        <sz val="14"/>
        <color theme="1"/>
        <rFont val="Aptos"/>
        <family val="2"/>
      </rPr>
      <t>partilhada</t>
    </r>
    <r>
      <rPr>
        <sz val="14"/>
        <color theme="1"/>
        <rFont val="Aptos"/>
        <family val="2"/>
      </rPr>
      <t xml:space="preserve"> num ano típico de funcionamento</t>
    </r>
  </si>
  <si>
    <r>
      <t xml:space="preserve">Nº total de km  por trotineta uma </t>
    </r>
    <r>
      <rPr>
        <b/>
        <u/>
        <sz val="14"/>
        <color theme="1"/>
        <rFont val="Aptos"/>
        <family val="2"/>
      </rPr>
      <t>privada</t>
    </r>
    <r>
      <rPr>
        <sz val="14"/>
        <color theme="1"/>
        <rFont val="Aptos"/>
        <family val="2"/>
      </rPr>
      <t xml:space="preserve"> num ano típico de funcionamento</t>
    </r>
  </si>
  <si>
    <r>
      <t xml:space="preserve">1.  Introduzir nas colunas </t>
    </r>
    <r>
      <rPr>
        <b/>
        <sz val="14"/>
        <color rgb="FF02A39C"/>
        <rFont val="Aptos"/>
        <family val="2"/>
      </rPr>
      <t>VALOR</t>
    </r>
    <r>
      <rPr>
        <sz val="14"/>
        <rFont val="Aptos"/>
        <family val="2"/>
      </rPr>
      <t xml:space="preserve"> abaixo a </t>
    </r>
    <r>
      <rPr>
        <b/>
        <sz val="14"/>
        <color rgb="FF02A39C"/>
        <rFont val="Aptos"/>
        <family val="2"/>
      </rPr>
      <t xml:space="preserve">AZUL </t>
    </r>
    <r>
      <rPr>
        <sz val="14"/>
        <rFont val="Aptos"/>
        <family val="2"/>
      </rPr>
      <t xml:space="preserve">os </t>
    </r>
    <r>
      <rPr>
        <b/>
        <sz val="14"/>
        <rFont val="Aptos"/>
        <family val="2"/>
      </rPr>
      <t>valores médios</t>
    </r>
    <r>
      <rPr>
        <sz val="14"/>
        <rFont val="Aptos"/>
        <family val="2"/>
      </rPr>
      <t xml:space="preserve">, quando aplicável:                                                                                                                                                                                                                                                                                                                                                                                                                                                                                                                                                                                                                                                                        </t>
    </r>
    <r>
      <rPr>
        <b/>
        <sz val="14"/>
        <rFont val="Aptos"/>
        <family val="2"/>
      </rPr>
      <t xml:space="preserve"> </t>
    </r>
    <r>
      <rPr>
        <sz val="14"/>
        <rFont val="Aptos"/>
        <family val="2"/>
      </rPr>
      <t xml:space="preserve"> </t>
    </r>
  </si>
  <si>
    <t>Nº total de km por motociclo elétrico</t>
  </si>
  <si>
    <t>Nº total de km por bicicleta elétrica</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</si>
  <si>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
    </r>
  </si>
  <si>
    <r>
      <rPr>
        <b/>
        <sz val="14"/>
        <color theme="1"/>
        <rFont val="Aptos"/>
        <family val="2"/>
      </rPr>
      <t>A</t>
    </r>
    <r>
      <rPr>
        <b/>
        <vertAlign val="subscript"/>
        <sz val="14"/>
        <color theme="1"/>
        <rFont val="Aptos"/>
        <family val="2"/>
      </rPr>
      <t>b</t>
    </r>
    <r>
      <rPr>
        <b/>
        <sz val="14"/>
        <color theme="1"/>
        <rFont val="Aptos"/>
        <family val="2"/>
      </rPr>
      <t>: Emissões Absolutas</t>
    </r>
    <r>
      <rPr>
        <sz val="14"/>
        <color theme="1"/>
        <rFont val="Aptos"/>
        <family val="2"/>
      </rPr>
      <t xml:space="preserve"> </t>
    </r>
  </si>
  <si>
    <r>
      <rPr>
        <b/>
        <sz val="14"/>
        <color theme="1"/>
        <rFont val="Aptos"/>
        <family val="2"/>
      </rPr>
      <t>B</t>
    </r>
    <r>
      <rPr>
        <b/>
        <vertAlign val="subscript"/>
        <sz val="14"/>
        <color theme="1"/>
        <rFont val="Aptos"/>
        <family val="2"/>
      </rPr>
      <t>e</t>
    </r>
    <r>
      <rPr>
        <b/>
        <sz val="14"/>
        <color theme="1"/>
        <rFont val="Aptos"/>
        <family val="2"/>
      </rPr>
      <t>: Emissões de Referência</t>
    </r>
    <r>
      <rPr>
        <sz val="14"/>
        <color theme="1"/>
        <rFont val="Aptos"/>
        <family val="2"/>
      </rPr>
      <t xml:space="preserve"> </t>
    </r>
  </si>
  <si>
    <t xml:space="preserve">EV_Emissões Evitadas </t>
  </si>
  <si>
    <r>
      <rPr>
        <b/>
        <sz val="14"/>
        <rFont val="Aptos"/>
        <family val="2"/>
      </rPr>
      <t>CS: Custo-Sombra</t>
    </r>
    <r>
      <rPr>
        <sz val="14"/>
        <rFont val="Aptos"/>
        <family val="2"/>
      </rPr>
      <t xml:space="preserve"> das emissões    relativas </t>
    </r>
  </si>
  <si>
    <r>
      <t xml:space="preserve"> Nº total de km percorridos num ano típico de operação / </t>
    </r>
    <r>
      <rPr>
        <sz val="8"/>
        <color theme="1"/>
        <rFont val="Calibri"/>
        <family val="2"/>
        <scheme val="minor"/>
      </rPr>
      <t>consumo anual de electricidade</t>
    </r>
  </si>
  <si>
    <t>Fator de emissão modo de transporte (kgCO2eq/p.km) - padrão</t>
  </si>
  <si>
    <t>dados do projeto</t>
  </si>
  <si>
    <t>Nº total de km por bicicleta não elétrica</t>
  </si>
  <si>
    <t>utilizador</t>
  </si>
  <si>
    <t>padrão</t>
  </si>
  <si>
    <t>Total Global (utilizador)</t>
  </si>
  <si>
    <t>Total Global (padrão)</t>
  </si>
  <si>
    <t>Fator de Emissão ( ProdT)</t>
  </si>
  <si>
    <t>Fator de Emissão (ProdT)</t>
  </si>
  <si>
    <t>ProdT</t>
  </si>
  <si>
    <t xml:space="preserve"> Total  referência sem ProdT</t>
  </si>
  <si>
    <t>Emissões referencia(ProdT)</t>
  </si>
  <si>
    <t>Emissões referencia totais (Com ProdT)</t>
  </si>
  <si>
    <r>
      <rPr>
        <b/>
        <sz val="14"/>
        <color theme="1"/>
        <rFont val="Aptos"/>
        <family val="2"/>
      </rPr>
      <t>R</t>
    </r>
    <r>
      <rPr>
        <b/>
        <vertAlign val="subscript"/>
        <sz val="14"/>
        <color theme="1"/>
        <rFont val="Aptos"/>
        <family val="2"/>
      </rPr>
      <t>e</t>
    </r>
    <r>
      <rPr>
        <b/>
        <sz val="14"/>
        <color theme="1"/>
        <rFont val="Aptos"/>
        <family val="2"/>
      </rPr>
      <t>: Emissões Relativas</t>
    </r>
    <r>
      <rPr>
        <sz val="14"/>
        <color theme="1"/>
        <rFont val="Aptos"/>
        <family val="2"/>
      </rPr>
      <t xml:space="preserve">                 </t>
    </r>
  </si>
  <si>
    <t>Emissões CO2e (ton/ano) (com ProdT)</t>
  </si>
  <si>
    <t>tCO2e/ v.km</t>
  </si>
  <si>
    <t>Nº total de motociclos elétricos previstos no projeto, num ano típico de funcionamento</t>
  </si>
  <si>
    <t>MWh/ano</t>
  </si>
  <si>
    <r>
      <t xml:space="preserve">Qual a TM expectável do </t>
    </r>
    <r>
      <rPr>
        <b/>
        <sz val="14"/>
        <color theme="1"/>
        <rFont val="Aptos"/>
        <family val="2"/>
      </rPr>
      <t>modo pedonal+ procura induzida</t>
    </r>
    <r>
      <rPr>
        <sz val="14"/>
        <color theme="1"/>
        <rFont val="Aptos"/>
        <family val="2"/>
      </rPr>
      <t xml:space="preserve"> para a bicicleta não elétrica?</t>
    </r>
  </si>
  <si>
    <r>
      <t xml:space="preserve">Qual a TM expectável do </t>
    </r>
    <r>
      <rPr>
        <b/>
        <sz val="14"/>
        <color theme="1"/>
        <rFont val="Aptos"/>
        <family val="2"/>
      </rPr>
      <t>modo pedonal + procura induzida</t>
    </r>
    <r>
      <rPr>
        <sz val="14"/>
        <color theme="1"/>
        <rFont val="Aptos"/>
        <family val="2"/>
      </rPr>
      <t xml:space="preserve"> para a bicicleta elétrica?</t>
    </r>
  </si>
  <si>
    <r>
      <t xml:space="preserve">Qual a TM expectável do </t>
    </r>
    <r>
      <rPr>
        <b/>
        <sz val="14"/>
        <color theme="1"/>
        <rFont val="Aptos"/>
        <family val="2"/>
      </rPr>
      <t>modo pedonal</t>
    </r>
    <r>
      <rPr>
        <sz val="14"/>
        <color theme="1"/>
        <rFont val="Aptos"/>
        <family val="2"/>
      </rPr>
      <t xml:space="preserve"> + </t>
    </r>
    <r>
      <rPr>
        <b/>
        <sz val="14"/>
        <color theme="1"/>
        <rFont val="Aptos"/>
        <family val="2"/>
      </rPr>
      <t>procura induzida</t>
    </r>
    <r>
      <rPr>
        <sz val="14"/>
        <color theme="1"/>
        <rFont val="Aptos"/>
        <family val="2"/>
      </rPr>
      <t xml:space="preserve"> para a moticiclo eléctrico?</t>
    </r>
  </si>
  <si>
    <r>
      <t xml:space="preserve">Qual a TM expectável do </t>
    </r>
    <r>
      <rPr>
        <b/>
        <sz val="14"/>
        <color theme="1"/>
        <rFont val="Aptos"/>
        <family val="2"/>
      </rPr>
      <t>modo pedonal + procura induzida</t>
    </r>
    <r>
      <rPr>
        <sz val="14"/>
        <color theme="1"/>
        <rFont val="Aptos"/>
        <family val="2"/>
      </rPr>
      <t xml:space="preserve"> para a trotineta </t>
    </r>
    <r>
      <rPr>
        <u/>
        <sz val="14"/>
        <color theme="1"/>
        <rFont val="Aptos"/>
        <family val="2"/>
      </rPr>
      <t>elétrica partilhada</t>
    </r>
    <r>
      <rPr>
        <sz val="14"/>
        <color theme="1"/>
        <rFont val="Aptos"/>
        <family val="2"/>
      </rPr>
      <t>?</t>
    </r>
  </si>
  <si>
    <r>
      <t xml:space="preserve">Qual a TM expectável do </t>
    </r>
    <r>
      <rPr>
        <b/>
        <sz val="14"/>
        <color theme="1"/>
        <rFont val="Aptos"/>
        <family val="2"/>
      </rPr>
      <t>modo pedonal + procura induzida</t>
    </r>
    <r>
      <rPr>
        <sz val="14"/>
        <color theme="1"/>
        <rFont val="Aptos"/>
        <family val="2"/>
      </rPr>
      <t xml:space="preserve"> para a trotineta </t>
    </r>
    <r>
      <rPr>
        <b/>
        <sz val="14"/>
        <color theme="1"/>
        <rFont val="Aptos"/>
        <family val="2"/>
      </rPr>
      <t>elétrica privada</t>
    </r>
    <r>
      <rPr>
        <sz val="14"/>
        <color theme="1"/>
        <rFont val="Aptos"/>
        <family val="2"/>
      </rPr>
      <t>?</t>
    </r>
  </si>
  <si>
    <t>Nº total de bicicletas elétricas previstas no projeto, num ano típico de funcionamento</t>
  </si>
  <si>
    <t>AML: 12,5 km;   AMP: 10 km</t>
  </si>
  <si>
    <t xml:space="preserve">Nº comboios * Nº de km  percorridos por um comboio, num ano típico de funcionamento  </t>
  </si>
  <si>
    <t xml:space="preserve">Nº médio de novos passageiros gerados pelo projeto, num ano típico de funcionamento </t>
  </si>
  <si>
    <r>
      <rPr>
        <b/>
        <sz val="14"/>
        <rFont val="Aptos"/>
        <family val="2"/>
      </rPr>
      <t>Nº médio de novos passageiros gerados pelo projeto</t>
    </r>
    <r>
      <rPr>
        <sz val="14"/>
        <rFont val="Aptos"/>
        <family val="2"/>
      </rPr>
      <t xml:space="preserve">, num ano típico de funcionamento:                                                                                                                                                                                                                                                                               Ex. 10 000 (Passageiros depois do projeto/ano) - 5 000 (Passageiros antes do projeto/ ano)= 5 000 (novos passageiros gerados pelo projeto/ ano). </t>
    </r>
    <r>
      <rPr>
        <b/>
        <sz val="14"/>
        <color rgb="FF02A39C"/>
        <rFont val="Aptos"/>
        <family val="2"/>
      </rPr>
      <t xml:space="preserve"> VALOR</t>
    </r>
    <r>
      <rPr>
        <sz val="14"/>
        <rFont val="Aptos"/>
        <family val="2"/>
      </rPr>
      <t xml:space="preserve">= 5 000                                                                                                                                                                                                                                                                                          </t>
    </r>
  </si>
  <si>
    <r>
      <t xml:space="preserve">1.  Introduzir nas colunas abaixo a </t>
    </r>
    <r>
      <rPr>
        <b/>
        <sz val="14"/>
        <color rgb="FF02A39C"/>
        <rFont val="Aptos"/>
        <family val="2"/>
      </rPr>
      <t xml:space="preserve">AZUL </t>
    </r>
    <r>
      <rPr>
        <sz val="14"/>
        <rFont val="Aptos"/>
        <family val="2"/>
      </rPr>
      <t xml:space="preserve">os </t>
    </r>
    <r>
      <rPr>
        <b/>
        <sz val="14"/>
        <rFont val="Aptos"/>
        <family val="2"/>
      </rPr>
      <t>valores médios</t>
    </r>
    <r>
      <rPr>
        <sz val="14"/>
        <rFont val="Aptos"/>
        <family val="2"/>
      </rPr>
      <t xml:space="preserve">, quando aplicável:                                                                                                                                                                                                                                                               </t>
    </r>
    <r>
      <rPr>
        <b/>
        <sz val="14"/>
        <rFont val="Aptos"/>
        <family val="2"/>
      </rPr>
      <t xml:space="preserve"> </t>
    </r>
    <r>
      <rPr>
        <sz val="14"/>
        <rFont val="Aptos"/>
        <family val="2"/>
      </rPr>
      <t xml:space="preserve"> </t>
    </r>
  </si>
  <si>
    <t xml:space="preserve">ckm / ano </t>
  </si>
  <si>
    <t xml:space="preserve">vkm / ano </t>
  </si>
  <si>
    <t xml:space="preserve">Nº comboios * Nº de km percorridos por um comboio, num ano típico de funcionamento  </t>
  </si>
  <si>
    <t>ckm / ano</t>
  </si>
  <si>
    <t xml:space="preserve">Nº elétricos * Nº de km  percorridos por um elétrico, num ano típico de funcionamento  </t>
  </si>
  <si>
    <r>
      <rPr>
        <b/>
        <sz val="14"/>
        <rFont val="Aptos"/>
        <family val="2"/>
      </rPr>
      <t xml:space="preserve">Nº de comboios/ elétricos * Nº km (km percorridos em média por um comboio/ elétrico), </t>
    </r>
    <r>
      <rPr>
        <sz val="14"/>
        <rFont val="Aptos"/>
        <family val="2"/>
      </rPr>
      <t xml:space="preserve">num ano típico de funcionamento:                                                                                                                                                                                                                    (A) </t>
    </r>
    <r>
      <rPr>
        <u/>
        <sz val="14"/>
        <rFont val="Aptos"/>
        <family val="2"/>
      </rPr>
      <t>Projetos de redes e vias</t>
    </r>
    <r>
      <rPr>
        <sz val="14"/>
        <rFont val="Aptos"/>
        <family val="2"/>
      </rPr>
      <t xml:space="preserve"> - Nº comboios (valor médio) * Nº de km de rede/ via a construir/ ampliar/ melhorar pelo projeto, num ano. Ex. o projeto prevê a melhoria de 20 km de via ferroviária onde circulam 10 comboios (em adição ao material circulante/frota existente), em média, por dia =20*10*365= 73 000 ckm. </t>
    </r>
    <r>
      <rPr>
        <b/>
        <sz val="14"/>
        <color rgb="FF02A39C"/>
        <rFont val="Aptos"/>
        <family val="2"/>
      </rPr>
      <t>VALOR</t>
    </r>
    <r>
      <rPr>
        <sz val="14"/>
        <rFont val="Aptos"/>
        <family val="2"/>
      </rPr>
      <t xml:space="preserve">= 73 000                                                                                                                                                                                                               (B) </t>
    </r>
    <r>
      <rPr>
        <u/>
        <sz val="14"/>
        <rFont val="Aptos"/>
        <family val="2"/>
      </rPr>
      <t xml:space="preserve">Projetos de aquisição de transporte de passageiros </t>
    </r>
    <r>
      <rPr>
        <sz val="14"/>
        <rFont val="Aptos"/>
        <family val="2"/>
      </rPr>
      <t xml:space="preserve">- Nº comboios/ elétricos a adquirir (em adição ao material circulante/frota existente) * Nº médio de km percorridos por comboio/elétrico, num ano. Ex. o projeto prevê a aquisição de 20 novos comboios em adição ao material circulante existente (10 comboios); 5 comboios foram para abate;  cada comboio percorre 20 000 km num ano = (20+10-5)*20 000= 500 000 ckm.  </t>
    </r>
    <r>
      <rPr>
        <b/>
        <sz val="14"/>
        <color rgb="FF02A39C"/>
        <rFont val="Aptos"/>
        <family val="2"/>
      </rPr>
      <t>VALOR</t>
    </r>
    <r>
      <rPr>
        <sz val="14"/>
        <rFont val="Aptos"/>
        <family val="2"/>
      </rPr>
      <t xml:space="preserve">= 500 000 </t>
    </r>
  </si>
  <si>
    <t xml:space="preserve">Nº autocarros * Nº de km percorridos por um autocarro, num ano típico de funcionamento  </t>
  </si>
  <si>
    <r>
      <rPr>
        <b/>
        <sz val="14"/>
        <color theme="1"/>
        <rFont val="Aptos"/>
        <family val="2"/>
      </rPr>
      <t>R</t>
    </r>
    <r>
      <rPr>
        <b/>
        <vertAlign val="subscript"/>
        <sz val="14"/>
        <color theme="1"/>
        <rFont val="Aptos"/>
        <family val="2"/>
      </rPr>
      <t>e_</t>
    </r>
    <r>
      <rPr>
        <b/>
        <sz val="14"/>
        <color theme="1"/>
        <rFont val="Aptos"/>
        <family val="2"/>
      </rPr>
      <t xml:space="preserve"> Emissões Relativas</t>
    </r>
    <r>
      <rPr>
        <sz val="14"/>
        <color theme="1"/>
        <rFont val="Aptos"/>
        <family val="2"/>
      </rPr>
      <t xml:space="preserve"> Totais </t>
    </r>
  </si>
  <si>
    <t>Fator de Emissão (sem ProdT) (kg/pkm)</t>
  </si>
  <si>
    <t>Emissões de referencia com ProdT (ton/p.km)</t>
  </si>
  <si>
    <t xml:space="preserve">Emissões referencia </t>
  </si>
  <si>
    <t xml:space="preserve">Nº médio de novos passageiros gerados pelo projeto* Nº autocarros * Nº de km percorridos por um autocarro, num ano típico de funcionamento  </t>
  </si>
  <si>
    <r>
      <t>1. Introduzir o fator de emissão de GEE (campo "</t>
    </r>
    <r>
      <rPr>
        <b/>
        <sz val="14"/>
        <color rgb="FF002060"/>
        <rFont val="Aptos"/>
        <family val="2"/>
      </rPr>
      <t>Valor</t>
    </r>
    <r>
      <rPr>
        <sz val="14"/>
        <rFont val="Aptos"/>
        <family val="2"/>
      </rPr>
      <t>" a</t>
    </r>
    <r>
      <rPr>
        <b/>
        <sz val="14"/>
        <color rgb="FF002060"/>
        <rFont val="Aptos"/>
        <family val="2"/>
      </rPr>
      <t xml:space="preserve"> AZUL escuro</t>
    </r>
    <r>
      <rPr>
        <sz val="14"/>
        <rFont val="Aptos"/>
        <family val="2"/>
      </rPr>
      <t xml:space="preserve">) para a eletricidade que pretende utilizar nos cálculos de emissões de GEE. A introdução deste fator de emissão é </t>
    </r>
    <r>
      <rPr>
        <b/>
        <sz val="14"/>
        <rFont val="Aptos"/>
        <family val="2"/>
      </rPr>
      <t>obrigatória</t>
    </r>
    <r>
      <rPr>
        <sz val="14"/>
        <rFont val="Aptos"/>
        <family val="2"/>
      </rPr>
      <t xml:space="preserve"> para a realização dos cálculos.</t>
    </r>
  </si>
  <si>
    <t>Local de origem (NUTS - 2013) (1)</t>
  </si>
  <si>
    <t xml:space="preserve">Passageiros-quilómetro transportados (N.º) pelas empresas de transporte rodoviário de passageiros por Local de origem (NUTS - 2013) e Tipo de serviço; Anual (3) </t>
  </si>
  <si>
    <t xml:space="preserve">Lugares-quilómetro oferecidos (N.º) pelas empresas de transporte rodoviário de passageiros por Local de origem (NUTS - 2013) e Tipo de serviço; Anual (3) </t>
  </si>
  <si>
    <t xml:space="preserve">Período de referência dos dados (2) </t>
  </si>
  <si>
    <t>Tipo de serviço</t>
  </si>
  <si>
    <t>Regular - carreiras</t>
  </si>
  <si>
    <t/>
  </si>
  <si>
    <t>18</t>
  </si>
  <si>
    <t>2</t>
  </si>
  <si>
    <t>20</t>
  </si>
  <si>
    <t>3</t>
  </si>
  <si>
    <t>30</t>
  </si>
  <si>
    <t>Passageiros-quilómetro transportados (N.º) pelas empresas de transporte rodoviário de passageiros por Local de origem (NUTS - 2013) e Tipo de serviço; Anual - INE, Inquérito ao transporte rodoviário de passageiros</t>
  </si>
  <si>
    <t>Lugares-quilómetro oferecidos (N.º) pelas empresas de transporte rodoviário de passageiros por Local de origem (NUTS - 2013) e Tipo de serviço; Anual - INE, Inquérito ao transporte rodoviário de passageiros</t>
  </si>
  <si>
    <t>Tx acupação autocarros</t>
  </si>
  <si>
    <t>Minibus- GNC (&lt; 40 passageiros)</t>
  </si>
  <si>
    <t>Minibus- Gasóleo (&lt; 40 passageiros)</t>
  </si>
  <si>
    <t>Estimativa equipa IST com taxa de ocupação 17% (Portugal) dados do INE (2023); (NUTS - 2013); Anual - INE, Inquérito ao transporte rodoviário de passageiros transportes rodoviários (urbano+ suburbano + interurbano)</t>
  </si>
  <si>
    <t>Estimativa equipa IST com FE electricidade Rede Nacional com Taxa de ocupação 20% para a Carris descrita em Ferreira, F. et al.  (2025). Mobilidade e Transportes nas Áreas Metropolitanas em Portugal - RELATÓRIO FINAL.</t>
  </si>
  <si>
    <t>Estimativa equipa IST com FE electricidade Rede Nacional com Taxa de ocupação 33% para a STCP descrita em Ferreira, F. et al.  (2025). Mobilidade e Transportes nas Áreas Metropolitanas em Portugal - RELATÓRIO FINAL.</t>
  </si>
  <si>
    <t>p.km (Lisboa)</t>
  </si>
  <si>
    <t>p.km (Porto)</t>
  </si>
  <si>
    <t>Emissões de Referência com ProdT</t>
  </si>
  <si>
    <t>Minibus: combustão (&lt; 40 passageiros)</t>
  </si>
  <si>
    <t>Minibus: elétrico (&lt; 40 passageiros)</t>
  </si>
  <si>
    <r>
      <rPr>
        <b/>
        <sz val="14"/>
        <rFont val="Aptos"/>
        <family val="2"/>
      </rPr>
      <t xml:space="preserve">Nota 3: </t>
    </r>
    <r>
      <rPr>
        <sz val="14"/>
        <rFont val="Aptos"/>
        <family val="2"/>
      </rPr>
      <t>Para utilizar o fator de emissão de material circulante a combustão (gasóleo) consultar o separador "Fatores de emissão". Este fator de emissão, ou fatores de emissão específicos do material circulante a combustão, podem ser introduzidos em "</t>
    </r>
    <r>
      <rPr>
        <b/>
        <sz val="14"/>
        <rFont val="Aptos"/>
        <family val="2"/>
      </rPr>
      <t>Outro material circulante</t>
    </r>
    <r>
      <rPr>
        <sz val="14"/>
        <rFont val="Aptos"/>
        <family val="2"/>
      </rPr>
      <t>".</t>
    </r>
  </si>
  <si>
    <t>TM4_ vias navegáveis interiores</t>
  </si>
  <si>
    <t>APA (2022), NIR, não publicado</t>
  </si>
  <si>
    <t>Fator de emissão GEE do utilizador</t>
  </si>
  <si>
    <t xml:space="preserve">embarcação. km / ano </t>
  </si>
  <si>
    <t>Navios/ embarcações elétricas</t>
  </si>
  <si>
    <t xml:space="preserve">Nº navios/embarcações * Nº de km percorridos por um navio/embarcação, num ano típico de funcionamento  </t>
  </si>
  <si>
    <t xml:space="preserve">Outros navios/ embarcações </t>
  </si>
  <si>
    <r>
      <rPr>
        <b/>
        <sz val="14"/>
        <rFont val="Aptos"/>
        <family val="2"/>
      </rPr>
      <t xml:space="preserve">Nº de navios/embarcações * Nº km (km percorridos em média por um comboio/ elétrico), </t>
    </r>
    <r>
      <rPr>
        <sz val="14"/>
        <rFont val="Aptos"/>
        <family val="2"/>
      </rPr>
      <t xml:space="preserve">num ano típico de funcionamento:                                                                                                                                                                                                                                                                                                                                                                                                                                </t>
    </r>
    <r>
      <rPr>
        <u/>
        <sz val="14"/>
        <rFont val="Aptos"/>
        <family val="2"/>
      </rPr>
      <t xml:space="preserve">Projetos de aquisição de transporte de passageiros </t>
    </r>
    <r>
      <rPr>
        <sz val="14"/>
        <rFont val="Aptos"/>
        <family val="2"/>
      </rPr>
      <t xml:space="preserve">- Nº de navios/embarcações a adquirir (em adição à frota existente) * Nº médio de km percorridos por navio/embarcação, num ano. Ex. o projeto prevê a aquisição de 20 novas embarcações em adição à frota existente (10 embarcações); 5 embarcações foram para abate;  cada embarcação percorre 20 000 km num ano = (20+10-5)*20 000= 500 000 embarcação. km.  </t>
    </r>
    <r>
      <rPr>
        <b/>
        <sz val="14"/>
        <color rgb="FF02A39C"/>
        <rFont val="Aptos"/>
        <family val="2"/>
      </rPr>
      <t>VALOR</t>
    </r>
    <r>
      <rPr>
        <sz val="14"/>
        <rFont val="Aptos"/>
        <family val="2"/>
      </rPr>
      <t xml:space="preserve">= 500 000 </t>
    </r>
  </si>
  <si>
    <r>
      <t xml:space="preserve">Qual a </t>
    </r>
    <r>
      <rPr>
        <b/>
        <sz val="14"/>
        <color theme="1"/>
        <rFont val="Aptos"/>
        <family val="2"/>
      </rPr>
      <t>procura induzida</t>
    </r>
    <r>
      <rPr>
        <sz val="14"/>
        <color theme="1"/>
        <rFont val="Aptos"/>
        <family val="2"/>
      </rPr>
      <t xml:space="preserve"> para o barco elétrico?</t>
    </r>
  </si>
  <si>
    <t>Outras embarcações</t>
  </si>
  <si>
    <t>Nº médio de passageiros* Nº embarcações *Nº total de km percorridos num ano típico de operação / consumo anual de electricidade</t>
  </si>
  <si>
    <t xml:space="preserve">Fator de emissão de GEE - navios/embarcações </t>
  </si>
  <si>
    <t>Outros navios/ embarcações</t>
  </si>
  <si>
    <t xml:space="preserve">Fator de emissão de GEE - produção do transporte </t>
  </si>
  <si>
    <r>
      <rPr>
        <b/>
        <sz val="14"/>
        <rFont val="Aptos"/>
        <family val="2"/>
      </rPr>
      <t xml:space="preserve">Outros consumos de eletricidade: </t>
    </r>
    <r>
      <rPr>
        <sz val="14"/>
        <rFont val="Aptos"/>
        <family val="2"/>
      </rPr>
      <t>Consumo anual de eletricidade (ex. iluminação; unidades de ar condicionado em edifícios) num ano típico de funcionamento (i.e. ano típico= n+2 em que "n" é o ano de ínicio de operação do projeto)</t>
    </r>
  </si>
  <si>
    <r>
      <rPr>
        <b/>
        <sz val="14"/>
        <rFont val="Aptos"/>
        <family val="2"/>
      </rPr>
      <t xml:space="preserve">Outros consumos de eletricidade: </t>
    </r>
    <r>
      <rPr>
        <sz val="14"/>
        <rFont val="Aptos"/>
        <family val="2"/>
      </rPr>
      <t>Consumo anual de eletricidade (ex. unidades de ar condicionado em edifícios) num ano típico de funcionamento (i.e. ano típico= n+2 em que "n" é o ano de ínicio de operação do projeto)</t>
    </r>
  </si>
  <si>
    <t xml:space="preserve">Fator de emissão de GEE - outros navios/ embarcações </t>
  </si>
  <si>
    <t>Emissões CO2e (ton ProdT kg/ano) (sem ProdT)</t>
  </si>
  <si>
    <t>Fator de emissão (ProdT)  (kg CO2e/p.km)</t>
  </si>
  <si>
    <t>Transferências Modais - naviois/ embarcações</t>
  </si>
  <si>
    <t>Transferências Modais - navios/ embarcações</t>
  </si>
  <si>
    <t>procura induzida</t>
  </si>
  <si>
    <t>Procura induzida</t>
  </si>
  <si>
    <t>% captação</t>
  </si>
  <si>
    <t>C= B* FE                                                 Emissões Referência  (sem ProdT)- ton CO2e/pkm</t>
  </si>
  <si>
    <t>Total de emissões referência (tCO2/pkm)</t>
  </si>
  <si>
    <t>Emissões Referência - ProdT</t>
  </si>
  <si>
    <t>Hibrido (plug in) elétrico</t>
  </si>
  <si>
    <t>emissões referência com ProdT (ton/p.km)</t>
  </si>
  <si>
    <t>Valores padrão</t>
  </si>
  <si>
    <t>emissões referência da ProdT (ton/p.km)</t>
  </si>
  <si>
    <t>C= B* FE                                                 Emissões Referência  (ProdT)- ton CO2e/pkm</t>
  </si>
  <si>
    <t>3.3 Resultados: Indicadores (eletricidade)</t>
  </si>
  <si>
    <t>1. Selecionar a opção disponibilizada no campo "Fator de Emissão a utilizar" relativa ao fator de emissão de GEE a utilizar para calcular as emissões de GEE dos navios/embarcações incluídos no projeto:</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</si>
  <si>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de transporte de passageiros em vias navegáveis interiores que impliquem transferência modal.</t>
    </r>
  </si>
  <si>
    <t xml:space="preserve">Projetos de aquisição de nova frota de navios/embarcações; Projetos de renovação de frota de navios/embarcações, em que se preveja haver transferência modal (ex. substituição total ou parcial de frota por outra com maior capacidade/ mais conveniente). </t>
  </si>
  <si>
    <t xml:space="preserve">Os projectos relacionados com o transporte de passageiros em vias navegáveis interiores podem estar integrados noutros projectos mais  abrangentes (parques de estacionamento associados a interfaces modais).                                                                                                                                                   </t>
  </si>
  <si>
    <r>
      <t xml:space="preserve">2. Esclarecer quaisquer </t>
    </r>
    <r>
      <rPr>
        <b/>
        <sz val="14"/>
        <rFont val="Aptos"/>
        <family val="2"/>
      </rPr>
      <t xml:space="preserve">dúvidas sobre conceitos e termos </t>
    </r>
    <r>
      <rPr>
        <sz val="14"/>
        <rFont val="Aptos"/>
        <family val="2"/>
      </rPr>
      <t xml:space="preserve">utilizados na calculadora no separador </t>
    </r>
    <r>
      <rPr>
        <b/>
        <sz val="14"/>
        <rFont val="Aptos"/>
        <family val="2"/>
      </rPr>
      <t>"Glossário</t>
    </r>
    <r>
      <rPr>
        <sz val="14"/>
        <rFont val="Aptos"/>
        <family val="2"/>
      </rPr>
      <t xml:space="preserve">". </t>
    </r>
    <r>
      <rPr>
        <b/>
        <sz val="14"/>
        <rFont val="Aptos"/>
        <family val="2"/>
      </rPr>
      <t>Nota:</t>
    </r>
    <r>
      <rPr>
        <sz val="14"/>
        <rFont val="Aptos"/>
        <family val="2"/>
      </rPr>
      <t xml:space="preserve"> Na GEE_mobilidade poderão, por vezes, ser utilizados termos não técnicos, de forma coloquial, de modo a assegurar a sua clareza a utilizadores provenientes de áreas de formação diversa.</t>
    </r>
  </si>
  <si>
    <t xml:space="preserve">                                                                                                                                                  </t>
  </si>
  <si>
    <r>
      <t>Cálculo das emissões absolutas (A</t>
    </r>
    <r>
      <rPr>
        <vertAlign val="subscript"/>
        <sz val="12"/>
        <rFont val="Aptos"/>
        <family val="2"/>
      </rPr>
      <t>b</t>
    </r>
    <r>
      <rPr>
        <sz val="12"/>
        <rFont val="Aptos"/>
        <family val="2"/>
      </rPr>
      <t>), das emissões emissões de referência (B</t>
    </r>
    <r>
      <rPr>
        <vertAlign val="subscript"/>
        <sz val="12"/>
        <rFont val="Aptos"/>
        <family val="2"/>
      </rPr>
      <t>e</t>
    </r>
    <r>
      <rPr>
        <sz val="12"/>
        <rFont val="Aptos"/>
        <family val="2"/>
      </rPr>
      <t>) e das emissões relativas (R</t>
    </r>
    <r>
      <rPr>
        <vertAlign val="subscript"/>
        <sz val="12"/>
        <rFont val="Aptos"/>
        <family val="2"/>
      </rPr>
      <t>e</t>
    </r>
    <r>
      <rPr>
        <sz val="12"/>
        <rFont val="Aptos"/>
        <family val="2"/>
      </rPr>
      <t>= A</t>
    </r>
    <r>
      <rPr>
        <vertAlign val="subscript"/>
        <sz val="12"/>
        <rFont val="Aptos"/>
        <family val="2"/>
      </rPr>
      <t>b</t>
    </r>
    <r>
      <rPr>
        <sz val="12"/>
        <rFont val="Aptos"/>
        <family val="2"/>
      </rPr>
      <t xml:space="preserve"> - B</t>
    </r>
    <r>
      <rPr>
        <vertAlign val="subscript"/>
        <sz val="12"/>
        <rFont val="Aptos"/>
        <family val="2"/>
      </rPr>
      <t>e</t>
    </r>
    <r>
      <rPr>
        <sz val="12"/>
        <rFont val="Aptos"/>
        <family val="2"/>
      </rPr>
      <t>)  de projetos relacionados com parques de estacionamento associados a interfaces modais que impliquem transferência modal.</t>
    </r>
  </si>
  <si>
    <t>Nº total de bicicletas não elétricas previstas no projeto, num ano típico de funcionamento</t>
  </si>
  <si>
    <t xml:space="preserve">TM1_ projetos de micromobilidade </t>
  </si>
  <si>
    <t>Nº total de utilizadores do estacionamento com potencial de transferência modal, num ano típico de funcionamento</t>
  </si>
  <si>
    <t>Nº total de km evitados, por transferência modal, num ano típico de funcionamento</t>
  </si>
  <si>
    <t>Automóvel a combustão- gasolina</t>
  </si>
  <si>
    <t>Outro tipo de veículo</t>
  </si>
  <si>
    <t>Automóvel a combustão- GPL</t>
  </si>
  <si>
    <t>Automóvel hibrido (Plug In)</t>
  </si>
  <si>
    <r>
      <t xml:space="preserve">Fator de emissão de GEE - </t>
    </r>
    <r>
      <rPr>
        <b/>
        <sz val="14"/>
        <color theme="1"/>
        <rFont val="Aptos"/>
        <family val="2"/>
      </rPr>
      <t>outro tipo de veículo</t>
    </r>
  </si>
  <si>
    <r>
      <t xml:space="preserve">Fator de emissão de GEE- </t>
    </r>
    <r>
      <rPr>
        <b/>
        <sz val="14"/>
        <color theme="1"/>
        <rFont val="Aptos"/>
        <family val="2"/>
      </rPr>
      <t>GPL</t>
    </r>
  </si>
  <si>
    <r>
      <t xml:space="preserve">Fator de emissão de GEE- </t>
    </r>
    <r>
      <rPr>
        <b/>
        <sz val="14"/>
        <color theme="1"/>
        <rFont val="Aptos"/>
        <family val="2"/>
      </rPr>
      <t>gasolina</t>
    </r>
  </si>
  <si>
    <r>
      <t xml:space="preserve">Fator de emissão de GEE- </t>
    </r>
    <r>
      <rPr>
        <b/>
        <sz val="14"/>
        <color theme="1"/>
        <rFont val="Aptos"/>
        <family val="2"/>
      </rPr>
      <t>gasóleo</t>
    </r>
  </si>
  <si>
    <r>
      <t xml:space="preserve">Fator de emissão de GEE- </t>
    </r>
    <r>
      <rPr>
        <b/>
        <sz val="14"/>
        <color theme="1"/>
        <rFont val="Aptos"/>
        <family val="2"/>
      </rPr>
      <t>híbrido (Plug In)</t>
    </r>
  </si>
  <si>
    <r>
      <t xml:space="preserve">Fator de emissão de GEE- </t>
    </r>
    <r>
      <rPr>
        <b/>
        <sz val="14"/>
        <color theme="1"/>
        <rFont val="Aptos"/>
        <family val="2"/>
      </rPr>
      <t>bateria (iões de lítio)</t>
    </r>
  </si>
  <si>
    <t>Distância média das deslocações em motociclo: AML: 11,8 km; AMP: 7,4 km</t>
  </si>
  <si>
    <r>
      <rPr>
        <b/>
        <sz val="14"/>
        <rFont val="Aptos"/>
        <family val="2"/>
      </rPr>
      <t>Nº total de utilizadores do estacionamento, com potencial de transferência modal,</t>
    </r>
    <r>
      <rPr>
        <sz val="14"/>
        <rFont val="Aptos"/>
        <family val="2"/>
      </rPr>
      <t xml:space="preserve"> num ano típico de funcionamento                  </t>
    </r>
  </si>
  <si>
    <t>Distância média das deslocações em automóvel: AML: 15 km; AMP: 13,5 km</t>
  </si>
  <si>
    <r>
      <t xml:space="preserve">Qual a TM expectável do </t>
    </r>
    <r>
      <rPr>
        <b/>
        <sz val="14"/>
        <color theme="1"/>
        <rFont val="Aptos"/>
        <family val="2"/>
      </rPr>
      <t xml:space="preserve">automóvel </t>
    </r>
    <r>
      <rPr>
        <sz val="14"/>
        <color theme="1"/>
        <rFont val="Aptos"/>
        <family val="2"/>
      </rPr>
      <t xml:space="preserve">para a </t>
    </r>
    <r>
      <rPr>
        <b/>
        <sz val="14"/>
        <color theme="1"/>
        <rFont val="Aptos"/>
        <family val="2"/>
      </rPr>
      <t>bicicleta não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</si>
  <si>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a </t>
    </r>
    <r>
      <rPr>
        <b/>
        <sz val="14"/>
        <color theme="1"/>
        <rFont val="Aptos"/>
        <family val="2"/>
      </rPr>
      <t>bicicleta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</si>
  <si>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a </t>
    </r>
    <r>
      <rPr>
        <b/>
        <sz val="14"/>
        <color theme="1"/>
        <rFont val="Aptos"/>
        <family val="2"/>
      </rPr>
      <t>trotineta elétrica partilhada</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</si>
  <si>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autocarro</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</si>
  <si>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</si>
  <si>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navio/embarcação</t>
    </r>
    <r>
      <rPr>
        <sz val="14"/>
        <color theme="1"/>
        <rFont val="Aptos"/>
        <family val="2"/>
      </rPr>
      <t xml:space="preserve"> </t>
    </r>
    <r>
      <rPr>
        <b/>
        <sz val="14"/>
        <color theme="1"/>
        <rFont val="Aptos"/>
        <family val="2"/>
      </rPr>
      <t>(transporte de passageiros)</t>
    </r>
    <r>
      <rPr>
        <sz val="14"/>
        <color theme="1"/>
        <rFont val="Aptos"/>
        <family val="2"/>
      </rPr>
      <t>?</t>
    </r>
  </si>
  <si>
    <t>Automóveis elétricos</t>
  </si>
  <si>
    <t>Automóvel elétrico-bateria (iões de lítio)</t>
  </si>
  <si>
    <t>Automóvel hibrido (motor desconhecido)</t>
  </si>
  <si>
    <t>I- % tipologia automóvel (utilizador)</t>
  </si>
  <si>
    <t>II- % tipologia automóvel (padrão)</t>
  </si>
  <si>
    <t>% tipologia automóvel</t>
  </si>
  <si>
    <t>A. Outros consumos de eletricidade</t>
  </si>
  <si>
    <t>B. Utilizadores</t>
  </si>
  <si>
    <t>D. 1 Tipologia de veículos - utilizador</t>
  </si>
  <si>
    <r>
      <t xml:space="preserve">Fator de emissão de GEE - </t>
    </r>
    <r>
      <rPr>
        <b/>
        <sz val="14"/>
        <color theme="1"/>
        <rFont val="Aptos"/>
        <family val="2"/>
      </rPr>
      <t>produção do</t>
    </r>
    <r>
      <rPr>
        <sz val="14"/>
        <color theme="1"/>
        <rFont val="Aptos"/>
        <family val="2"/>
      </rPr>
      <t xml:space="preserve"> </t>
    </r>
    <r>
      <rPr>
        <b/>
        <sz val="14"/>
        <color theme="1"/>
        <rFont val="Aptos"/>
        <family val="2"/>
      </rPr>
      <t>"outro tipo de veículo" (ProdT)</t>
    </r>
  </si>
  <si>
    <r>
      <t xml:space="preserve">Qual a TM expectável do </t>
    </r>
    <r>
      <rPr>
        <b/>
        <sz val="14"/>
        <color theme="1"/>
        <rFont val="Aptos"/>
        <family val="2"/>
      </rPr>
      <t xml:space="preserve">outro tipo de veículo </t>
    </r>
    <r>
      <rPr>
        <sz val="14"/>
        <color theme="1"/>
        <rFont val="Aptos"/>
        <family val="2"/>
      </rPr>
      <t xml:space="preserve">para a </t>
    </r>
    <r>
      <rPr>
        <b/>
        <sz val="14"/>
        <color theme="1"/>
        <rFont val="Aptos"/>
        <family val="2"/>
      </rPr>
      <t>bicicleta não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</si>
  <si>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a </t>
    </r>
    <r>
      <rPr>
        <b/>
        <sz val="14"/>
        <color theme="1"/>
        <rFont val="Aptos"/>
        <family val="2"/>
      </rPr>
      <t>bicicleta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</si>
  <si>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a </t>
    </r>
    <r>
      <rPr>
        <b/>
        <sz val="14"/>
        <color theme="1"/>
        <rFont val="Aptos"/>
        <family val="2"/>
      </rPr>
      <t>trotineta elétrica partilhada</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</si>
  <si>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autocarro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</si>
  <si>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comboio urbano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</si>
  <si>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navio/embarcação</t>
    </r>
    <r>
      <rPr>
        <sz val="14"/>
        <color theme="1"/>
        <rFont val="Aptos"/>
        <family val="2"/>
      </rPr>
      <t xml:space="preserve"> </t>
    </r>
    <r>
      <rPr>
        <b/>
        <sz val="14"/>
        <color theme="1"/>
        <rFont val="Aptos"/>
        <family val="2"/>
      </rPr>
      <t>(transporte de passageiros)</t>
    </r>
    <r>
      <rPr>
        <sz val="14"/>
        <color theme="1"/>
        <rFont val="Aptos"/>
        <family val="2"/>
      </rPr>
      <t>?</t>
    </r>
  </si>
  <si>
    <t xml:space="preserve">Outro tipo de veículo </t>
  </si>
  <si>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modo pedonal + procura induzida</t>
    </r>
    <r>
      <rPr>
        <sz val="14"/>
        <color theme="1"/>
        <rFont val="Aptos"/>
        <family val="2"/>
      </rPr>
      <t xml:space="preserve"> ?</t>
    </r>
  </si>
  <si>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modo pedonal</t>
    </r>
    <r>
      <rPr>
        <sz val="14"/>
        <color theme="1"/>
        <rFont val="Aptos"/>
        <family val="2"/>
      </rPr>
      <t xml:space="preserve"> </t>
    </r>
    <r>
      <rPr>
        <b/>
        <sz val="14"/>
        <color theme="1"/>
        <rFont val="Aptos"/>
        <family val="2"/>
      </rPr>
      <t>+ procura induzida</t>
    </r>
    <r>
      <rPr>
        <sz val="14"/>
        <color theme="1"/>
        <rFont val="Aptos"/>
        <family val="2"/>
      </rPr>
      <t>?</t>
    </r>
  </si>
  <si>
    <t>Qual a % tipologia automóvel a utilizar para os cálculos das emissões GEE?</t>
  </si>
  <si>
    <t>C. Quilómetros evitados</t>
  </si>
  <si>
    <t>Cálculos adicionais_utilizador</t>
  </si>
  <si>
    <t xml:space="preserve">A GEE_mobilidade disponibiliza uma calculadora (calculadora A) para estimar os fatores de emissão do transporte elétrico no separador "Cálculos adicionais_utilizador". </t>
  </si>
  <si>
    <t xml:space="preserve">Emissões Absolutas </t>
  </si>
  <si>
    <t xml:space="preserve">Emissões de Referência </t>
  </si>
  <si>
    <t xml:space="preserve">Emissões Absolutas           </t>
  </si>
  <si>
    <t xml:space="preserve">Emissões de Referência                 </t>
  </si>
  <si>
    <t xml:space="preserve">Emissões Relativas  </t>
  </si>
  <si>
    <t>Transporte</t>
  </si>
  <si>
    <t>TM5 parques de estacionamento</t>
  </si>
  <si>
    <t>Automóveis a combustão</t>
  </si>
  <si>
    <r>
      <t xml:space="preserve">Fator de emissão de GEE- </t>
    </r>
    <r>
      <rPr>
        <b/>
        <sz val="14"/>
        <color theme="1"/>
        <rFont val="Aptos"/>
        <family val="2"/>
      </rPr>
      <t>híbrido (motor desconhecido)</t>
    </r>
  </si>
  <si>
    <t>Consumo anual de electricidade num ano típico de operação</t>
  </si>
  <si>
    <t>Automóvel a combustão- gasóleo</t>
  </si>
  <si>
    <t xml:space="preserve"> Consumo de electricidade</t>
  </si>
  <si>
    <t>1. Cálculo das emissões de referência:</t>
  </si>
  <si>
    <t>Emissões absolutas - Parques Estacionamento</t>
  </si>
  <si>
    <t>Fator de emissão (Prod) (kg/p.km)</t>
  </si>
  <si>
    <t>total emissões referência (ton CO2/pkm)</t>
  </si>
  <si>
    <t>total emissões referência com ProdT (ton CO2/pkm)</t>
  </si>
  <si>
    <t>2.1 Opção I - Definição das percentagens das Transferências Modais (TM)</t>
  </si>
  <si>
    <t>outro tipo de veículo</t>
  </si>
  <si>
    <t>Utilizador</t>
  </si>
  <si>
    <t>Carro (nº de carros) - padráo</t>
  </si>
  <si>
    <r>
      <t xml:space="preserve">Qual a TM expectável do </t>
    </r>
    <r>
      <rPr>
        <b/>
        <sz val="14"/>
        <color theme="1"/>
        <rFont val="Aptos"/>
        <family val="2"/>
      </rPr>
      <t>automóvel</t>
    </r>
    <r>
      <rPr>
        <sz val="14"/>
        <color theme="1"/>
        <rFont val="Aptos"/>
        <family val="2"/>
      </rPr>
      <t xml:space="preserve"> para o </t>
    </r>
    <r>
      <rPr>
        <b/>
        <sz val="14"/>
        <color theme="1"/>
        <rFont val="Aptos"/>
        <family val="2"/>
      </rPr>
      <t>metro</t>
    </r>
    <r>
      <rPr>
        <sz val="14"/>
        <color theme="1"/>
        <rFont val="Aptos"/>
        <family val="2"/>
      </rPr>
      <t>?</t>
    </r>
  </si>
  <si>
    <r>
      <t xml:space="preserve">Qual a TM expectável do </t>
    </r>
    <r>
      <rPr>
        <b/>
        <sz val="14"/>
        <color theme="1"/>
        <rFont val="Aptos"/>
        <family val="2"/>
      </rPr>
      <t>outro tipo de veículo</t>
    </r>
    <r>
      <rPr>
        <sz val="14"/>
        <color theme="1"/>
        <rFont val="Aptos"/>
        <family val="2"/>
      </rPr>
      <t xml:space="preserve"> para o </t>
    </r>
    <r>
      <rPr>
        <b/>
        <sz val="14"/>
        <color theme="1"/>
        <rFont val="Aptos"/>
        <family val="2"/>
      </rPr>
      <t>metro</t>
    </r>
    <r>
      <rPr>
        <sz val="14"/>
        <color theme="1"/>
        <rFont val="Aptos"/>
        <family val="2"/>
      </rPr>
      <t>?</t>
    </r>
  </si>
  <si>
    <t>bicicleta não elétrica partilhada</t>
  </si>
  <si>
    <t>bicicleta elétrica partilhada</t>
  </si>
  <si>
    <t>trotineta elétrica partilhada</t>
  </si>
  <si>
    <r>
      <t xml:space="preserve"> </t>
    </r>
    <r>
      <rPr>
        <b/>
        <sz val="14"/>
        <color theme="1"/>
        <rFont val="Aptos"/>
        <family val="2"/>
      </rPr>
      <t>navio/embarcação</t>
    </r>
    <r>
      <rPr>
        <sz val="14"/>
        <color theme="1"/>
        <rFont val="Aptos"/>
        <family val="2"/>
      </rPr>
      <t xml:space="preserve"> </t>
    </r>
    <r>
      <rPr>
        <b/>
        <sz val="14"/>
        <color theme="1"/>
        <rFont val="Aptos"/>
        <family val="2"/>
      </rPr>
      <t>(transporte de passageiros)</t>
    </r>
  </si>
  <si>
    <t xml:space="preserve">B: Passageiros*km* %TM </t>
  </si>
  <si>
    <t>Padrão: (Utilizadores/tx ocupação)*% tipologia padrão * Nº total de km evitados</t>
  </si>
  <si>
    <r>
      <t xml:space="preserve">Utilizador: (Utilizadores/tx ocupação)*% tipologia * Nº total de km evitados/ </t>
    </r>
    <r>
      <rPr>
        <sz val="8"/>
        <color theme="1"/>
        <rFont val="Calibri"/>
        <family val="2"/>
        <scheme val="minor"/>
      </rPr>
      <t>consumo anual de electricidade</t>
    </r>
  </si>
  <si>
    <t>modo pedonal + procura induzida (0  emissões)</t>
  </si>
  <si>
    <t>navios/embarcações</t>
  </si>
  <si>
    <t>C= B* FE                                                 Emissões ProdT- ton CO2e/pkm</t>
  </si>
  <si>
    <t xml:space="preserve">EV_Emissões Evitadas                                      </t>
  </si>
  <si>
    <t>4. IC4_Projetos renovação ou aquisição de frota: navios/embarcações</t>
  </si>
  <si>
    <t xml:space="preserve">4.1 Dados do projeto </t>
  </si>
  <si>
    <t>4.2 Resultados</t>
  </si>
  <si>
    <t>Frota de Navios/ embarcações</t>
  </si>
  <si>
    <t>5. IC5_Projetos de carregamento de veículos elétricos/ navios/embarcações de transporte de passageiros</t>
  </si>
  <si>
    <t>Nº total de km percorridos por unidade (ex. 1 bicicleta), num ano típico de funcionamento</t>
  </si>
  <si>
    <t>Minibus - elétrico</t>
  </si>
  <si>
    <t>Minibus - combustão</t>
  </si>
  <si>
    <t>Autocarro Standard - elétrico</t>
  </si>
  <si>
    <t>Autocarros Articulados/ Bus Rapid Transit - elétrico</t>
  </si>
  <si>
    <t>Autocarro Standard - combustão</t>
  </si>
  <si>
    <t>Autocarros Articulados/ Bus Rapid Transit - combustão</t>
  </si>
  <si>
    <t>Nº total de km percorridos por unidade (ex. 1 comboio), num ano típico de funcionamento</t>
  </si>
  <si>
    <t>Nº total de km por navio/ embarcação num ano típico de funcionamento</t>
  </si>
  <si>
    <t>Nº total de km por um veículo/embarcação, num ano típico de funcionamento</t>
  </si>
  <si>
    <t>Fator de emissão de GEE  de eletricidade (kg CO2e/kWh) mais recente</t>
  </si>
  <si>
    <r>
      <t>Micromobilidade:</t>
    </r>
    <r>
      <rPr>
        <sz val="14"/>
        <color theme="1"/>
        <rFont val="Aptos"/>
        <family val="2"/>
      </rPr>
      <t xml:space="preserve"> "A micromobilidade refere-se, em regra, ao transporte individual, a distâncias curtas, com recurso à utilização de veículos de reduzida dimensão, ligeiros e movidos pelo esforço do utilizador ou por energia elétrica denominados, de um modo lato, veículos de mobilidade pessoal (VMP), nomeadamente bicicletas e trotinetas com ou sem motor elétrico e até quadriciclos ligeiros, os quais podem ser utilizados como veículos particulares ou inseridos em modelos de mobilidade partilhada (sharing)"</t>
    </r>
    <r>
      <rPr>
        <b/>
        <sz val="14"/>
        <color theme="1"/>
        <rFont val="Aptos"/>
        <family val="2"/>
      </rPr>
      <t>.</t>
    </r>
  </si>
  <si>
    <r>
      <t xml:space="preserve">Mobilidade urbana : </t>
    </r>
    <r>
      <rPr>
        <sz val="14"/>
        <color theme="1"/>
        <rFont val="Aptos"/>
        <family val="2"/>
      </rPr>
      <t>Viagens efectuadas por residentes de uma área urbana, em que  a origem e o destino se situam na mesma área urbana. A área urbana é constituída por uma cidade e pela zona onde ocorrem deslocações diárias entre o local de residência e o local de trabalho ou estudo (movimentos pendulares).</t>
    </r>
  </si>
  <si>
    <r>
      <t xml:space="preserve">Transferência Modal: </t>
    </r>
    <r>
      <rPr>
        <sz val="14"/>
        <color theme="1"/>
        <rFont val="Aptos"/>
        <family val="2"/>
      </rPr>
      <t>A transferência modal refere-se à transição de utilizadores/passageiros de um tipo de transporte para outro, geralmente de veículos, comboios ou navios/embarcações para alternativas com maior capacidade de transporte de passageiros, eficiência e/ou conveniência.</t>
    </r>
  </si>
  <si>
    <r>
      <rPr>
        <b/>
        <sz val="14"/>
        <color theme="1"/>
        <rFont val="Aptos"/>
        <family val="2"/>
      </rPr>
      <t>Fator de emissão:</t>
    </r>
    <r>
      <rPr>
        <sz val="14"/>
        <color theme="1"/>
        <rFont val="Aptos"/>
        <family val="2"/>
      </rPr>
      <t xml:space="preserve"> Um fator que permite estimar as emissões de GEE a partir de uma unidade de dados de atividade disponíveis (ex. consumo de eletricidade (kWh), nº de passageiros-quiómetro).</t>
    </r>
  </si>
  <si>
    <r>
      <rPr>
        <b/>
        <sz val="14"/>
        <color theme="1"/>
        <rFont val="Aptos"/>
        <family val="2"/>
      </rPr>
      <t>Limites do projeto:</t>
    </r>
    <r>
      <rPr>
        <sz val="14"/>
        <color theme="1"/>
        <rFont val="Aptos"/>
        <family val="2"/>
      </rPr>
      <t xml:space="preserve"> São as fronteiras que determinam as emissões diretas e indirectas associadas às operações da responsabilidade ou controladas pelo promotor do projeto. Esta avaliação permite a um promotor de projeto (investidor) determinar que operações e fontes causam emissões diretas e indirectas e decidir quais as emissões indirectas, consequência das operações do projeto, deverão ser incluídas no cálculo da pegada de carbono. </t>
    </r>
  </si>
  <si>
    <t>Correspondência entre as NUTS 2013 e as NUTS 2024 ao nível do município (ver documentos)</t>
  </si>
  <si>
    <r>
      <rPr>
        <b/>
        <sz val="14"/>
        <color theme="1"/>
        <rFont val="Aptos"/>
        <family val="2"/>
      </rPr>
      <t>Procura Induzida (Indução):</t>
    </r>
    <r>
      <rPr>
        <sz val="14"/>
        <color theme="1"/>
        <rFont val="Aptos"/>
        <family val="2"/>
      </rPr>
      <t xml:space="preserve"> A procura induzida corresponde à procura (i.e. novos utilizadores/ passageiros) que não existia no sistema de transportes antes da fase de operação (funcionamento) do projeto.</t>
    </r>
  </si>
  <si>
    <t>Equipa IST (2025)</t>
  </si>
  <si>
    <r>
      <t xml:space="preserve">Material circulante: </t>
    </r>
    <r>
      <rPr>
        <sz val="14"/>
        <color theme="1"/>
        <rFont val="Aptos"/>
        <family val="2"/>
      </rPr>
      <t>Designação utilizada, de um modo geral, para o conjunto de veículos ferroviários.</t>
    </r>
  </si>
  <si>
    <t>Infraestruturas de Portugal</t>
  </si>
  <si>
    <r>
      <t>Vias navegáveis interiores:</t>
    </r>
    <r>
      <rPr>
        <sz val="14"/>
        <color theme="1"/>
        <rFont val="Aptos"/>
        <family val="2"/>
      </rPr>
      <t xml:space="preserve"> Um trecho de água, que não faz parte do mar, e que por características naturais ou artificiais é adequado para navegação, principalmente por embarcações fluviais. Este termo abrange rios, lagos, canais e estuários navegáveis.</t>
    </r>
  </si>
  <si>
    <r>
      <rPr>
        <b/>
        <sz val="14"/>
        <color theme="1"/>
        <rFont val="Aptos"/>
        <family val="2"/>
      </rPr>
      <t>Frota:</t>
    </r>
    <r>
      <rPr>
        <sz val="14"/>
        <color theme="1"/>
        <rFont val="Aptos"/>
        <family val="2"/>
      </rPr>
      <t xml:space="preserve"> Refere-se ao conjunto de veículos, como autocarros, comboios, navios/embarcações, aeronaves ou automóveis, que pertencem a uma organização, empresa ou serviço. </t>
    </r>
  </si>
  <si>
    <r>
      <rPr>
        <b/>
        <sz val="14"/>
        <color theme="1"/>
        <rFont val="Aptos"/>
        <family val="2"/>
      </rPr>
      <t>Ano típico/cruzeiro de funcionamento:</t>
    </r>
    <r>
      <rPr>
        <sz val="14"/>
        <color theme="1"/>
        <rFont val="Aptos"/>
        <family val="2"/>
      </rPr>
      <t xml:space="preserve"> No cálculo das emissões absolutas ou relativas de um projeto, é utilizado um ano típico de funcionamento (ano médio) em que o projeto funciona à sua capacidade normal. Na GEE-mobilidade o ano típico de funcionamento é o ano "n+2" em que "n" é o ano de início de operação do projeto.</t>
    </r>
  </si>
  <si>
    <r>
      <rPr>
        <b/>
        <sz val="14"/>
        <color theme="1"/>
        <rFont val="Aptos"/>
        <family val="2"/>
      </rPr>
      <t>Emissões de GEE absolutas (A</t>
    </r>
    <r>
      <rPr>
        <b/>
        <vertAlign val="subscript"/>
        <sz val="14"/>
        <color theme="1"/>
        <rFont val="Aptos"/>
        <family val="2"/>
      </rPr>
      <t>b</t>
    </r>
    <r>
      <rPr>
        <b/>
        <sz val="14"/>
        <color theme="1"/>
        <rFont val="Aptos"/>
        <family val="2"/>
      </rPr>
      <t>):</t>
    </r>
    <r>
      <rPr>
        <sz val="14"/>
        <color theme="1"/>
        <rFont val="Aptos"/>
        <family val="2"/>
      </rPr>
      <t xml:space="preserve"> Emissões anuais geradas pelo projeto estimadas para um ano médio de funcionamento (i.e. ano típico de funcionamento que na GEE_mobilidade é o ano "n+2" em que "n" é o ano de início de operação do projeto).</t>
    </r>
  </si>
  <si>
    <r>
      <rPr>
        <b/>
        <sz val="14"/>
        <color theme="1"/>
        <rFont val="Aptos"/>
        <family val="2"/>
      </rPr>
      <t xml:space="preserve">Intensidade Carbónica: </t>
    </r>
    <r>
      <rPr>
        <sz val="14"/>
        <color theme="1"/>
        <rFont val="Aptos"/>
        <family val="2"/>
      </rPr>
      <t xml:space="preserve">A intensidade carbónica refere-se ao rácio entre as emissões de GEE totais e uma determinada unidade. No setor dos transportes esta unidade é, geralmente, o passageiro-quilómetro. </t>
    </r>
  </si>
  <si>
    <t>Tipo de Transporte</t>
  </si>
  <si>
    <t xml:space="preserve">Greener Micromobility - ITF </t>
  </si>
  <si>
    <t>Estimativa da equipa IST baseada em informação sobre a frota eléctrica da TTSL</t>
  </si>
  <si>
    <t>Pressuposto Equipa IST: INE (2023)- taxa de utilização do eléctrico = taxa de utilização de transportes rodoviários da Carris (20%)</t>
  </si>
  <si>
    <t>Ano de referência dos Fatores de Emissão</t>
  </si>
  <si>
    <t xml:space="preserve"> Fonte</t>
  </si>
  <si>
    <t>Fator de emissão da produção do transporte- ProdT (kgCO2e/unidade)</t>
  </si>
  <si>
    <t>CO2e</t>
  </si>
  <si>
    <t>Pressuposto equipa IST- 1 passageiro</t>
  </si>
  <si>
    <t>Estimativa Equipa IST baseado no FE "Light rail and tram" em DEFRA 2025.</t>
  </si>
  <si>
    <t>The International EPD System</t>
  </si>
  <si>
    <r>
      <t xml:space="preserve">Fonte: Ferreira, F. </t>
    </r>
    <r>
      <rPr>
        <i/>
        <sz val="12"/>
        <rFont val="Aptos"/>
        <family val="2"/>
      </rPr>
      <t>et al.</t>
    </r>
    <r>
      <rPr>
        <sz val="12"/>
        <rFont val="Aptos"/>
        <family val="2"/>
      </rPr>
      <t xml:space="preserve">  (2025). Mobilidade e Transportes nas Áreas Metropolitanas em Portugal - RELATÓRIO FINAL. Pag. 100</t>
    </r>
  </si>
  <si>
    <t xml:space="preserve">FE de DEFRA, 2025. </t>
  </si>
  <si>
    <t xml:space="preserve">Estimativa Equipa IST baseado no FE "Hybrid" em DEFRA 2025. </t>
  </si>
  <si>
    <t>INE (2017). Inquérito à Mobilidade nas Áreas Metropolitanas do Porto e de Lisboa.</t>
  </si>
  <si>
    <t>Motorciclo (motos, motas) - Categoria L</t>
  </si>
  <si>
    <t>Conceito</t>
  </si>
  <si>
    <r>
      <t>1 pés cúbicos (ft</t>
    </r>
    <r>
      <rPr>
        <vertAlign val="superscript"/>
        <sz val="12"/>
        <rFont val="Aptos"/>
        <family val="2"/>
      </rPr>
      <t>3</t>
    </r>
    <r>
      <rPr>
        <sz val="12"/>
        <rFont val="Aptos"/>
        <family val="2"/>
      </rPr>
      <t>)</t>
    </r>
  </si>
  <si>
    <r>
      <t>0,02832 metro cúbico (m</t>
    </r>
    <r>
      <rPr>
        <vertAlign val="superscript"/>
        <sz val="12"/>
        <rFont val="Aptos"/>
        <family val="2"/>
      </rPr>
      <t>3</t>
    </r>
    <r>
      <rPr>
        <sz val="12"/>
        <rFont val="Aptos"/>
        <family val="2"/>
      </rPr>
      <t>)</t>
    </r>
  </si>
  <si>
    <r>
      <t>0,003785 metro cúbico (m</t>
    </r>
    <r>
      <rPr>
        <vertAlign val="superscript"/>
        <sz val="12"/>
        <rFont val="Aptos"/>
        <family val="2"/>
      </rPr>
      <t>3</t>
    </r>
    <r>
      <rPr>
        <sz val="12"/>
        <rFont val="Aptos"/>
        <family val="2"/>
      </rPr>
      <t>)</t>
    </r>
  </si>
  <si>
    <r>
      <t>0,1589873 metro cúbico (m</t>
    </r>
    <r>
      <rPr>
        <vertAlign val="superscript"/>
        <sz val="12"/>
        <rFont val="Aptos"/>
        <family val="2"/>
      </rPr>
      <t>3</t>
    </r>
    <r>
      <rPr>
        <sz val="12"/>
        <rFont val="Aptos"/>
        <family val="2"/>
      </rPr>
      <t>)</t>
    </r>
  </si>
  <si>
    <r>
      <t>0,001 metro cúbico (m</t>
    </r>
    <r>
      <rPr>
        <vertAlign val="superscript"/>
        <sz val="12"/>
        <rFont val="Aptos"/>
        <family val="2"/>
      </rPr>
      <t>3</t>
    </r>
    <r>
      <rPr>
        <sz val="12"/>
        <rFont val="Aptos"/>
        <family val="2"/>
      </rPr>
      <t>)</t>
    </r>
  </si>
  <si>
    <r>
      <t>1 metro cúbico (m</t>
    </r>
    <r>
      <rPr>
        <vertAlign val="superscript"/>
        <sz val="12"/>
        <rFont val="Aptos"/>
        <family val="2"/>
      </rPr>
      <t>3</t>
    </r>
    <r>
      <rPr>
        <sz val="12"/>
        <rFont val="Aptos"/>
        <family val="2"/>
      </rPr>
      <t>)</t>
    </r>
  </si>
  <si>
    <r>
      <t>10</t>
    </r>
    <r>
      <rPr>
        <vertAlign val="superscript"/>
        <sz val="12"/>
        <rFont val="Aptos"/>
        <family val="2"/>
      </rPr>
      <t>3</t>
    </r>
    <r>
      <rPr>
        <sz val="12"/>
        <rFont val="Aptos"/>
        <family val="2"/>
      </rPr>
      <t xml:space="preserve"> = 1000</t>
    </r>
  </si>
  <si>
    <r>
      <t>10</t>
    </r>
    <r>
      <rPr>
        <vertAlign val="superscript"/>
        <sz val="12"/>
        <rFont val="Aptos"/>
        <family val="2"/>
      </rPr>
      <t>6</t>
    </r>
    <r>
      <rPr>
        <sz val="12"/>
        <rFont val="Aptos"/>
        <family val="2"/>
      </rPr>
      <t xml:space="preserve"> = 1 000 000</t>
    </r>
  </si>
  <si>
    <r>
      <t>10</t>
    </r>
    <r>
      <rPr>
        <vertAlign val="superscript"/>
        <sz val="12"/>
        <rFont val="Aptos"/>
        <family val="2"/>
      </rPr>
      <t>9</t>
    </r>
    <r>
      <rPr>
        <sz val="12"/>
        <rFont val="Aptos"/>
        <family val="2"/>
      </rPr>
      <t xml:space="preserve"> = 1 000 000 000</t>
    </r>
  </si>
  <si>
    <r>
      <t>10</t>
    </r>
    <r>
      <rPr>
        <vertAlign val="superscript"/>
        <sz val="12"/>
        <rFont val="Aptos"/>
        <family val="2"/>
      </rPr>
      <t>12</t>
    </r>
    <r>
      <rPr>
        <sz val="12"/>
        <rFont val="Aptos"/>
        <family val="2"/>
      </rPr>
      <t xml:space="preserve"> = 1 000 000 000 000</t>
    </r>
  </si>
  <si>
    <r>
      <t>Peso molecular de CO</t>
    </r>
    <r>
      <rPr>
        <vertAlign val="subscript"/>
        <sz val="12"/>
        <rFont val="Aptos"/>
        <family val="2"/>
      </rPr>
      <t>2</t>
    </r>
  </si>
  <si>
    <t>Os resultados relativos ao projeto em análise pode ser visualizado em "Resultados" (tabelas a verde) ou juntamente com as outras componentes do projeto em:</t>
  </si>
  <si>
    <t>Ano típico de funcionamento (ano médio)</t>
  </si>
  <si>
    <t>Emissões relativas</t>
  </si>
  <si>
    <t>Emissões de referência</t>
  </si>
  <si>
    <t>Emissões absolutas</t>
  </si>
  <si>
    <t>Emissões Absolutas              
Emissões de Referência                                                                                                                                                                                                                                                        Emissões Relativas                                                                                                                                                                                                                                                                   Custo-sombra das emissões relativas</t>
  </si>
  <si>
    <r>
      <t>Emissões Relativas</t>
    </r>
    <r>
      <rPr>
        <sz val="16"/>
        <color theme="1"/>
        <rFont val="Aptos"/>
        <family val="2"/>
      </rPr>
      <t xml:space="preserve"> (%)</t>
    </r>
  </si>
  <si>
    <r>
      <t>B</t>
    </r>
    <r>
      <rPr>
        <b/>
        <vertAlign val="subscript"/>
        <sz val="16"/>
        <color theme="1"/>
        <rFont val="Aptos"/>
        <family val="2"/>
      </rPr>
      <t>e</t>
    </r>
    <r>
      <rPr>
        <b/>
        <sz val="16"/>
        <color theme="1"/>
        <rFont val="Aptos"/>
        <family val="2"/>
      </rPr>
      <t xml:space="preserve">_emissões de referência                   </t>
    </r>
  </si>
  <si>
    <t>IC_todos os projeto</t>
  </si>
  <si>
    <t>Horizonte temporal do projeto (anos):</t>
  </si>
  <si>
    <t>IC5_Projetos de carregamento de veículos elétricos/ navios/embarcações de transporte de passageiros</t>
  </si>
  <si>
    <t>Total de Emissões de GEE</t>
  </si>
  <si>
    <t>Quadro D_Horizonte do Projeto (anos):</t>
  </si>
  <si>
    <t>Quadro C_ Ano típico de operação do projeto (n+2)</t>
  </si>
  <si>
    <t>tCO2e</t>
  </si>
  <si>
    <t>kg CO2e/v.km</t>
  </si>
  <si>
    <r>
      <t>A</t>
    </r>
    <r>
      <rPr>
        <b/>
        <vertAlign val="subscript"/>
        <sz val="16"/>
        <color theme="1"/>
        <rFont val="Aptos"/>
        <family val="2"/>
      </rPr>
      <t>b</t>
    </r>
    <r>
      <rPr>
        <b/>
        <sz val="16"/>
        <color theme="1"/>
        <rFont val="Aptos"/>
        <family val="2"/>
      </rPr>
      <t xml:space="preserve">_Emissões absolutas                     </t>
    </r>
  </si>
  <si>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</si>
  <si>
    <r>
      <t>A</t>
    </r>
    <r>
      <rPr>
        <b/>
        <vertAlign val="subscript"/>
        <sz val="16"/>
        <color theme="1"/>
        <rFont val="Aptos"/>
        <family val="2"/>
      </rPr>
      <t>b</t>
    </r>
    <r>
      <rPr>
        <b/>
        <sz val="16"/>
        <color theme="1"/>
        <rFont val="Aptos"/>
        <family val="2"/>
      </rPr>
      <t xml:space="preserve">_Emissões absolutas                         </t>
    </r>
    <r>
      <rPr>
        <sz val="16"/>
        <color theme="1"/>
        <rFont val="Aptos"/>
        <family val="2"/>
      </rPr>
      <t>(tCOe)</t>
    </r>
  </si>
  <si>
    <r>
      <t>B</t>
    </r>
    <r>
      <rPr>
        <b/>
        <vertAlign val="subscript"/>
        <sz val="16"/>
        <color theme="1"/>
        <rFont val="Aptos"/>
        <family val="2"/>
      </rPr>
      <t>e</t>
    </r>
    <r>
      <rPr>
        <b/>
        <sz val="16"/>
        <color theme="1"/>
        <rFont val="Aptos"/>
        <family val="2"/>
      </rPr>
      <t xml:space="preserve">_emissões de referência                   </t>
    </r>
    <r>
      <rPr>
        <sz val="16"/>
        <color theme="1"/>
        <rFont val="Aptos"/>
        <family val="2"/>
      </rPr>
      <t xml:space="preserve">(tCOe) </t>
    </r>
  </si>
  <si>
    <r>
      <t>A</t>
    </r>
    <r>
      <rPr>
        <b/>
        <vertAlign val="subscript"/>
        <sz val="16"/>
        <color theme="1"/>
        <rFont val="Aptos"/>
        <family val="2"/>
      </rPr>
      <t>b</t>
    </r>
    <r>
      <rPr>
        <b/>
        <sz val="16"/>
        <color theme="1"/>
        <rFont val="Aptos"/>
        <family val="2"/>
      </rPr>
      <t xml:space="preserve">_Emissões absolutas                         </t>
    </r>
    <r>
      <rPr>
        <sz val="16"/>
        <color theme="1"/>
        <rFont val="Aptos"/>
        <family val="2"/>
      </rPr>
      <t>(tCO2e)</t>
    </r>
  </si>
  <si>
    <r>
      <t>B</t>
    </r>
    <r>
      <rPr>
        <b/>
        <vertAlign val="subscript"/>
        <sz val="16"/>
        <color theme="1"/>
        <rFont val="Aptos"/>
        <family val="2"/>
      </rPr>
      <t>e</t>
    </r>
    <r>
      <rPr>
        <b/>
        <sz val="16"/>
        <color theme="1"/>
        <rFont val="Aptos"/>
        <family val="2"/>
      </rPr>
      <t xml:space="preserve">_emissões de referência                   </t>
    </r>
    <r>
      <rPr>
        <sz val="16"/>
        <color theme="1"/>
        <rFont val="Aptos"/>
        <family val="2"/>
      </rPr>
      <t xml:space="preserve">(tCO2e) </t>
    </r>
  </si>
  <si>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r>
      <rPr>
        <sz val="16"/>
        <color theme="1"/>
        <rFont val="Aptos"/>
        <family val="2"/>
      </rPr>
      <t xml:space="preserve">(tCO2e) </t>
    </r>
  </si>
  <si>
    <t>Quadro A: Resultados Globais (Pressuposto da Redução da Intensidade Carbónica + Pressuposto da Transferência Modal)</t>
  </si>
  <si>
    <t>Quadro B:  Pressuposto da Redução da Intensidade Carbónica</t>
  </si>
  <si>
    <r>
      <t>Emissões relativas                                        R</t>
    </r>
    <r>
      <rPr>
        <b/>
        <vertAlign val="subscript"/>
        <sz val="16"/>
        <color theme="1"/>
        <rFont val="Aptos"/>
        <family val="2"/>
      </rPr>
      <t>e</t>
    </r>
    <r>
      <rPr>
        <b/>
        <sz val="16"/>
        <color theme="1"/>
        <rFont val="Aptos"/>
        <family val="2"/>
      </rPr>
      <t>= (A</t>
    </r>
    <r>
      <rPr>
        <b/>
        <vertAlign val="subscript"/>
        <sz val="16"/>
        <color theme="1"/>
        <rFont val="Aptos"/>
        <family val="2"/>
      </rPr>
      <t xml:space="preserve">b </t>
    </r>
    <r>
      <rPr>
        <b/>
        <sz val="16"/>
        <color theme="1"/>
        <rFont val="Aptos"/>
        <family val="2"/>
      </rPr>
      <t>- B</t>
    </r>
    <r>
      <rPr>
        <b/>
        <vertAlign val="subscript"/>
        <sz val="16"/>
        <color theme="1"/>
        <rFont val="Aptos"/>
        <family val="2"/>
      </rPr>
      <t>e</t>
    </r>
    <r>
      <rPr>
        <b/>
        <sz val="16"/>
        <color theme="1"/>
        <rFont val="Aptos"/>
        <family val="2"/>
      </rPr>
      <t xml:space="preserve">)    </t>
    </r>
    <r>
      <rPr>
        <sz val="16"/>
        <color theme="1"/>
        <rFont val="Aptos"/>
        <family val="2"/>
      </rPr>
      <t xml:space="preserve">(tCOe) </t>
    </r>
  </si>
  <si>
    <t>Total de Emissões</t>
  </si>
  <si>
    <r>
      <rPr>
        <b/>
        <sz val="18"/>
        <rFont val="Aptos"/>
        <family val="2"/>
      </rPr>
      <t xml:space="preserve">Nota: </t>
    </r>
    <r>
      <rPr>
        <sz val="18"/>
        <rFont val="Aptos"/>
        <family val="2"/>
      </rPr>
      <t xml:space="preserve">Os resultados são apresentados sem as emissões de GEE da produção do transporte (sem ProdT) e com as emissões de GEE da produção do transporte (com ProdT). </t>
    </r>
  </si>
  <si>
    <t>1. Selecionar a opção disponibilizada no campo "Fator de Emissão a utilizar" relativa ao fator de emissão de GEE a utilizar para calcular as emissões de GEE:</t>
  </si>
  <si>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eletricidade (kWh/km) especifico do transporte e o número médio de passageiros por autocarro. Os fatores de emissão resultantes (campos a verde)  devem ser introduzidos na coluna "Valor" a azul do respectivo tipo de transporte.</t>
    </r>
  </si>
  <si>
    <r>
      <rPr>
        <b/>
        <sz val="14"/>
        <rFont val="Aptos"/>
        <family val="2"/>
      </rPr>
      <t xml:space="preserve">Nº total de  bicicletas/moticiclos/trotinetas </t>
    </r>
    <r>
      <rPr>
        <sz val="14"/>
        <rFont val="Aptos"/>
        <family val="2"/>
      </rPr>
      <t xml:space="preserve">previstas no projeto, num ano típico de funcionamento:                                      (A) </t>
    </r>
    <r>
      <rPr>
        <u/>
        <sz val="14"/>
        <rFont val="Aptos"/>
        <family val="2"/>
      </rPr>
      <t>Projetos de redes e vias</t>
    </r>
    <r>
      <rPr>
        <sz val="14"/>
        <rFont val="Aptos"/>
        <family val="2"/>
      </rPr>
      <t xml:space="preserve"> - Nº médio de novas bicicletas/motociclos/trotinetas em circulação na rede/via a construir/ ampliar/melhorar, num ano típico de funcionamento. Ex. 20 novas bicicletas elétricas (em circulação, em média, por dia na ciclovia a ampliar)* 365 = 7 300 bicicletas elétricas em circulação, num ano típico de funcionamento. </t>
    </r>
    <r>
      <rPr>
        <b/>
        <sz val="14"/>
        <color rgb="FF02A39C"/>
        <rFont val="Aptos"/>
        <family val="2"/>
      </rPr>
      <t>VALOR</t>
    </r>
    <r>
      <rPr>
        <sz val="14"/>
        <rFont val="Aptos"/>
        <family val="2"/>
      </rPr>
      <t xml:space="preserve">= 7 300                                                                                                                                                                                                                           (B) </t>
    </r>
    <r>
      <rPr>
        <u/>
        <sz val="14"/>
        <rFont val="Aptos"/>
        <family val="2"/>
      </rPr>
      <t>Projetos de aquisição de transporte</t>
    </r>
    <r>
      <rPr>
        <sz val="14"/>
        <rFont val="Aptos"/>
        <family val="2"/>
      </rPr>
      <t xml:space="preserve"> - Nº total de bicicletas a adquirir pelo projeto. Ex. Projeto prevê a aquisição de 30 bicicletas. </t>
    </r>
    <r>
      <rPr>
        <b/>
        <sz val="14"/>
        <color rgb="FF02A39C"/>
        <rFont val="Aptos"/>
        <family val="2"/>
      </rPr>
      <t>VALOR</t>
    </r>
    <r>
      <rPr>
        <sz val="14"/>
        <rFont val="Aptos"/>
        <family val="2"/>
      </rPr>
      <t>= 30</t>
    </r>
  </si>
  <si>
    <t xml:space="preserve">Assume-se que todos os utilizadores que utilizaram o transporte de micromobilidade do projeto foram provenientes de outros tipos de transporte (ex. automóvel, autocarro, metro, comboio urbano); também se considera o modo pedonal e a procura induzida. Neste sentido, os valores introduzidos para as transferências modais (TM) devem somar 100%.  </t>
  </si>
  <si>
    <r>
      <rPr>
        <b/>
        <sz val="14"/>
        <rFont val="Aptos"/>
        <family val="2"/>
      </rPr>
      <t>Nº total de km por bicicleta/moticiclo/trotineta</t>
    </r>
    <r>
      <rPr>
        <sz val="14"/>
        <rFont val="Aptos"/>
        <family val="2"/>
      </rPr>
      <t xml:space="preserve">, num ano típico de funcionamento:                                                                            (A) </t>
    </r>
    <r>
      <rPr>
        <u/>
        <sz val="14"/>
        <rFont val="Aptos"/>
        <family val="2"/>
      </rPr>
      <t>Projetos de redes e vias</t>
    </r>
    <r>
      <rPr>
        <sz val="14"/>
        <rFont val="Aptos"/>
        <family val="2"/>
      </rPr>
      <t xml:space="preserve"> - Nº de km de rede/ via a construir/ ampliar/ melhorar pelo projeto/ano. Ex. o projeto prevê a construção de 20 km de ciclovia. </t>
    </r>
    <r>
      <rPr>
        <b/>
        <sz val="14"/>
        <color rgb="FF02A39C"/>
        <rFont val="Aptos"/>
        <family val="2"/>
      </rPr>
      <t>VALOR</t>
    </r>
    <r>
      <rPr>
        <sz val="14"/>
        <rFont val="Aptos"/>
        <family val="2"/>
      </rPr>
      <t xml:space="preserve">= 20                                                                                                                                                                         (B) </t>
    </r>
    <r>
      <rPr>
        <u/>
        <sz val="14"/>
        <rFont val="Aptos"/>
        <family val="2"/>
      </rPr>
      <t xml:space="preserve">Projetos de aquisição de transporte </t>
    </r>
    <r>
      <rPr>
        <sz val="14"/>
        <rFont val="Aptos"/>
        <family val="2"/>
      </rPr>
      <t xml:space="preserve">- Nº de km percorridos por uma bicicleta elétrica partilhada adquirida (valor médio)/ano. Ex. 90 km (km por bicicleta, em média, por dia)* 6 meses (tempo médio de vida da bicicleta) * 30 (dias num mês) = 16 200 km por bicicleta. </t>
    </r>
    <r>
      <rPr>
        <b/>
        <sz val="14"/>
        <color rgb="FF02A39C"/>
        <rFont val="Aptos"/>
        <family val="2"/>
      </rPr>
      <t>VALOR</t>
    </r>
    <r>
      <rPr>
        <sz val="14"/>
        <rFont val="Aptos"/>
        <family val="2"/>
      </rPr>
      <t xml:space="preserve">= 16 200 </t>
    </r>
  </si>
  <si>
    <t>Consumo anual de electricidade, num ano típico de funcionamento</t>
  </si>
  <si>
    <t xml:space="preserve">Passo I- Transferências Modais </t>
  </si>
  <si>
    <r>
      <rPr>
        <b/>
        <sz val="14"/>
        <rFont val="Aptos"/>
        <family val="2"/>
      </rPr>
      <t>II- % de captação (TM) em Lisboa (padrão)</t>
    </r>
    <r>
      <rPr>
        <sz val="14"/>
        <rFont val="Aptos"/>
        <family val="2"/>
      </rPr>
      <t xml:space="preserve">                                                                                                                                                              Caso a </t>
    </r>
    <r>
      <rPr>
        <b/>
        <sz val="14"/>
        <rFont val="Aptos"/>
        <family val="2"/>
      </rPr>
      <t xml:space="preserve">"Opção I" </t>
    </r>
    <r>
      <rPr>
        <sz val="14"/>
        <rFont val="Aptos"/>
        <family val="2"/>
      </rPr>
      <t xml:space="preserve">tenha sido selecionada, preencher as tabelas de </t>
    </r>
    <r>
      <rPr>
        <b/>
        <sz val="14"/>
        <rFont val="Aptos"/>
        <family val="2"/>
      </rPr>
      <t xml:space="preserve">2.2 Opção I - Definição das percentagens das Transferências Modais (TM).                                                                                    </t>
    </r>
    <r>
      <rPr>
        <sz val="14"/>
        <rFont val="Aptos"/>
        <family val="2"/>
      </rPr>
      <t xml:space="preserve">                                                                                                  Caso a </t>
    </r>
    <r>
      <rPr>
        <b/>
        <sz val="14"/>
        <rFont val="Aptos"/>
        <family val="2"/>
      </rPr>
      <t>"Opção II"</t>
    </r>
    <r>
      <rPr>
        <sz val="14"/>
        <rFont val="Aptos"/>
        <family val="2"/>
      </rPr>
      <t xml:space="preserve"> tenha sido selecionada, seguir para o ponto </t>
    </r>
    <r>
      <rPr>
        <b/>
        <sz val="14"/>
        <rFont val="Aptos"/>
        <family val="2"/>
      </rPr>
      <t>3. Resultados</t>
    </r>
    <r>
      <rPr>
        <sz val="14"/>
        <rFont val="Aptos"/>
        <family val="2"/>
      </rPr>
      <t xml:space="preserve">.      
</t>
    </r>
  </si>
  <si>
    <r>
      <rPr>
        <b/>
        <sz val="14"/>
        <rFont val="Aptos"/>
        <family val="2"/>
      </rPr>
      <t>Nota 1</t>
    </r>
    <r>
      <rPr>
        <sz val="14"/>
        <rFont val="Aptos"/>
        <family val="2"/>
      </rPr>
      <t xml:space="preserve">: Caso a </t>
    </r>
    <r>
      <rPr>
        <b/>
        <sz val="14"/>
        <rFont val="Aptos"/>
        <family val="2"/>
      </rPr>
      <t xml:space="preserve">opção I- Fator de emissão de GEE do utilizador </t>
    </r>
    <r>
      <rPr>
        <sz val="14"/>
        <rFont val="Aptos"/>
        <family val="2"/>
      </rPr>
      <t xml:space="preserve">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preenchidos, quando aplicável</t>
    </r>
    <r>
      <rPr>
        <sz val="14"/>
        <rFont val="Aptos"/>
        <family val="2"/>
      </rPr>
      <t>.</t>
    </r>
  </si>
  <si>
    <r>
      <rPr>
        <b/>
        <sz val="14"/>
        <rFont val="Aptos"/>
        <family val="2"/>
      </rPr>
      <t>Nota 1</t>
    </r>
    <r>
      <rPr>
        <sz val="14"/>
        <rFont val="Aptos"/>
        <family val="2"/>
      </rPr>
      <t xml:space="preserve">: Caso a </t>
    </r>
    <r>
      <rPr>
        <b/>
        <sz val="14"/>
        <rFont val="Aptos"/>
        <family val="2"/>
      </rPr>
      <t>opção I- Fator de emissão de GEE  do utilizador</t>
    </r>
    <r>
      <rPr>
        <sz val="14"/>
        <rFont val="Aptos"/>
        <family val="2"/>
      </rPr>
      <t xml:space="preserve"> tenha sido selecionada, os campos "Valor" e "Fonte e ano de referência do fator de emissão de GEE" a </t>
    </r>
    <r>
      <rPr>
        <b/>
        <sz val="14"/>
        <color rgb="FF02A39C"/>
        <rFont val="Aptos"/>
        <family val="2"/>
      </rPr>
      <t>AZUL</t>
    </r>
    <r>
      <rPr>
        <sz val="14"/>
        <rFont val="Aptos"/>
        <family val="2"/>
      </rPr>
      <t xml:space="preserve"> </t>
    </r>
    <r>
      <rPr>
        <b/>
        <sz val="14"/>
        <rFont val="Aptos"/>
        <family val="2"/>
      </rPr>
      <t>devem ser preenchidos, quando aplicável</t>
    </r>
    <r>
      <rPr>
        <sz val="14"/>
        <rFont val="Aptos"/>
        <family val="2"/>
      </rPr>
      <t>.</t>
    </r>
  </si>
  <si>
    <r>
      <rPr>
        <b/>
        <sz val="14"/>
        <rFont val="Aptos"/>
        <family val="2"/>
      </rPr>
      <t>Nota 3:</t>
    </r>
    <r>
      <rPr>
        <sz val="14"/>
        <rFont val="Aptos"/>
        <family val="2"/>
      </rPr>
      <t xml:space="preserve"> Os fatores de emissão padrão foram estimados considerando as taxas de ocupação do transporte rodoviário de passageiros urbano + suburbano + interurbano para Portugal (INE, 2023). Para utilizar os fatores de emissão estimados com as taxas de ocupação da Carris (Lisboa) e da STCP (Porto) consultar o separador:</t>
    </r>
  </si>
  <si>
    <r>
      <t xml:space="preserve">A GEE_mobilidade disponibiliza uma calculadora (calculadora A) para estimar os fatores de emissão do transporte elétrico no separador "Cálculos adicionais_utilizador" (aceder através do </t>
    </r>
    <r>
      <rPr>
        <b/>
        <sz val="11"/>
        <color theme="1"/>
        <rFont val="Calibri"/>
        <family val="2"/>
        <scheme val="minor"/>
      </rPr>
      <t>"Índice"</t>
    </r>
    <r>
      <rPr>
        <sz val="11"/>
        <color theme="1"/>
        <rFont val="Calibri"/>
        <family val="2"/>
        <scheme val="minor"/>
      </rPr>
      <t xml:space="preserv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t>
    </r>
  </si>
  <si>
    <r>
      <rPr>
        <b/>
        <sz val="14"/>
        <rFont val="Aptos"/>
        <family val="2"/>
      </rPr>
      <t>Nº médio de novos passageiros gerados pelo projeto</t>
    </r>
    <r>
      <rPr>
        <sz val="14"/>
        <rFont val="Aptos"/>
        <family val="2"/>
      </rPr>
      <t>, num ano típico de funcionamento</t>
    </r>
  </si>
  <si>
    <r>
      <t xml:space="preserve">1.  Introduzir nas colunas </t>
    </r>
    <r>
      <rPr>
        <b/>
        <sz val="14"/>
        <color rgb="FF028882"/>
        <rFont val="Aptos"/>
        <family val="2"/>
      </rPr>
      <t>VALOR</t>
    </r>
    <r>
      <rPr>
        <sz val="14"/>
        <rFont val="Aptos"/>
        <family val="2"/>
      </rPr>
      <t xml:space="preserve"> abaixo a </t>
    </r>
    <r>
      <rPr>
        <b/>
        <sz val="14"/>
        <rFont val="Aptos"/>
        <family val="2"/>
      </rPr>
      <t>AZUL</t>
    </r>
    <r>
      <rPr>
        <sz val="14"/>
        <rFont val="Aptos"/>
        <family val="2"/>
      </rPr>
      <t xml:space="preserve"> os valores médios, quando aplicável:                                                                                                                                                                          </t>
    </r>
    <r>
      <rPr>
        <b/>
        <sz val="14"/>
        <rFont val="Aptos"/>
        <family val="2"/>
      </rPr>
      <t>Outros consumos de eletricidade</t>
    </r>
    <r>
      <rPr>
        <sz val="14"/>
        <rFont val="Aptos"/>
        <family val="2"/>
      </rPr>
      <t xml:space="preserve"> - Consumo anual de eletricidade num ano típico de funcionamento (i.e. ano típico= n+2 em que "n" é o ano de ínicio de operação do projeto)                                                                                                                                                              </t>
    </r>
  </si>
  <si>
    <t>Distância média das deslocações em autocarro:</t>
  </si>
  <si>
    <t xml:space="preserve">Assume-se que todos os novos passageiros gerados pelo projeto são provenientes de outros tipos de transporte (ex. automóvel, metro, comboio urbano); também se considera o modo pedonal e a procura induzida. Neste sentido, os valores introduzidos para as transferências modais (TM) devem somar 100%.  </t>
  </si>
  <si>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minibus elétrico</t>
    </r>
    <r>
      <rPr>
        <sz val="14"/>
        <color theme="1"/>
        <rFont val="Aptos"/>
        <family val="2"/>
      </rPr>
      <t>?</t>
    </r>
  </si>
  <si>
    <r>
      <t xml:space="preserve">1.  Introduzir nas colunas </t>
    </r>
    <r>
      <rPr>
        <b/>
        <sz val="14"/>
        <color rgb="FF028882"/>
        <rFont val="Aptos"/>
        <family val="2"/>
      </rPr>
      <t>VALOR</t>
    </r>
    <r>
      <rPr>
        <sz val="14"/>
        <rFont val="Aptos"/>
        <family val="2"/>
      </rPr>
      <t xml:space="preserve"> abaixo a </t>
    </r>
    <r>
      <rPr>
        <b/>
        <sz val="14"/>
        <color rgb="FF028882"/>
        <rFont val="Aptos"/>
        <family val="2"/>
      </rPr>
      <t>AZUL</t>
    </r>
    <r>
      <rPr>
        <sz val="14"/>
        <rFont val="Aptos"/>
        <family val="2"/>
      </rPr>
      <t xml:space="preserve"> os valores médios, quando aplicável:                                                                                                                                                                                                                                                 </t>
    </r>
    <r>
      <rPr>
        <b/>
        <sz val="14"/>
        <rFont val="Aptos"/>
        <family val="2"/>
      </rPr>
      <t xml:space="preserve"> </t>
    </r>
    <r>
      <rPr>
        <sz val="14"/>
        <rFont val="Aptos"/>
        <family val="2"/>
      </rPr>
      <t xml:space="preserve"> </t>
    </r>
  </si>
  <si>
    <t xml:space="preserve">Assume-se que todos os novos passageiros gerados pelo projeto são provenientes de outros tipos de transporte (ex. automóvel, autocarro, metro, comboio urbano); modo pedonal, procura induzida); também se considera o modo pedonal e a procura induzida. Neste sentido, os valores introduzidos para as transferências modais (TM) devem somar 100%.  </t>
  </si>
  <si>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 xml:space="preserve"> metro (subterrâneo)</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</si>
  <si>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t>
    </r>
    <r>
      <rPr>
        <b/>
        <sz val="14"/>
        <color theme="1"/>
        <rFont val="Aptos"/>
        <family val="2"/>
      </rPr>
      <t xml:space="preserve"> metro (superficie)</t>
    </r>
    <r>
      <rPr>
        <sz val="14"/>
        <color theme="1"/>
        <rFont val="Aptos"/>
        <family val="2"/>
      </rPr>
      <t>?</t>
    </r>
  </si>
  <si>
    <r>
      <t xml:space="preserve">Qual a TM expectável do </t>
    </r>
    <r>
      <rPr>
        <b/>
        <sz val="14"/>
        <color theme="1"/>
        <rFont val="Aptos"/>
        <family val="2"/>
      </rPr>
      <t>elétrico</t>
    </r>
    <r>
      <rPr>
        <sz val="14"/>
        <color theme="1"/>
        <rFont val="Aptos"/>
        <family val="2"/>
      </rPr>
      <t xml:space="preserve"> para </t>
    </r>
    <r>
      <rPr>
        <b/>
        <sz val="14"/>
        <color theme="1"/>
        <rFont val="Aptos"/>
        <family val="2"/>
      </rPr>
      <t xml:space="preserve"> metro (superficie)</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</si>
  <si>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t>
    </r>
    <r>
      <rPr>
        <b/>
        <sz val="14"/>
        <color theme="1"/>
        <rFont val="Aptos"/>
        <family val="2"/>
      </rPr>
      <t xml:space="preserve"> metro (superficie+ subterrâneo)</t>
    </r>
    <r>
      <rPr>
        <sz val="14"/>
        <color theme="1"/>
        <rFont val="Aptos"/>
        <family val="2"/>
      </rPr>
      <t>?</t>
    </r>
  </si>
  <si>
    <r>
      <t xml:space="preserve">Qual a TM expectável do </t>
    </r>
    <r>
      <rPr>
        <b/>
        <sz val="14"/>
        <color theme="1"/>
        <rFont val="Aptos"/>
        <family val="2"/>
      </rPr>
      <t>comboio</t>
    </r>
    <r>
      <rPr>
        <sz val="14"/>
        <color theme="1"/>
        <rFont val="Aptos"/>
        <family val="2"/>
      </rPr>
      <t xml:space="preserve"> </t>
    </r>
    <r>
      <rPr>
        <b/>
        <sz val="14"/>
        <color theme="1"/>
        <rFont val="Aptos"/>
        <family val="2"/>
      </rPr>
      <t>urbano</t>
    </r>
    <r>
      <rPr>
        <sz val="14"/>
        <color theme="1"/>
        <rFont val="Aptos"/>
        <family val="2"/>
      </rPr>
      <t xml:space="preserve"> para o </t>
    </r>
    <r>
      <rPr>
        <b/>
        <sz val="14"/>
        <color theme="1"/>
        <rFont val="Aptos"/>
        <family val="2"/>
      </rPr>
      <t>outro material circulante</t>
    </r>
    <r>
      <rPr>
        <sz val="14"/>
        <color theme="1"/>
        <rFont val="Aptos"/>
        <family val="2"/>
      </rPr>
      <t>?</t>
    </r>
  </si>
  <si>
    <r>
      <rPr>
        <b/>
        <sz val="14"/>
        <rFont val="Aptos"/>
        <family val="2"/>
      </rPr>
      <t>Pressuposto Transferência Modal (TM):</t>
    </r>
    <r>
      <rPr>
        <sz val="14"/>
        <rFont val="Aptos"/>
        <family val="2"/>
      </rPr>
      <t xml:space="preserve"> Implica a transição de um tipo de transporte para outro para efeitos de deslocação. Aplica-se a projetos de redes e vias, substituição/ renovação/ aquisição de novos veículos (micromobilidade), frota de autocarros/ embarcações e material circulante (comboios) e criação de parques de estacionamento junto a interfaces modais.</t>
    </r>
  </si>
  <si>
    <t xml:space="preserve">Assume-se que todos os novos passageiros gerados pelo projeto são provenientes de outros tipos de transporte (ex. automóvel, autocarro, comboio); considera-se também a procura induzida. Neste sentido, os valores introduzidos para as transferências modais (TM) devem somar 100%.  </t>
  </si>
  <si>
    <r>
      <rPr>
        <b/>
        <sz val="14"/>
        <rFont val="Aptos"/>
        <family val="2"/>
      </rPr>
      <t>Nº total de Quilómetros evitados, por transferência modal</t>
    </r>
    <r>
      <rPr>
        <sz val="14"/>
        <rFont val="Aptos"/>
        <family val="2"/>
      </rPr>
      <t xml:space="preserve">, num ano típico de funcionamento.          </t>
    </r>
  </si>
  <si>
    <r>
      <rPr>
        <b/>
        <sz val="14"/>
        <rFont val="Aptos"/>
        <family val="2"/>
      </rPr>
      <t>Nota 1:</t>
    </r>
    <r>
      <rPr>
        <sz val="14"/>
        <rFont val="Aptos"/>
        <family val="2"/>
      </rPr>
      <t xml:space="preserve"> a % tipologia automóvel (padrão) inclui apenas os automóveis a gasóleo, gasolina, elétricos a bateria (iões de lítio), híbridos (Plug In) e híbridos (motor desconhecido). As % tipologia automóvel (padrão) foram estimadas de acordo com os dados do INE 2023- Estatísticas do transporte.</t>
    </r>
  </si>
  <si>
    <t>D. Tipologia de veículos a utilizar o parque de estacionamento</t>
  </si>
  <si>
    <t>Passo II- Selecionar a % tipologia automóvel a utilizar o parque de estacionamento</t>
  </si>
  <si>
    <t xml:space="preserve">Assume-se que todos os utilizadores, com potencial de transferência modal, utilizaram  de transporte de micromobilidade gerados pelo projeto foram provenientes de outros tipos de transporte (ex. automóvel, autocarro, metro, comboio urbano); também é considerado o modo pedonal e a procura induzida. Neste sentido, os valores introduzidos para as transferências modais (TM) devem somar 100%.  </t>
  </si>
  <si>
    <t xml:space="preserve"> Total  Absolutas sem ProdT</t>
  </si>
  <si>
    <t>Emissões absolutas(ProdT)</t>
  </si>
  <si>
    <t>Emissões absolutas totais (Com ProdT)</t>
  </si>
  <si>
    <r>
      <t xml:space="preserve">1. </t>
    </r>
    <r>
      <rPr>
        <b/>
        <sz val="14"/>
        <rFont val="Aptos"/>
        <family val="2"/>
      </rPr>
      <t>Emissões absolutas (A</t>
    </r>
    <r>
      <rPr>
        <b/>
        <vertAlign val="subscript"/>
        <sz val="14"/>
        <rFont val="Aptos"/>
        <family val="2"/>
      </rPr>
      <t>b</t>
    </r>
    <r>
      <rPr>
        <b/>
        <sz val="14"/>
        <rFont val="Aptos"/>
        <family val="2"/>
      </rPr>
      <t>)</t>
    </r>
    <r>
      <rPr>
        <sz val="14"/>
        <rFont val="Aptos"/>
        <family val="2"/>
      </rPr>
      <t xml:space="preserve">, num ano típico de funcionamento (valor médio) e no horizonte temporal do projeto. São apresentadas as emissões absolutas totais e por tipo de transporte em tonelada de CO2e/ano. </t>
    </r>
    <r>
      <rPr>
        <b/>
        <sz val="14"/>
        <rFont val="Aptos"/>
        <family val="2"/>
      </rPr>
      <t xml:space="preserve">Nota: </t>
    </r>
    <r>
      <rPr>
        <sz val="14"/>
        <rFont val="Aptos"/>
        <family val="2"/>
      </rPr>
      <t>As emissões absolutas referem-se apenas às geradas pelo projeto.</t>
    </r>
  </si>
  <si>
    <r>
      <t xml:space="preserve">2. </t>
    </r>
    <r>
      <rPr>
        <b/>
        <sz val="14"/>
        <rFont val="Aptos"/>
        <family val="2"/>
      </rPr>
      <t>Emissões de referência (B</t>
    </r>
    <r>
      <rPr>
        <b/>
        <vertAlign val="subscript"/>
        <sz val="14"/>
        <rFont val="Aptos"/>
        <family val="2"/>
      </rPr>
      <t>e</t>
    </r>
    <r>
      <rPr>
        <b/>
        <sz val="14"/>
        <rFont val="Aptos"/>
        <family val="2"/>
      </rPr>
      <t>)</t>
    </r>
    <r>
      <rPr>
        <sz val="14"/>
        <rFont val="Aptos"/>
        <family val="2"/>
      </rPr>
      <t>, i.e. emissões de GEE num cenário provável na ausência do projeto, num ano típico de funcionamento (valor médio) e no horizonte temporal do projeto. São apresentadas as emissões de referência totais e por tipo de transporte em tonelada de CO2e/ano.</t>
    </r>
  </si>
  <si>
    <r>
      <t xml:space="preserve">3. </t>
    </r>
    <r>
      <rPr>
        <b/>
        <sz val="14"/>
        <rFont val="Aptos"/>
        <family val="2"/>
      </rPr>
      <t>Emissões relativas (R</t>
    </r>
    <r>
      <rPr>
        <b/>
        <vertAlign val="subscript"/>
        <sz val="14"/>
        <rFont val="Aptos"/>
        <family val="2"/>
      </rPr>
      <t>e</t>
    </r>
    <r>
      <rPr>
        <b/>
        <sz val="14"/>
        <rFont val="Aptos"/>
        <family val="2"/>
      </rPr>
      <t>)</t>
    </r>
    <r>
      <rPr>
        <sz val="14"/>
        <rFont val="Aptos"/>
        <family val="2"/>
      </rPr>
      <t xml:space="preserve"> de um projecto de mobilidade, num ano típico de funcionamento (valor médio) e no horizonte temporal do projeto, relativamente a um cenário de referência (cenário provável na ausência do projeto). São apresentadas as emissões relativas totais e por tipo de transporte em tonelada de CO2e/ano (tCO2e/ano). Equação utilizada para o cálculo das emissões relativas: R</t>
    </r>
    <r>
      <rPr>
        <vertAlign val="subscript"/>
        <sz val="14"/>
        <rFont val="Aptos"/>
        <family val="2"/>
      </rPr>
      <t>e</t>
    </r>
    <r>
      <rPr>
        <sz val="14"/>
        <rFont val="Aptos"/>
        <family val="2"/>
      </rPr>
      <t>= A</t>
    </r>
    <r>
      <rPr>
        <vertAlign val="subscript"/>
        <sz val="14"/>
        <rFont val="Aptos"/>
        <family val="2"/>
      </rPr>
      <t>b</t>
    </r>
    <r>
      <rPr>
        <sz val="14"/>
        <rFont val="Aptos"/>
        <family val="2"/>
      </rPr>
      <t>- B</t>
    </r>
    <r>
      <rPr>
        <vertAlign val="subscript"/>
        <sz val="14"/>
        <rFont val="Aptos"/>
        <family val="2"/>
      </rPr>
      <t>e</t>
    </r>
  </si>
  <si>
    <r>
      <t xml:space="preserve">4. </t>
    </r>
    <r>
      <rPr>
        <b/>
        <sz val="14"/>
        <rFont val="Aptos"/>
        <family val="2"/>
      </rPr>
      <t>Emissões evitadas (EV)</t>
    </r>
    <r>
      <rPr>
        <sz val="14"/>
        <rFont val="Aptos"/>
        <family val="2"/>
      </rPr>
      <t xml:space="preserve"> de um projecto de mobilidade, num ano típico de funcionamento e no horizonte temporal do projeto, relativamente a um cenário de referência (cenário provável na ausência do projeto). São apresentadas as emissões evitadas totais em tonelada de CO2e/ano (tCO2e/ano). Equação para o cálculo das emissões evitadas: - R</t>
    </r>
    <r>
      <rPr>
        <vertAlign val="subscript"/>
        <sz val="14"/>
        <rFont val="Aptos"/>
        <family val="2"/>
      </rPr>
      <t>e</t>
    </r>
    <r>
      <rPr>
        <sz val="14"/>
        <rFont val="Aptos"/>
        <family val="2"/>
      </rPr>
      <t>=B</t>
    </r>
    <r>
      <rPr>
        <vertAlign val="subscript"/>
        <sz val="14"/>
        <rFont val="Aptos"/>
        <family val="2"/>
      </rPr>
      <t>e</t>
    </r>
    <r>
      <rPr>
        <sz val="14"/>
        <rFont val="Aptos"/>
        <family val="2"/>
      </rPr>
      <t>-  A</t>
    </r>
    <r>
      <rPr>
        <vertAlign val="subscript"/>
        <sz val="14"/>
        <rFont val="Aptos"/>
        <family val="2"/>
      </rPr>
      <t>b</t>
    </r>
  </si>
  <si>
    <r>
      <t>2. A calculadora permite obter resultados das principais emissões de GEE (A</t>
    </r>
    <r>
      <rPr>
        <vertAlign val="subscript"/>
        <sz val="14"/>
        <rFont val="Aptos"/>
        <family val="2"/>
      </rPr>
      <t>b</t>
    </r>
    <r>
      <rPr>
        <sz val="14"/>
        <rFont val="Aptos"/>
        <family val="2"/>
      </rPr>
      <t>, B</t>
    </r>
    <r>
      <rPr>
        <vertAlign val="subscript"/>
        <sz val="14"/>
        <rFont val="Aptos"/>
        <family val="2"/>
      </rPr>
      <t>e</t>
    </r>
    <r>
      <rPr>
        <sz val="14"/>
        <rFont val="Aptos"/>
        <family val="2"/>
      </rPr>
      <t xml:space="preserve"> e R</t>
    </r>
    <r>
      <rPr>
        <vertAlign val="subscript"/>
        <sz val="14"/>
        <rFont val="Aptos"/>
        <family val="2"/>
      </rPr>
      <t>e</t>
    </r>
    <r>
      <rPr>
        <sz val="14"/>
        <rFont val="Aptos"/>
        <family val="2"/>
      </rPr>
      <t>) COM e SEM as emissões de GEE da produção do transporte</t>
    </r>
    <r>
      <rPr>
        <b/>
        <sz val="14"/>
        <rFont val="Aptos"/>
        <family val="2"/>
      </rPr>
      <t xml:space="preserve"> (ProdT).                           </t>
    </r>
    <r>
      <rPr>
        <sz val="14"/>
        <rFont val="Aptos"/>
        <family val="2"/>
      </rPr>
      <t>Ex.</t>
    </r>
    <r>
      <rPr>
        <b/>
        <sz val="14"/>
        <rFont val="Aptos"/>
        <family val="2"/>
      </rPr>
      <t xml:space="preserve"> </t>
    </r>
    <r>
      <rPr>
        <sz val="14"/>
        <rFont val="Aptos"/>
        <family val="2"/>
      </rPr>
      <t xml:space="preserve">emissões da produção das bicicletas, trotinetas, autocarros, comboios e embarcações. </t>
    </r>
  </si>
  <si>
    <t>Projetos de micromobilidade</t>
  </si>
  <si>
    <r>
      <t xml:space="preserve">3. Projetos de </t>
    </r>
    <r>
      <rPr>
        <b/>
        <sz val="14"/>
        <rFont val="Aptos"/>
        <family val="2"/>
      </rPr>
      <t>criação ou ampliação de redes e vias</t>
    </r>
    <r>
      <rPr>
        <sz val="14"/>
        <rFont val="Aptos"/>
        <family val="2"/>
      </rPr>
      <t xml:space="preserve"> associadas à micromobilidade (ex. criação de ciclovias, vias ciclopedonais). </t>
    </r>
    <r>
      <rPr>
        <b/>
        <sz val="14"/>
        <rFont val="Aptos"/>
        <family val="2"/>
      </rPr>
      <t xml:space="preserve">Exemplo: </t>
    </r>
    <r>
      <rPr>
        <sz val="14"/>
        <rFont val="Aptos"/>
        <family val="2"/>
      </rPr>
      <t xml:space="preserve"> Criação de uma nova ciclovia em que se prevê a circulação de: a) 100 bicicletas não elétricas, em que cada bicicleta percorre 50 quilómetros por ano; b) 150 bicicletas elétricas, em que cada bicicleta percorre 1000 quilómetros por ano; c) 50 trotinetas elétricas, em que cada trotineta percorre 70 quilómetros, num ano típico de funcionamento. 
</t>
    </r>
  </si>
  <si>
    <r>
      <t xml:space="preserve">3. Projetos de </t>
    </r>
    <r>
      <rPr>
        <b/>
        <sz val="14"/>
        <rFont val="Aptos"/>
        <family val="2"/>
      </rPr>
      <t>criação ou ampliação de redes e vias</t>
    </r>
    <r>
      <rPr>
        <sz val="14"/>
        <rFont val="Aptos"/>
        <family val="2"/>
      </rPr>
      <t xml:space="preserve"> associadas ao transporte rodoviário de passageiros. </t>
    </r>
    <r>
      <rPr>
        <b/>
        <sz val="14"/>
        <rFont val="Aptos"/>
        <family val="2"/>
      </rPr>
      <t xml:space="preserve">Exemplo: </t>
    </r>
    <r>
      <rPr>
        <sz val="14"/>
        <rFont val="Aptos"/>
        <family val="2"/>
      </rPr>
      <t xml:space="preserve"> Criação de uma nova via dedicada ao transporte rodoviário de passageiros, prevendo-se a circulação de um total de 10 novos autocarros articulados, em que cada autocarro percorre um total de 30000 quilómetros, num ano típico de funcionamento.  </t>
    </r>
  </si>
  <si>
    <r>
      <t xml:space="preserve">1. Projetos que podem incluir vários tipos de transportes eléctricos ou com baixas emissões, tais como veículos elétricos, motociclos, autocarros urbanos elétricos, bicicletas e trotinetas elétricas. </t>
    </r>
    <r>
      <rPr>
        <b/>
        <sz val="14"/>
        <rFont val="Aptos"/>
        <family val="2"/>
      </rPr>
      <t>Exemplo:</t>
    </r>
    <r>
      <rPr>
        <sz val="14"/>
        <rFont val="Aptos"/>
        <family val="2"/>
      </rPr>
      <t xml:space="preserve"> Criação de uma zona de baixas emissões com permissão de circulação de transporte público elétrico ou com baixas emissões, bicicletas e motociclos elétricos.</t>
    </r>
  </si>
  <si>
    <t>1. Metodologia do Banco Europeu de Investimento para o cálculo da Pegada de Carbono de projetos: EIB Project Carbon Footprint Methodologies, version 11.3, January 2023</t>
  </si>
  <si>
    <t>2. Proposta do Banco Europeu de Investimento para o custo-sombra do carbono: EIB Group Climate Bank Roadmap 2021-2025, November 2020. pg. 121.</t>
  </si>
  <si>
    <t>1. Os fatores de emissão padrão do transporte a combustão (ex. autocarros, comboios, navios/embarcações) foram estimados considerando os fatores de emissão referenciados em bibliografia relacionada com mobilidade ou com os tipos de transporte considerados. As fontes utilizadas e os pressupostos utilizados para estimar os fatores de emissão podem ser consultados no separador "Fatores de Emissão". Foram ainda considerados os fatores de emissão mencionados no Inventário de Emissões de GEE da Agência Portuguesa do Ambiente.</t>
  </si>
  <si>
    <t xml:space="preserve">1. Os fatores de emissão padrão da produção do transporte (ex. bicicletas, trotinetas, autocarros, comboios, navios/embarcações) foram estimados considerando os fatores de emissão referenciados em bibliografia relacionada com mobilidade ou com os tipos de transporte considerados. As fontes utilizadas e os pressupostos utilizados para estimar os fatores de emissão podem ser consultados no separador "Fatores de Emissão". </t>
  </si>
  <si>
    <r>
      <t xml:space="preserve">A. Projeto de criação de redes e vias. Exemplo: </t>
    </r>
    <r>
      <rPr>
        <sz val="14"/>
        <rFont val="Aptos"/>
        <family val="2"/>
      </rPr>
      <t>Criação de uma nova ciclovia.</t>
    </r>
  </si>
  <si>
    <r>
      <t xml:space="preserve">B. Projeto de melhoria/ampliação de redes e vias. Exemplo: </t>
    </r>
    <r>
      <rPr>
        <sz val="14"/>
        <rFont val="Aptos"/>
        <family val="2"/>
      </rPr>
      <t>Duplicação de via ferroviária.</t>
    </r>
    <r>
      <rPr>
        <b/>
        <sz val="14"/>
        <rFont val="Aptos"/>
        <family val="2"/>
      </rPr>
      <t xml:space="preserve"> </t>
    </r>
  </si>
  <si>
    <t>3. Preencher as tabelas dos separadores identificados na Triagem (procedimento comum a todos os separadores da calculadora):</t>
  </si>
  <si>
    <r>
      <rPr>
        <b/>
        <sz val="14"/>
        <rFont val="Aptos"/>
        <family val="2"/>
      </rPr>
      <t xml:space="preserve">- Tipo de Projeto. </t>
    </r>
    <r>
      <rPr>
        <sz val="14"/>
        <rFont val="Aptos"/>
        <family val="2"/>
      </rPr>
      <t xml:space="preserve">Selecionar o tipo de projeto considerando as opções disponibilizadas:  </t>
    </r>
  </si>
  <si>
    <r>
      <t>2. Caso o</t>
    </r>
    <r>
      <rPr>
        <b/>
        <sz val="14"/>
        <rFont val="Aptos"/>
        <family val="2"/>
      </rPr>
      <t xml:space="preserve"> fator de emissão da eletricidade não tenha sido preenchido pelo utilizador </t>
    </r>
    <r>
      <rPr>
        <sz val="14"/>
        <rFont val="Aptos"/>
        <family val="2"/>
      </rPr>
      <t xml:space="preserve">aparecerá um aviso a amarelo: </t>
    </r>
    <r>
      <rPr>
        <b/>
        <sz val="14"/>
        <rFont val="Aptos"/>
        <family val="2"/>
      </rPr>
      <t xml:space="preserve"> </t>
    </r>
    <r>
      <rPr>
        <b/>
        <sz val="14"/>
        <color rgb="FFE2AC00"/>
        <rFont val="Aptos"/>
        <family val="2"/>
      </rPr>
      <t>"!Preencher Fator de Emissão de eletricidade"</t>
    </r>
    <r>
      <rPr>
        <sz val="14"/>
        <rFont val="Aptos"/>
        <family val="2"/>
      </rPr>
      <t xml:space="preserve">. Os </t>
    </r>
    <r>
      <rPr>
        <b/>
        <sz val="14"/>
        <rFont val="Aptos"/>
        <family val="2"/>
      </rPr>
      <t>resultados do cálculo das emissões não são realizados sem o preenchimento obrigatório deste fator de emissão</t>
    </r>
    <r>
      <rPr>
        <sz val="14"/>
        <rFont val="Aptos"/>
        <family val="2"/>
      </rPr>
      <t>.</t>
    </r>
  </si>
  <si>
    <r>
      <t>3. É apresentado um gráfico com as emissões relativas (R</t>
    </r>
    <r>
      <rPr>
        <vertAlign val="subscript"/>
        <sz val="14"/>
        <rFont val="Aptos"/>
        <family val="2"/>
      </rPr>
      <t>e</t>
    </r>
    <r>
      <rPr>
        <sz val="14"/>
        <rFont val="Aptos"/>
        <family val="2"/>
      </rPr>
      <t>), emissões absolutas (A</t>
    </r>
    <r>
      <rPr>
        <vertAlign val="subscript"/>
        <sz val="14"/>
        <rFont val="Aptos"/>
        <family val="2"/>
      </rPr>
      <t>b</t>
    </r>
    <r>
      <rPr>
        <sz val="14"/>
        <rFont val="Aptos"/>
        <family val="2"/>
      </rPr>
      <t>) e emissões de referência (B</t>
    </r>
    <r>
      <rPr>
        <vertAlign val="subscript"/>
        <sz val="14"/>
        <rFont val="Aptos"/>
        <family val="2"/>
      </rPr>
      <t>e</t>
    </r>
    <r>
      <rPr>
        <sz val="14"/>
        <rFont val="Aptos"/>
        <family val="2"/>
      </rPr>
      <t>).</t>
    </r>
  </si>
  <si>
    <r>
      <t>(A) Se R</t>
    </r>
    <r>
      <rPr>
        <vertAlign val="subscript"/>
        <sz val="14"/>
        <rFont val="Aptos"/>
        <family val="2"/>
      </rPr>
      <t>e</t>
    </r>
    <r>
      <rPr>
        <sz val="14"/>
        <rFont val="Aptos"/>
        <family val="2"/>
      </rPr>
      <t xml:space="preserve"> &lt; 0, o projeto contribui para a redução das emissões de GEE relativamente às emissões do cenário de referência considerado. </t>
    </r>
  </si>
  <si>
    <t>(B) Se Re = 0, o projeto apresenta emissões de GEE iguais às emissões do cenário de referência considerado.</t>
  </si>
  <si>
    <t>(C) Se Re &gt;0, o projeto contribui para o incremento das emissões de GEE relativamente às emissões do cenário de referência considerado.</t>
  </si>
  <si>
    <t xml:space="preserve">(A) Se as emissões evitadas (EV) &gt; 0, o projeto contribui para a redução das emissões de GEE relativamente às emissões do cenário de referência considerado. </t>
  </si>
  <si>
    <t>(B) Se as emissões evitadas (EV) = 0, o projeto apresenta emissões de GEE iguais às emissões do cenário de referência considerado.</t>
  </si>
  <si>
    <t>(C) Se as emissões evitadas (EV) &lt; 0, o projeto contribui para o incremento das emissões de GEE relativamente às emissões do cenário de referência considerado.</t>
  </si>
  <si>
    <t>7. As emissões de GEE para o horizonte temporal do projeto são apresentadas no separador RE_resultados e implicam o preenchimento obrigatório do ""Horizonte temporal do projeto" no separador ID_Identificação do projeto.</t>
  </si>
  <si>
    <t>4. Exemplos de cálculo de emissões de GEE em projetos de mobilidade</t>
  </si>
  <si>
    <t>4.1 Onde encontrar exemplos de cálculo de emissões de GEE em projetos de mobilidade utilizando a GEE?</t>
  </si>
  <si>
    <r>
      <t xml:space="preserve">Qual a TM expectável do </t>
    </r>
    <r>
      <rPr>
        <b/>
        <sz val="14"/>
        <color theme="1"/>
        <rFont val="Aptos"/>
        <family val="2"/>
      </rPr>
      <t>automóvel</t>
    </r>
    <r>
      <rPr>
        <sz val="14"/>
        <color theme="1"/>
        <rFont val="Aptos"/>
        <family val="2"/>
      </rPr>
      <t xml:space="preserve"> </t>
    </r>
    <r>
      <rPr>
        <b/>
        <sz val="14"/>
        <color theme="1"/>
        <rFont val="Aptos"/>
        <family val="2"/>
      </rPr>
      <t>(fonte de energia desconhecida)</t>
    </r>
    <r>
      <rPr>
        <sz val="14"/>
        <color theme="1"/>
        <rFont val="Aptos"/>
        <family val="2"/>
      </rPr>
      <t xml:space="preserve"> para o </t>
    </r>
    <r>
      <rPr>
        <b/>
        <sz val="14"/>
        <color theme="1"/>
        <rFont val="Aptos"/>
        <family val="2"/>
      </rPr>
      <t>outros navios/embarcações</t>
    </r>
    <r>
      <rPr>
        <sz val="14"/>
        <color theme="1"/>
        <rFont val="Aptos"/>
        <family val="2"/>
      </rPr>
      <t>?</t>
    </r>
  </si>
  <si>
    <r>
      <t xml:space="preserve">Qual a TM expectável do </t>
    </r>
    <r>
      <rPr>
        <b/>
        <sz val="14"/>
        <color theme="1"/>
        <rFont val="Aptos"/>
        <family val="2"/>
      </rPr>
      <t>autocarro</t>
    </r>
    <r>
      <rPr>
        <sz val="14"/>
        <color theme="1"/>
        <rFont val="Aptos"/>
        <family val="2"/>
      </rPr>
      <t xml:space="preserve"> para </t>
    </r>
    <r>
      <rPr>
        <b/>
        <sz val="14"/>
        <color theme="1"/>
        <rFont val="Aptos"/>
        <family val="2"/>
      </rPr>
      <t>outros navios/embarcações</t>
    </r>
    <r>
      <rPr>
        <sz val="14"/>
        <color theme="1"/>
        <rFont val="Aptos"/>
        <family val="2"/>
      </rPr>
      <t>?</t>
    </r>
  </si>
  <si>
    <r>
      <t xml:space="preserve">Qual a TM expectável do </t>
    </r>
    <r>
      <rPr>
        <b/>
        <sz val="14"/>
        <color theme="1"/>
        <rFont val="Aptos"/>
        <family val="2"/>
      </rPr>
      <t>comboio urbano</t>
    </r>
    <r>
      <rPr>
        <sz val="14"/>
        <color theme="1"/>
        <rFont val="Aptos"/>
        <family val="2"/>
      </rPr>
      <t xml:space="preserve"> para </t>
    </r>
    <r>
      <rPr>
        <b/>
        <sz val="14"/>
        <color theme="1"/>
        <rFont val="Aptos"/>
        <family val="2"/>
      </rPr>
      <t>outros navios/embarcações</t>
    </r>
    <r>
      <rPr>
        <sz val="14"/>
        <color theme="1"/>
        <rFont val="Aptos"/>
        <family val="2"/>
      </rPr>
      <t>?</t>
    </r>
  </si>
  <si>
    <r>
      <t xml:space="preserve">Qual a </t>
    </r>
    <r>
      <rPr>
        <b/>
        <sz val="14"/>
        <color theme="1"/>
        <rFont val="Aptos"/>
        <family val="2"/>
      </rPr>
      <t>procura induzida</t>
    </r>
    <r>
      <rPr>
        <sz val="14"/>
        <color theme="1"/>
        <rFont val="Aptos"/>
        <family val="2"/>
      </rPr>
      <t xml:space="preserve"> para </t>
    </r>
    <r>
      <rPr>
        <b/>
        <sz val="14"/>
        <color theme="1"/>
        <rFont val="Aptos"/>
        <family val="2"/>
      </rPr>
      <t>outros navios/embarcações</t>
    </r>
    <r>
      <rPr>
        <sz val="14"/>
        <color theme="1"/>
        <rFont val="Aptos"/>
        <family val="2"/>
      </rPr>
      <t>?</t>
    </r>
  </si>
  <si>
    <t>Quadro C e D: Pressuposto da Transferência Modal</t>
  </si>
  <si>
    <r>
      <t xml:space="preserve">3. Projetos de </t>
    </r>
    <r>
      <rPr>
        <b/>
        <sz val="14"/>
        <rFont val="Aptos"/>
        <family val="2"/>
      </rPr>
      <t>criação ou melhoria/ampliação de redes e vias</t>
    </r>
    <r>
      <rPr>
        <sz val="14"/>
        <rFont val="Aptos"/>
        <family val="2"/>
      </rPr>
      <t xml:space="preserve"> associadas ao transporte ferroviário de passageiros. </t>
    </r>
    <r>
      <rPr>
        <b/>
        <sz val="14"/>
        <rFont val="Aptos"/>
        <family val="2"/>
      </rPr>
      <t xml:space="preserve">Exemplo: </t>
    </r>
    <r>
      <rPr>
        <sz val="14"/>
        <rFont val="Aptos"/>
        <family val="2"/>
      </rPr>
      <t xml:space="preserve"> Ampliação da rede de metro de superfície, prevendo-se a circulação de um total de 10 novos comboios, e em que cada comboio percorre um total de 10000 quilómetros, num ano típico de funcionamento. 
</t>
    </r>
  </si>
  <si>
    <r>
      <t xml:space="preserve">1. O pressuposto da Redução da Intensidade Carbónica (IC), implica a existência de uma potencial alteração tecnológica no tipo de transporte a adquirir, de modo a permitir uma redução das emissões de GEE totais por unidade (no setor dos transportes esta unidade é geralmente o veículo-quilómetro ou passageiro-quilómetro).                                         </t>
    </r>
    <r>
      <rPr>
        <b/>
        <sz val="14"/>
        <rFont val="Aptos"/>
        <family val="2"/>
      </rPr>
      <t xml:space="preserve">Exemplo: </t>
    </r>
    <r>
      <rPr>
        <sz val="14"/>
        <rFont val="Aptos"/>
        <family val="2"/>
      </rPr>
      <t>Substituição de autocarros a gasóleo por autocarros com menor fator de emissão por veículo-quilómetro (ex. autocarros elétricos).</t>
    </r>
  </si>
  <si>
    <r>
      <t xml:space="preserve">1. Considerar todas as componentes incluídas no Projeto (ex. Projeto de criação de zona com baixas emissões que inclui a criação de ciclovias, a aquisição de bicicletas e a renovação de autocarros). </t>
    </r>
    <r>
      <rPr>
        <b/>
        <sz val="17"/>
        <rFont val="Aptos"/>
        <family val="2"/>
      </rPr>
      <t xml:space="preserve">Nota: </t>
    </r>
    <r>
      <rPr>
        <sz val="17"/>
        <rFont val="Aptos"/>
        <family val="2"/>
      </rPr>
      <t>Não existe um separador específico para os projetos de zonas condicionadas 20/30, bem como para zonas com baixas emissões. Nestes casos, devem identificar-se quais os pressupostos e os projetos que integram a criação destas zonas, e preencher os respetivos separadores. Os resultados globais podem ser visualizados em Re_resultados.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</si>
  <si>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</si>
  <si>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</si>
  <si>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r>
      <t xml:space="preserve">1. Introduzir nos campos abaixo a </t>
    </r>
    <r>
      <rPr>
        <b/>
        <sz val="14"/>
        <color rgb="FF02A39C"/>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</si>
  <si>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t>Consultar os anexos do manual do utilizador para encontrar exemplos de utilização da GEE_mobilidade no cálculo das emissões de GEE em projetos de mobilidade urbana.</t>
  </si>
  <si>
    <r>
      <rPr>
        <b/>
        <sz val="14"/>
        <rFont val="Aptos"/>
        <family val="2"/>
      </rPr>
      <t xml:space="preserve">Nº de autocarros * Nº km (km percorridos em média por um autocarro), </t>
    </r>
    <r>
      <rPr>
        <sz val="14"/>
        <rFont val="Aptos"/>
        <family val="2"/>
      </rPr>
      <t xml:space="preserve">num ano típico de funcionamento:                                                                                                                                                                                                                    (A) </t>
    </r>
    <r>
      <rPr>
        <u/>
        <sz val="14"/>
        <rFont val="Aptos"/>
        <family val="2"/>
      </rPr>
      <t>Projetos de redes e vias</t>
    </r>
    <r>
      <rPr>
        <sz val="14"/>
        <rFont val="Aptos"/>
        <family val="2"/>
      </rPr>
      <t xml:space="preserve"> - Nº autocarros (valor médio) * Nº de km de rede/ via a construir/ ampliar/ melhorar pelo projeto, num ano. Ex. o projeto prevê a melhoria de 20 km de via rodoviária dedicada onde circulam 10 autocarros (em adição à frota existente), em média, por dia =20*10*365= 73 000 vkm. </t>
    </r>
    <r>
      <rPr>
        <b/>
        <sz val="14"/>
        <color rgb="FF02A39C"/>
        <rFont val="Aptos"/>
        <family val="2"/>
      </rPr>
      <t>VALOR</t>
    </r>
    <r>
      <rPr>
        <sz val="14"/>
        <rFont val="Aptos"/>
        <family val="2"/>
      </rPr>
      <t xml:space="preserve">= 73 000                                                                                                                                                                                                               (B) </t>
    </r>
    <r>
      <rPr>
        <u/>
        <sz val="14"/>
        <rFont val="Aptos"/>
        <family val="2"/>
      </rPr>
      <t xml:space="preserve">Projetos de aquisição de transporte de passageiros </t>
    </r>
    <r>
      <rPr>
        <sz val="14"/>
        <rFont val="Aptos"/>
        <family val="2"/>
      </rPr>
      <t xml:space="preserve">- Nº autocarros a adquirir (em adição à frota existente) * Nº médio de km percorridos por autocarro, num ano. Ex. o projeto prevê a aquisição de 20 novos autocarros standard elétricos (bateria de iões de litio e hidrogénio fuel cell) em adição à frota existente (10 autocarros); 5 autocarros foram para abate; cada autocarro percorre 20 000 km num ano = (20+10-5)*20 000= 500 000 vkm.  </t>
    </r>
    <r>
      <rPr>
        <b/>
        <sz val="14"/>
        <color rgb="FF02A39C"/>
        <rFont val="Aptos"/>
        <family val="2"/>
      </rPr>
      <t>VALOR</t>
    </r>
    <r>
      <rPr>
        <sz val="14"/>
        <rFont val="Aptos"/>
        <family val="2"/>
      </rPr>
      <t xml:space="preserve">= 500 000 </t>
    </r>
  </si>
  <si>
    <t>1. Os fatores de emissão padrão do transporte elétrico (ex. bicicleta/ trotinetas elétricas, autocarros elétricos, comboios movidos a eletricidade, navios/embarcações elétricos) foram estimados considerando o consumo de eletricidade do tipo de transporte referenciado em bibliografia relacionada com mobilidade ou com os tipos de transporte previstos na calculadora. As fontes utilizadas e os pressupostos utilizados para estimar os fatores de emissão podem ser consultados no separador "Fatores de Emissão". Sempre que exista informação bibliográfica disponível, os fatores de emissão padrão do transporte elétrico são estimados tendo em consideração o fator de emissão de eletricidade indicado pelo utilizador (campo de preenchimento obrigatório nos separadores relacionados com a transferência modal).</t>
  </si>
  <si>
    <t>Fator de emissão meio de transporte (kgCO2eq/p.km) - padrão</t>
  </si>
  <si>
    <t>Embarcações elétricas</t>
  </si>
  <si>
    <r>
      <rPr>
        <b/>
        <sz val="14"/>
        <rFont val="Aptos"/>
        <family val="2"/>
      </rPr>
      <t xml:space="preserve">Outros consumos de eletricidade: </t>
    </r>
    <r>
      <rPr>
        <sz val="14"/>
        <rFont val="Aptos"/>
        <family val="2"/>
      </rPr>
      <t>Consumo anual de eletricidade (ex. iluminação urbana) num ano típico de funcionamento (i.e. ano típico= n+2 em que "n" é o ano de ínicio de operação do projeto)</t>
    </r>
  </si>
  <si>
    <t>6. O cálculo do Custo-sombra associado às emissões relativas do projeto implica o preenchimento obrigatório do "Ano de inicio de exploração do projeto" no separador ID_Identificação do projeto.</t>
  </si>
  <si>
    <r>
      <t xml:space="preserve">-  Ano do início da exploração do projeto  </t>
    </r>
    <r>
      <rPr>
        <sz val="14"/>
        <rFont val="Aptos"/>
        <family val="2"/>
      </rPr>
      <t>(</t>
    </r>
    <r>
      <rPr>
        <b/>
        <sz val="14"/>
        <rFont val="Aptos"/>
        <family val="2"/>
      </rPr>
      <t>ex. 2030</t>
    </r>
    <r>
      <rPr>
        <sz val="14"/>
        <rFont val="Aptos"/>
        <family val="2"/>
      </rPr>
      <t>)</t>
    </r>
    <r>
      <rPr>
        <b/>
        <sz val="14"/>
        <rFont val="Aptos"/>
        <family val="2"/>
      </rPr>
      <t xml:space="preserve">. </t>
    </r>
    <r>
      <rPr>
        <sz val="14"/>
        <rFont val="Aptos"/>
        <family val="2"/>
      </rPr>
      <t xml:space="preserve">Indicar qual o ano (AAAA) de início de </t>
    </r>
    <r>
      <rPr>
        <b/>
        <sz val="14"/>
        <rFont val="Aptos"/>
        <family val="2"/>
      </rPr>
      <t>exploração</t>
    </r>
    <r>
      <rPr>
        <sz val="14"/>
        <rFont val="Aptos"/>
        <family val="2"/>
      </rPr>
      <t xml:space="preserve"> do projeto.</t>
    </r>
  </si>
  <si>
    <t>B: TM (Nº navios*Nº km ano* %TM)-                                 unidade: km / navio</t>
  </si>
  <si>
    <t>1. Especificar a fonte dos dados e a metodologia utilizada para estimar as transferências modais (obrigatório)</t>
  </si>
  <si>
    <r>
      <t>2. Projetos que incluem a disponibilização de</t>
    </r>
    <r>
      <rPr>
        <b/>
        <sz val="14"/>
        <rFont val="Aptos"/>
        <family val="2"/>
      </rPr>
      <t xml:space="preserve"> estações de carregamento de navios/embarcações</t>
    </r>
    <r>
      <rPr>
        <sz val="14"/>
        <rFont val="Aptos"/>
        <family val="2"/>
      </rPr>
      <t xml:space="preserve">. </t>
    </r>
    <r>
      <rPr>
        <b/>
        <sz val="14"/>
        <rFont val="Aptos"/>
        <family val="2"/>
      </rPr>
      <t>Exemplo:</t>
    </r>
    <r>
      <rPr>
        <sz val="14"/>
        <rFont val="Aptos"/>
        <family val="2"/>
      </rPr>
      <t xml:space="preserve"> Intensificação da oferta de estações de carregamento da frota elétrica de navios/embarcações de transporte de passageiros. </t>
    </r>
    <r>
      <rPr>
        <b/>
        <sz val="14"/>
        <rFont val="Aptos"/>
        <family val="2"/>
      </rPr>
      <t>Nota:</t>
    </r>
    <r>
      <rPr>
        <sz val="14"/>
        <rFont val="Aptos"/>
        <family val="2"/>
      </rPr>
      <t xml:space="preserve"> A GEE_mobilidade não permite o cálculo das emissões de GEE associadas à fase de produção de eletricidade e/ou armazenamento em Portos. Para este efeito, deverá ser utilizada a calculadora "GEE_PInfraRC" disponibilizada pelos Programas do Portugal 2030.</t>
    </r>
  </si>
  <si>
    <r>
      <t xml:space="preserve">Ler atentamente as instruções incluídas em cada tabela (em forma de notas) e preencher os campos a </t>
    </r>
    <r>
      <rPr>
        <b/>
        <sz val="18"/>
        <color rgb="FF02A39C"/>
        <rFont val="Aptos"/>
        <family val="2"/>
      </rPr>
      <t>AZUL CLARO</t>
    </r>
    <r>
      <rPr>
        <sz val="18"/>
        <rFont val="Aptos"/>
        <family val="2"/>
      </rPr>
      <t>, quando aplicável. Colocar obrigatoriamente a fonte e o ano de referência do fator de emissão de GEE, quando aplicável.</t>
    </r>
  </si>
  <si>
    <t>1. Todos os fatores de emissão padrão são apresentados em kg CO2e por  veículo- quilómetro (v.km) ou pessoa-quilómetro (p.km).</t>
  </si>
  <si>
    <t>APA (2025). Fator de emissão de gases com efeito de estufa da Eletricidade produzida em Portugal</t>
  </si>
  <si>
    <t>Fator emissão da operação do transporte (kgCO2e/unidade)</t>
  </si>
  <si>
    <t>Seção 1 -Eletricidade (transportes)</t>
  </si>
  <si>
    <t>Seção 2 - Fatores de emissão para o transporte de passageiros a combustão  (baseado na distância)</t>
  </si>
  <si>
    <t>Contactos</t>
  </si>
  <si>
    <t>kg CO2e/c.km</t>
  </si>
  <si>
    <t>tCO2e/ c.km ou v.km</t>
  </si>
  <si>
    <t>CP- Comboios de Portugal  (Lisboa)</t>
  </si>
  <si>
    <t>Pressuposto Equipa IST: INE (2023)- taxa de utilização do eléctrico = taxa de utilização de transportes rodoviários da Carris (20%) mencionado em Ferreira, F. et al.  (2025). Mobilidade e Transportes nas Áreas Metropolitanas em Portugal - RELATÓRIO FINAL</t>
  </si>
  <si>
    <t>Passageiros transportados (N.º) pelas empresas de transporte rodoviário de passageiros por Local de origem (NUTS - 2024) e Tipo de serviço; Anual</t>
  </si>
  <si>
    <t>Regular (carreiras)</t>
  </si>
  <si>
    <t>Expresso</t>
  </si>
  <si>
    <t>Portugal</t>
  </si>
  <si>
    <t>Lugares-quilómetro oferecidos (N.º) pelas empresas de transporte rodoviário de passageiros por Local de origem (NUTS - 2024) e Tipo de serviço; Anual</t>
  </si>
  <si>
    <t>ocal de origem (NUTS - 2024)</t>
  </si>
  <si>
    <t>Período de referência dos dados</t>
  </si>
  <si>
    <t>Regular</t>
  </si>
  <si>
    <t>N.º (milhões)</t>
  </si>
  <si>
    <t>N.º (milhares)</t>
  </si>
  <si>
    <t>23 043,1 &amp;</t>
  </si>
  <si>
    <t>5 361,5 &amp;</t>
  </si>
  <si>
    <t>524 734,8 &amp;</t>
  </si>
  <si>
    <t>17 328,0 &amp;</t>
  </si>
  <si>
    <t>35 072,1 &amp;</t>
  </si>
  <si>
    <t>33 436,1 &amp;</t>
  </si>
  <si>
    <t>28 561,0 &amp;</t>
  </si>
  <si>
    <t>576 874,4 &amp;</t>
  </si>
  <si>
    <t>575 638,5 &amp;</t>
  </si>
  <si>
    <t>Passageiros transportados (N.º) pelas empresas de transporte rodoviário de passageiros por Local de origem (NUTS - 2024) e Tipo de serviço; Anual - INE, Inquérito ao transporte rodoviário de passageiros</t>
  </si>
  <si>
    <t>Lugares-quilómetro oferecidos (N.º) pelas empresas de transporte rodoviário de passageiros por Local de origem (NUTS - 2024) e Tipo de serviço; Anual - INE, Inquérito ao transporte rodoviário de passageiros</t>
  </si>
  <si>
    <t>Última atualização destes dados: 08 de outubro de 2025</t>
  </si>
  <si>
    <t>Regular-carreiras</t>
  </si>
  <si>
    <t>tx ocupação  (%)</t>
  </si>
  <si>
    <t>Local de origem (NUTS - 2024)</t>
  </si>
  <si>
    <t>Decisão: não inclui no estudo</t>
  </si>
  <si>
    <t>Fonte e ano de referência do fator de emissão de GEE; tipo de autocarro (elétrico/ combustão)</t>
  </si>
  <si>
    <t>IC_fatores de emissão da produção dos transportes</t>
  </si>
  <si>
    <t>Combustão</t>
  </si>
  <si>
    <t>IC_fatores de emissão da produção dos transportes (micromobilidade)</t>
  </si>
  <si>
    <t>Não elétrico</t>
  </si>
  <si>
    <t>Indique o tipo de veículo elétrico</t>
  </si>
  <si>
    <t>3.2 Como  interpretar os resultados das emissões relativas e das emissões evitadas?</t>
  </si>
  <si>
    <r>
      <t xml:space="preserve">1. Avaliação ex-ante (projetos que ainda não ocorreram) das emissões de Gases com Efeito de Estufa (GEE)  absolutas, emissões de referência e emissões relativas da fase de exploração de projetos relacionados com </t>
    </r>
    <r>
      <rPr>
        <b/>
        <sz val="14"/>
        <rFont val="Aptos"/>
        <family val="2"/>
      </rPr>
      <t>projetos de vias/infraestruturas de mobilidade, incluindo ferrovia e metros, de mobilidade urbana e de transporte de passageiros</t>
    </r>
    <r>
      <rPr>
        <sz val="14"/>
        <rFont val="Aptos"/>
        <family val="2"/>
      </rPr>
      <t xml:space="preserve">, num ano típico de funcionamento. Na GEE_mobilidade um ano típico de funcionamento corresponde um ano médio de exploração, i.e. n+2 em que "n" é o ano de inicio de exploração do projeto. </t>
    </r>
  </si>
  <si>
    <t>Projetos de parques de estacionamento associados a interfaces modais que provoquem transferência modal (ex. micromobilidade, autocarros, comboio, metro, embarcações)</t>
  </si>
  <si>
    <t>Teixeira, J. et al. (2023)</t>
  </si>
  <si>
    <t>Passo I- Identificar a tipologia de projeto</t>
  </si>
  <si>
    <t>Identifcar a tipologia de projeto e aceder à(s) tabela(s) a preencher.</t>
  </si>
  <si>
    <t>Indique o tipo de embarcação elétrica</t>
  </si>
  <si>
    <t>Separador IC_todos os projetos; Tabela  IC2_Projetos de transporte rodoviário de passageiros</t>
  </si>
  <si>
    <t>Separador IC_todos os projetos;  Tabela IC1_Projetos de micromobilidade</t>
  </si>
  <si>
    <t>Separador IC_todos os projetos;  Tabela  IC3_Projetos de transporte ferroviário de passageiros</t>
  </si>
  <si>
    <t>Separador IC_todos os projetos; Tabela  IC4_Projetos de transporte de passageiros em vias navegáveis interiores</t>
  </si>
  <si>
    <t>Separador IC_todos os projetos; Tabela  IC5_Projetos de carregamento de veículos/navios/embarcações</t>
  </si>
  <si>
    <t>GEE_mobilidade FE</t>
  </si>
  <si>
    <r>
      <t xml:space="preserve">Transporte a </t>
    </r>
    <r>
      <rPr>
        <b/>
        <sz val="36"/>
        <rFont val="Aptos"/>
        <family val="2"/>
      </rPr>
      <t>ADQUIRIR</t>
    </r>
  </si>
  <si>
    <r>
      <t xml:space="preserve">Fator de Emissão do Transporte a </t>
    </r>
    <r>
      <rPr>
        <b/>
        <sz val="28"/>
        <color theme="0"/>
        <rFont val="Aptos"/>
        <family val="2"/>
      </rPr>
      <t>SUBSTITUIR</t>
    </r>
  </si>
  <si>
    <r>
      <t xml:space="preserve">Fator de Emissão do Transporte a </t>
    </r>
    <r>
      <rPr>
        <b/>
        <sz val="28"/>
        <color theme="0"/>
        <rFont val="Aptos"/>
        <family val="2"/>
      </rPr>
      <t>ADQUIRIR</t>
    </r>
  </si>
  <si>
    <r>
      <t xml:space="preserve">Tipo de transporte a </t>
    </r>
    <r>
      <rPr>
        <b/>
        <sz val="28"/>
        <color theme="1"/>
        <rFont val="Aptos"/>
        <family val="2"/>
      </rPr>
      <t>SUBSTITUIR</t>
    </r>
  </si>
  <si>
    <r>
      <t xml:space="preserve">Transporte a </t>
    </r>
    <r>
      <rPr>
        <b/>
        <sz val="28"/>
        <rFont val="Aptos"/>
        <family val="2"/>
      </rPr>
      <t>ADQUIRIR</t>
    </r>
  </si>
  <si>
    <r>
      <t xml:space="preserve">Autocarros a </t>
    </r>
    <r>
      <rPr>
        <b/>
        <sz val="36"/>
        <rFont val="Aptos"/>
        <family val="2"/>
      </rPr>
      <t>ADQUIRIR</t>
    </r>
  </si>
  <si>
    <r>
      <t xml:space="preserve">Designação do tipo transporte a </t>
    </r>
    <r>
      <rPr>
        <b/>
        <sz val="36"/>
        <color theme="1"/>
        <rFont val="Aptos"/>
        <family val="2"/>
      </rPr>
      <t>ADQUIRIR</t>
    </r>
  </si>
  <si>
    <r>
      <t xml:space="preserve">Frota de Navios/ Embarcações a </t>
    </r>
    <r>
      <rPr>
        <b/>
        <sz val="36"/>
        <rFont val="Aptos"/>
        <family val="2"/>
      </rPr>
      <t xml:space="preserve">ADQUIRIR </t>
    </r>
  </si>
  <si>
    <r>
      <t xml:space="preserve">Nº total de navios/embarcações a </t>
    </r>
    <r>
      <rPr>
        <b/>
        <sz val="28"/>
        <color theme="1"/>
        <rFont val="Aptos"/>
        <family val="2"/>
      </rPr>
      <t>SUBSTITUIR</t>
    </r>
  </si>
  <si>
    <r>
      <t xml:space="preserve">Nº total de veículo/embarcação a </t>
    </r>
    <r>
      <rPr>
        <b/>
        <sz val="28"/>
        <color theme="1"/>
        <rFont val="Aptos"/>
        <family val="2"/>
      </rPr>
      <t>SUBSTITUIR</t>
    </r>
  </si>
  <si>
    <t>Navios/ Embarcações elétricas</t>
  </si>
  <si>
    <r>
      <t xml:space="preserve">Nº total de comboios/ elétricos a </t>
    </r>
    <r>
      <rPr>
        <b/>
        <sz val="28"/>
        <color theme="1"/>
        <rFont val="Aptos"/>
        <family val="2"/>
      </rPr>
      <t>SUBSTITUIR</t>
    </r>
    <r>
      <rPr>
        <b/>
        <sz val="16"/>
        <color theme="1"/>
        <rFont val="Aptos"/>
        <family val="2"/>
      </rPr>
      <t xml:space="preserve"> </t>
    </r>
  </si>
  <si>
    <r>
      <t xml:space="preserve">Nº total de autocarros a </t>
    </r>
    <r>
      <rPr>
        <b/>
        <sz val="28"/>
        <color theme="1"/>
        <rFont val="Aptos"/>
        <family val="2"/>
      </rPr>
      <t xml:space="preserve">SUBSTITUIR </t>
    </r>
  </si>
  <si>
    <r>
      <t xml:space="preserve">Nº total de transporte a </t>
    </r>
    <r>
      <rPr>
        <b/>
        <sz val="28"/>
        <color theme="1"/>
        <rFont val="Aptos"/>
        <family val="2"/>
      </rPr>
      <t>SUBSTITUIR</t>
    </r>
  </si>
  <si>
    <r>
      <rPr>
        <b/>
        <sz val="14"/>
        <color theme="1"/>
        <rFont val="Aptos"/>
        <family val="2"/>
      </rPr>
      <t>Intensidade carbónica</t>
    </r>
    <r>
      <rPr>
        <sz val="14"/>
        <color theme="1"/>
        <rFont val="Aptos"/>
        <family val="2"/>
      </rPr>
      <t xml:space="preserve"> por                     pessoa-quilómetro</t>
    </r>
    <r>
      <rPr>
        <b/>
        <sz val="14"/>
        <color theme="1"/>
        <rFont val="Aptos"/>
        <family val="2"/>
      </rPr>
      <t xml:space="preserve"> (sem ProdT) </t>
    </r>
  </si>
  <si>
    <r>
      <t xml:space="preserve">1. Introduzir nas colunas abaixo a </t>
    </r>
    <r>
      <rPr>
        <b/>
        <sz val="14"/>
        <rFont val="Aptos"/>
        <family val="2"/>
      </rPr>
      <t>AZUL</t>
    </r>
    <r>
      <rPr>
        <sz val="14"/>
        <rFont val="Aptos"/>
        <family val="2"/>
      </rPr>
      <t xml:space="preserve"> os valores das transferências modais (% captação TM), quando aplicável.  </t>
    </r>
    <r>
      <rPr>
        <b/>
        <sz val="14"/>
        <rFont val="Aptos"/>
        <family val="2"/>
      </rPr>
      <t>Nota:</t>
    </r>
    <r>
      <rPr>
        <sz val="14"/>
        <rFont val="Aptos"/>
        <family val="2"/>
      </rPr>
      <t xml:space="preserve"> Introduzir apenas valores positivos.</t>
    </r>
  </si>
  <si>
    <t>Euros/ano</t>
  </si>
  <si>
    <t>Euros/ ano</t>
  </si>
  <si>
    <r>
      <t xml:space="preserve">Custo-Sombra </t>
    </r>
    <r>
      <rPr>
        <sz val="16"/>
        <color theme="1"/>
        <rFont val="Aptos"/>
        <family val="2"/>
      </rPr>
      <t xml:space="preserve">das emissões relativas </t>
    </r>
    <r>
      <rPr>
        <b/>
        <sz val="16"/>
        <color theme="1"/>
        <rFont val="Aptos"/>
        <family val="2"/>
      </rPr>
      <t xml:space="preserve"> </t>
    </r>
    <r>
      <rPr>
        <sz val="16"/>
        <color theme="1"/>
        <rFont val="Aptos"/>
        <family val="2"/>
      </rPr>
      <t>(Euros)</t>
    </r>
  </si>
  <si>
    <t>GEE_mobilidade: Calculadora GEE para projetos de mobilidade e transportes de passageiros</t>
  </si>
  <si>
    <t>2.Emissões Absolutas Totais do consumo de eletricidade no transporte elétrico em tCO2e/ano</t>
  </si>
  <si>
    <t xml:space="preserve">- Horizonte temporal da operação/exploração do projeto. </t>
  </si>
  <si>
    <t>Indicar o número de anos de utilização/exploração expectável do projeto.</t>
  </si>
  <si>
    <r>
      <rPr>
        <b/>
        <sz val="18"/>
        <color theme="1"/>
        <rFont val="Aptos"/>
        <family val="2"/>
      </rPr>
      <t xml:space="preserve">Tipo </t>
    </r>
    <r>
      <rPr>
        <sz val="18"/>
        <color theme="1"/>
        <rFont val="Aptos"/>
        <family val="2"/>
      </rPr>
      <t>de projeto</t>
    </r>
    <r>
      <rPr>
        <b/>
        <sz val="18"/>
        <rFont val="Aptos"/>
        <family val="2"/>
      </rPr>
      <t xml:space="preserve">                                                                                                                           </t>
    </r>
    <r>
      <rPr>
        <b/>
        <sz val="11"/>
        <color theme="5" tint="-0.249977111117893"/>
        <rFont val="Aptos"/>
        <family val="2"/>
      </rPr>
      <t>preenchimento obrigatório</t>
    </r>
  </si>
  <si>
    <r>
      <t>Ano do</t>
    </r>
    <r>
      <rPr>
        <b/>
        <sz val="18"/>
        <color theme="1"/>
        <rFont val="Aptos"/>
        <family val="2"/>
      </rPr>
      <t xml:space="preserve"> início da exploração</t>
    </r>
    <r>
      <rPr>
        <sz val="18"/>
        <color theme="1"/>
        <rFont val="Aptos"/>
        <family val="2"/>
      </rPr>
      <t xml:space="preserve"> do projeto</t>
    </r>
    <r>
      <rPr>
        <b/>
        <sz val="18"/>
        <rFont val="Aptos"/>
        <family val="2"/>
      </rPr>
      <t xml:space="preserve"> (ex. 2030)                                                     </t>
    </r>
    <r>
      <rPr>
        <b/>
        <sz val="11"/>
        <color theme="5" tint="-0.249977111117893"/>
        <rFont val="Aptos"/>
        <family val="2"/>
      </rPr>
      <t>preenchimento obrigatório</t>
    </r>
  </si>
  <si>
    <r>
      <rPr>
        <b/>
        <sz val="18"/>
        <color theme="1"/>
        <rFont val="Aptos"/>
        <family val="2"/>
      </rPr>
      <t>Horizonte Temporal da operação/ exploração do Projeto</t>
    </r>
    <r>
      <rPr>
        <b/>
        <sz val="18"/>
        <rFont val="Aptos"/>
        <family val="2"/>
      </rPr>
      <t xml:space="preserve"> (ex. 30 anos)                                      </t>
    </r>
    <r>
      <rPr>
        <b/>
        <sz val="11"/>
        <color rgb="FFC65911"/>
        <rFont val="Aptos"/>
        <family val="2"/>
      </rPr>
      <t xml:space="preserve">preenchimento obrigatório                        </t>
    </r>
    <r>
      <rPr>
        <b/>
        <sz val="18"/>
        <rFont val="Aptos"/>
        <family val="2"/>
      </rPr>
      <t xml:space="preserve">                            </t>
    </r>
  </si>
  <si>
    <r>
      <t xml:space="preserve">Nota: </t>
    </r>
    <r>
      <rPr>
        <sz val="16"/>
        <color theme="1"/>
        <rFont val="Aptos"/>
        <family val="2"/>
      </rPr>
      <t>O resultado obtido com recurso à</t>
    </r>
    <r>
      <rPr>
        <b/>
        <sz val="16"/>
        <color theme="1"/>
        <rFont val="Aptos"/>
        <family val="2"/>
      </rPr>
      <t xml:space="preserve"> calculadora A </t>
    </r>
    <r>
      <rPr>
        <sz val="16"/>
        <color theme="1"/>
        <rFont val="Aptos"/>
        <family val="2"/>
      </rPr>
      <t>tem de ser introduzido no campo dos fatores de emissão/ dados do projeto respetivo.</t>
    </r>
  </si>
  <si>
    <t>Nota 2</t>
  </si>
  <si>
    <t>A GEE_mobilidade disponibiliza Fatores de Emissão padrão no separador "Fatores de Emissão". Note-se que não podem ser utilizados os mesmos Fatores de Emissão no Transporte a Substituir e no Transporte a Adquirir.</t>
  </si>
  <si>
    <t>kg CO2e/   kWh</t>
  </si>
  <si>
    <t>kg CO2e/ p.km</t>
  </si>
  <si>
    <t>Nº km/ bicicleta/ ano</t>
  </si>
  <si>
    <t>Nº km/ veículo/ ano</t>
  </si>
  <si>
    <r>
      <rPr>
        <b/>
        <sz val="14"/>
        <color theme="1"/>
        <rFont val="Aptos"/>
        <family val="2"/>
      </rPr>
      <t>En: Emissões Absolutas</t>
    </r>
    <r>
      <rPr>
        <sz val="14"/>
        <color theme="1"/>
        <rFont val="Aptos"/>
        <family val="2"/>
      </rPr>
      <t xml:space="preserve"> do consumo de eletricidade (transporte elétrico)</t>
    </r>
    <r>
      <rPr>
        <b/>
        <sz val="14"/>
        <color theme="1"/>
        <rFont val="Aptos"/>
        <family val="2"/>
      </rPr>
      <t xml:space="preserve"> </t>
    </r>
  </si>
  <si>
    <r>
      <rPr>
        <b/>
        <sz val="14"/>
        <color theme="1"/>
        <rFont val="Aptos"/>
        <family val="2"/>
      </rPr>
      <t>Emissões Absolutas</t>
    </r>
    <r>
      <rPr>
        <sz val="14"/>
        <color theme="1"/>
        <rFont val="Aptos"/>
        <family val="2"/>
      </rPr>
      <t xml:space="preserve"> do consumo eletricidade</t>
    </r>
    <r>
      <rPr>
        <b/>
        <sz val="14"/>
        <color theme="1"/>
        <rFont val="Aptos"/>
        <family val="2"/>
      </rPr>
      <t xml:space="preserve">  (sem ProdT) </t>
    </r>
  </si>
  <si>
    <r>
      <rPr>
        <b/>
        <sz val="14"/>
        <color theme="1"/>
        <rFont val="Aptos"/>
        <family val="2"/>
      </rPr>
      <t>Emissões Absolutas</t>
    </r>
    <r>
      <rPr>
        <sz val="14"/>
        <color theme="1"/>
        <rFont val="Aptos"/>
        <family val="2"/>
      </rPr>
      <t xml:space="preserve"> do consumo de eletricidade</t>
    </r>
    <r>
      <rPr>
        <b/>
        <sz val="14"/>
        <color theme="1"/>
        <rFont val="Aptos"/>
        <family val="2"/>
      </rPr>
      <t xml:space="preserve">  (sem ProdT) </t>
    </r>
  </si>
  <si>
    <t>Veículo Elétrico ligeiro de passageiros</t>
  </si>
  <si>
    <t>Carro médio (eletricidade) - bateria iões de lítio</t>
  </si>
  <si>
    <t>Carro médio (eletricidade) - híbrido Plug In</t>
  </si>
  <si>
    <t>Trotineta elétrica partilhada</t>
  </si>
  <si>
    <t>Trotineta elétrica privada</t>
  </si>
  <si>
    <t>Ciclomotores (vespas) elétricas</t>
  </si>
  <si>
    <t>Bicicleta elétrica</t>
  </si>
  <si>
    <t>Minibus elétrico- bateria- iões de litio (&lt;40 passageiros)</t>
  </si>
  <si>
    <t>Standard- elétrico a bateria - iões de litio (&lt; 85 passageiros)</t>
  </si>
  <si>
    <t>Standard - elétrico a hidrogénio fuel cell (&lt;85 passageiros)</t>
  </si>
  <si>
    <t>Articulado/ BRT - elétrico a bateria de iões de litio (&lt;130 passageiros)</t>
  </si>
  <si>
    <t>Articulado/ BRT - elétrico a hidrogénio - fuel cell (&lt;130 passageiros)</t>
  </si>
  <si>
    <t>Carris Elétricos (&lt;58 passageiros)</t>
  </si>
  <si>
    <t>2023 (FE eletricidade)</t>
  </si>
  <si>
    <t>Bicicleta não elétrica</t>
  </si>
  <si>
    <t>APA, NIR (2022),  não publicado</t>
  </si>
  <si>
    <r>
      <rPr>
        <b/>
        <sz val="14"/>
        <color theme="1"/>
        <rFont val="Aptos"/>
        <family val="2"/>
      </rPr>
      <t>Intensidade carbónica</t>
    </r>
    <r>
      <rPr>
        <sz val="14"/>
        <color theme="1"/>
        <rFont val="Aptos"/>
        <family val="2"/>
      </rPr>
      <t xml:space="preserve"> por veículo-quilómetro</t>
    </r>
    <r>
      <rPr>
        <b/>
        <sz val="14"/>
        <color theme="1"/>
        <rFont val="Aptos"/>
        <family val="2"/>
      </rPr>
      <t xml:space="preserve"> (sem ProdT) </t>
    </r>
  </si>
  <si>
    <t>Consumo anual de eletricidade, num ano típico de funcionamento</t>
  </si>
  <si>
    <r>
      <rPr>
        <b/>
        <sz val="14"/>
        <color theme="1"/>
        <rFont val="Aptos"/>
        <family val="2"/>
      </rPr>
      <t>Intensidade carbónica</t>
    </r>
    <r>
      <rPr>
        <sz val="14"/>
        <color theme="1"/>
        <rFont val="Aptos"/>
        <family val="2"/>
      </rPr>
      <t xml:space="preserve"> </t>
    </r>
    <r>
      <rPr>
        <b/>
        <sz val="14"/>
        <color theme="1"/>
        <rFont val="Aptos"/>
        <family val="2"/>
      </rPr>
      <t xml:space="preserve"> </t>
    </r>
    <r>
      <rPr>
        <sz val="14"/>
        <color theme="1"/>
        <rFont val="Aptos"/>
        <family val="2"/>
      </rPr>
      <t>por veículo-quilómetro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</si>
  <si>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pessoa-quilómetro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</si>
  <si>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comboio/veículo-quilómetro</t>
    </r>
    <r>
      <rPr>
        <b/>
        <sz val="14"/>
        <color theme="1"/>
        <rFont val="Aptos"/>
        <family val="2"/>
      </rPr>
      <t xml:space="preserve"> (sem ProdT) </t>
    </r>
  </si>
  <si>
    <r>
      <rPr>
        <b/>
        <sz val="14"/>
        <color theme="1"/>
        <rFont val="Aptos"/>
        <family val="2"/>
      </rPr>
      <t>Intensidade carbónica</t>
    </r>
    <r>
      <rPr>
        <sz val="14"/>
        <color theme="1"/>
        <rFont val="Aptos"/>
        <family val="2"/>
      </rPr>
      <t xml:space="preserve">  por pessoa-quilómetro </t>
    </r>
    <r>
      <rPr>
        <b/>
        <sz val="14"/>
        <color theme="1"/>
        <rFont val="Aptos"/>
        <family val="2"/>
      </rPr>
      <t xml:space="preserve">(sem ProdT) </t>
    </r>
  </si>
  <si>
    <r>
      <rPr>
        <b/>
        <sz val="14"/>
        <rFont val="Aptos"/>
        <family val="2"/>
      </rPr>
      <t>Nota 3:</t>
    </r>
    <r>
      <rPr>
        <sz val="14"/>
        <rFont val="Aptos"/>
        <family val="2"/>
      </rPr>
      <t xml:space="preserve"> Para utilizar o fator de emissão de navios/embarcações (gasóleo) consultar o separador "Fatores de emissão". Este fator de emissão, ou fatores de emissão específicos do navio/embarcação, podem ser introduzidos em "Outros navios/embarcações".</t>
    </r>
  </si>
  <si>
    <r>
      <rPr>
        <b/>
        <sz val="14"/>
        <color theme="1"/>
        <rFont val="Aptos"/>
        <family val="2"/>
      </rPr>
      <t xml:space="preserve">Intensidade carbónica </t>
    </r>
    <r>
      <rPr>
        <sz val="14"/>
        <color theme="1"/>
        <rFont val="Aptos"/>
        <family val="2"/>
      </rPr>
      <t xml:space="preserve">por pessoa-quilómetro </t>
    </r>
    <r>
      <rPr>
        <b/>
        <sz val="14"/>
        <color theme="1"/>
        <rFont val="Aptos"/>
        <family val="2"/>
      </rPr>
      <t xml:space="preserve">(sem ProdT) </t>
    </r>
  </si>
  <si>
    <t>Navio/embarcação elétrica</t>
  </si>
  <si>
    <t>3. Recomenda-se a utilização do fator de emissão de eletricidade (Rede Nacional) mais próximo do ano típico de funcionamento do projeto (i.e. ano típico (médio)= n+2 em que "n" é o ano de ínicio de operação do projeto). O fator de emissão de eletricidade (Rede Nacional)  pode ser consultado no portal da Agência Portuguesa do Ambiente.</t>
  </si>
  <si>
    <r>
      <rPr>
        <b/>
        <sz val="14"/>
        <rFont val="Aptos"/>
        <family val="2"/>
      </rPr>
      <t xml:space="preserve">Outros consumos de eletricidade: </t>
    </r>
    <r>
      <rPr>
        <sz val="14"/>
        <rFont val="Aptos"/>
        <family val="2"/>
      </rPr>
      <t>Consumo anual de eletricidade (ex. iluminação; equipamentos associados ao parque de estacionamento) num ano típico de funcionamento (i.e. ano típico (ano médio)= n+2 em que "n" é o ano de ínicio de operação do projeto)</t>
    </r>
  </si>
  <si>
    <t>AAAA</t>
  </si>
  <si>
    <t>AA</t>
  </si>
  <si>
    <r>
      <t xml:space="preserve">2. Selecionar uma opção:                                                                                                                                                                                                                     </t>
    </r>
    <r>
      <rPr>
        <b/>
        <sz val="14"/>
        <rFont val="Aptos"/>
        <family val="2"/>
      </rPr>
      <t xml:space="preserve">I- % tipologia automóvel (utilizador)                                                                                                                                                                                             II- % tipologia automóvel (padrão)  </t>
    </r>
    <r>
      <rPr>
        <sz val="14"/>
        <rFont val="Aptos"/>
        <family val="2"/>
      </rPr>
      <t xml:space="preserve">                                                                                                                                                                                    Caso a </t>
    </r>
    <r>
      <rPr>
        <b/>
        <sz val="14"/>
        <rFont val="Aptos"/>
        <family val="2"/>
      </rPr>
      <t>"Opção I"</t>
    </r>
    <r>
      <rPr>
        <sz val="14"/>
        <rFont val="Aptos"/>
        <family val="2"/>
      </rPr>
      <t xml:space="preserve"> tenha sido selecionada, preencher as tabelas de </t>
    </r>
    <r>
      <rPr>
        <b/>
        <sz val="14"/>
        <rFont val="Aptos"/>
        <family val="2"/>
      </rPr>
      <t xml:space="preserve">"D.1 Tipologia automóvel (utilizador)". Caso esteja a ser utilizado "Outro tipo de veículo" apenas a opção I deve ser selecionada.  </t>
    </r>
    <r>
      <rPr>
        <sz val="14"/>
        <rFont val="Aptos"/>
        <family val="2"/>
      </rPr>
      <t xml:space="preserve">                                                                                                                                                                                   Caso a </t>
    </r>
    <r>
      <rPr>
        <b/>
        <sz val="14"/>
        <rFont val="Aptos"/>
        <family val="2"/>
      </rPr>
      <t xml:space="preserve">"Opção II" </t>
    </r>
    <r>
      <rPr>
        <sz val="14"/>
        <rFont val="Aptos"/>
        <family val="2"/>
      </rPr>
      <t>tenha sido selecionada, ir para o ponto</t>
    </r>
    <r>
      <rPr>
        <b/>
        <sz val="14"/>
        <rFont val="Aptos"/>
        <family val="2"/>
      </rPr>
      <t xml:space="preserve"> 2. Dados relativos às transferências modais.  </t>
    </r>
  </si>
  <si>
    <t>AMT (2022) LINHAS DE ORIENTAÇÃO SOBRE A REGULAÇÃO DA MICROMOBILIDADE PARTILHADA. Novos modos de transporte: Do caos à regulação. Pg. 18</t>
  </si>
  <si>
    <t>Janeiro de 2026</t>
  </si>
  <si>
    <t>Autoriade de Gestão do programa Sustentável 2030</t>
  </si>
  <si>
    <t>Quaisquer questões relacionadas com a GEE-PinfraRC devem ser colocadas à linha de apoio da respetiva Autoridade de Gestão do fundo a que se candidata.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</si>
</sst>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 #,##0.00_);_(* \(#,##0.00\);_(* &quot;-&quot;??_);_(@_)"/>
    <numFmt numFmtId="165" formatCode="0.000"/>
    <numFmt numFmtId="166" formatCode="#,##0.000"/>
    <numFmt numFmtId="167" formatCode="_(* #,##0.0_);_(* \(#,##0.0\);_(&quot;-&quot;_);_(@_)"/>
    <numFmt numFmtId="168" formatCode="0.0"/>
    <numFmt numFmtId="169" formatCode="0.0E+00"/>
    <numFmt numFmtId="170" formatCode="#,##0.0"/>
    <numFmt numFmtId="171" formatCode="0.000000"/>
    <numFmt numFmtId="172" formatCode="_-* #,##0.00\ _€_-;\-* #,##0.00\ _€_-;_-* &quot;-&quot;??\ _€_-;_-@_-"/>
    <numFmt numFmtId="173" formatCode="0.0%"/>
    <numFmt numFmtId="174" formatCode="0.00000"/>
    <numFmt numFmtId="175" formatCode="0.0000"/>
    <numFmt numFmtId="176" formatCode="#,##0.000_ ;\-#,##0.000\ "/>
    <numFmt numFmtId="177" formatCode="#,##0.00\ &quot;€&quot;"/>
    <numFmt numFmtId="178" formatCode="0.0000000"/>
    <numFmt numFmtId="179" formatCode="0.000E+00"/>
    <numFmt numFmtId="180" formatCode="#,##0.00000"/>
  </numFmts>
  <fonts count="242" x14ac:knownFonts="1">
    <font>
      <sz val="11"/>
      <color theme="1"/>
      <name val="Calibri"/>
      <family val="2"/>
      <scheme val="minor"/>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sz val="14"/>
      <color theme="1"/>
      <name val="Aptos"/>
      <family val="2"/>
    </font>
    <font>
      <b/>
      <sz val="11"/>
      <color theme="1"/>
      <name val="Calibri"/>
      <family val="2"/>
      <scheme val="minor"/>
    </font>
    <font>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sz val="9"/>
      <color indexed="81"/>
      <name val="Tahoma"/>
      <family val="2"/>
    </font>
    <font>
      <i/>
      <sz val="10"/>
      <color indexed="10"/>
      <name val="Arial"/>
      <family val="2"/>
    </font>
    <font>
      <sz val="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b/>
      <sz val="9"/>
      <color indexed="81"/>
      <name val="Tahoma"/>
      <family val="2"/>
    </font>
    <font>
      <b/>
      <sz val="12"/>
      <name val="Calibri"/>
      <family val="2"/>
      <scheme val="minor"/>
    </font>
    <font>
      <sz val="12"/>
      <color theme="1"/>
      <name val="Calibri"/>
      <family val="2"/>
      <scheme val="minor"/>
    </font>
    <font>
      <b/>
      <sz val="12"/>
      <color theme="1"/>
      <name val="Calibri"/>
      <family val="2"/>
      <scheme val="minor"/>
    </font>
    <font>
      <sz val="12"/>
      <name val="Calibri"/>
      <family val="2"/>
      <scheme val="minor"/>
    </font>
    <font>
      <b/>
      <sz val="12"/>
      <color theme="8"/>
      <name val="Calibri"/>
      <family val="2"/>
      <scheme val="minor"/>
    </font>
    <font>
      <b/>
      <sz val="12"/>
      <color theme="0"/>
      <name val="Calibri"/>
      <family val="2"/>
      <scheme val="minor"/>
    </font>
    <font>
      <i/>
      <sz val="12"/>
      <name val="Calibri"/>
      <family val="2"/>
      <scheme val="minor"/>
    </font>
    <font>
      <b/>
      <i/>
      <sz val="14"/>
      <name val="Calibri"/>
      <family val="2"/>
      <scheme val="minor"/>
    </font>
    <font>
      <b/>
      <sz val="14"/>
      <name val="Calibri"/>
      <family val="2"/>
      <scheme val="minor"/>
    </font>
    <font>
      <sz val="14"/>
      <color theme="1"/>
      <name val="Calibri"/>
      <family val="2"/>
      <scheme val="minor"/>
    </font>
    <font>
      <b/>
      <sz val="12"/>
      <color indexed="10"/>
      <name val="Calibri"/>
      <family val="2"/>
      <scheme val="minor"/>
    </font>
    <font>
      <u/>
      <sz val="8"/>
      <color theme="10"/>
      <name val="Calibri"/>
      <family val="2"/>
      <scheme val="minor"/>
    </font>
    <font>
      <b/>
      <sz val="11"/>
      <color theme="1"/>
      <name val="Aptos"/>
      <family val="2"/>
    </font>
    <font>
      <sz val="11"/>
      <color theme="1"/>
      <name val="Aptos"/>
      <family val="2"/>
    </font>
    <font>
      <b/>
      <sz val="12"/>
      <name val="Aptos"/>
      <family val="2"/>
    </font>
    <font>
      <b/>
      <sz val="12"/>
      <color theme="1"/>
      <name val="Aptos"/>
      <family val="2"/>
    </font>
    <font>
      <sz val="11"/>
      <color rgb="FFFF0000"/>
      <name val="Calibri"/>
      <family val="2"/>
      <scheme val="minor"/>
    </font>
    <font>
      <b/>
      <i/>
      <sz val="18"/>
      <color rgb="FF01635E"/>
      <name val="Calibri"/>
      <family val="2"/>
      <scheme val="minor"/>
    </font>
    <font>
      <sz val="48"/>
      <color theme="0"/>
      <name val="Calibri"/>
      <family val="2"/>
      <scheme val="minor"/>
    </font>
    <font>
      <b/>
      <sz val="48"/>
      <color theme="0"/>
      <name val="Aptos"/>
      <family val="2"/>
    </font>
    <font>
      <sz val="12"/>
      <color theme="1"/>
      <name val="Aptos"/>
      <family val="2"/>
    </font>
    <font>
      <vertAlign val="subscript"/>
      <sz val="12"/>
      <color theme="1"/>
      <name val="Aptos"/>
      <family val="2"/>
    </font>
    <font>
      <sz val="11"/>
      <color theme="0"/>
      <name val="Aptos"/>
      <family val="2"/>
    </font>
    <font>
      <sz val="36"/>
      <color theme="0"/>
      <name val="Aptos"/>
      <family val="2"/>
    </font>
    <font>
      <sz val="30"/>
      <color theme="0"/>
      <name val="Aptos"/>
      <family val="2"/>
    </font>
    <font>
      <sz val="12"/>
      <name val="Aptos"/>
      <family val="2"/>
    </font>
    <font>
      <b/>
      <sz val="14"/>
      <name val="Aptos"/>
      <family val="2"/>
    </font>
    <font>
      <sz val="14"/>
      <name val="Aptos"/>
      <family val="2"/>
    </font>
    <font>
      <b/>
      <sz val="14"/>
      <color theme="0"/>
      <name val="Aptos"/>
      <family val="2"/>
    </font>
    <font>
      <b/>
      <sz val="14"/>
      <color theme="1"/>
      <name val="Aptos"/>
      <family val="2"/>
    </font>
    <font>
      <vertAlign val="subscript"/>
      <sz val="14"/>
      <name val="Aptos"/>
      <family val="2"/>
    </font>
    <font>
      <sz val="11"/>
      <color rgb="FFEE0000"/>
      <name val="Aptos"/>
      <family val="2"/>
    </font>
    <font>
      <b/>
      <sz val="8"/>
      <color theme="1"/>
      <name val="Aptos"/>
      <family val="2"/>
    </font>
    <font>
      <sz val="18"/>
      <color theme="0"/>
      <name val="Aptos"/>
      <family val="2"/>
    </font>
    <font>
      <b/>
      <sz val="20"/>
      <color theme="1"/>
      <name val="Aptos"/>
      <family val="2"/>
    </font>
    <font>
      <b/>
      <sz val="13"/>
      <color theme="1"/>
      <name val="Aptos"/>
      <family val="2"/>
    </font>
    <font>
      <u/>
      <sz val="10"/>
      <color theme="10"/>
      <name val="Arial"/>
      <family val="2"/>
    </font>
    <font>
      <sz val="8"/>
      <name val="Arial"/>
      <family val="2"/>
    </font>
    <font>
      <sz val="10"/>
      <name val="MS Sans Serif"/>
      <family val="2"/>
    </font>
    <font>
      <b/>
      <sz val="8"/>
      <name val="Times New Roman"/>
      <family val="1"/>
    </font>
    <font>
      <sz val="8"/>
      <name val="Times New Roman"/>
      <family val="1"/>
    </font>
    <font>
      <u/>
      <sz val="10"/>
      <color indexed="58"/>
      <name val="Arial"/>
      <family val="2"/>
    </font>
    <font>
      <sz val="12"/>
      <name val="Helv"/>
    </font>
    <font>
      <b/>
      <sz val="16"/>
      <name val="Times New Roman"/>
      <family val="1"/>
    </font>
    <font>
      <sz val="9"/>
      <name val="Tahoma"/>
      <family val="2"/>
    </font>
    <font>
      <u/>
      <sz val="10"/>
      <color indexed="12"/>
      <name val="Arial"/>
      <family val="2"/>
    </font>
    <font>
      <sz val="10"/>
      <color theme="1"/>
      <name val="Arial"/>
      <family val="2"/>
    </font>
    <font>
      <u/>
      <sz val="11"/>
      <color theme="10"/>
      <name val="Calibri"/>
      <family val="2"/>
    </font>
    <font>
      <sz val="9"/>
      <color indexed="81"/>
      <name val="Tahoma"/>
      <charset val="1"/>
    </font>
    <font>
      <b/>
      <sz val="9"/>
      <color indexed="81"/>
      <name val="Tahoma"/>
      <charset val="1"/>
    </font>
    <font>
      <b/>
      <u/>
      <sz val="11"/>
      <color theme="1"/>
      <name val="Aptos"/>
      <family val="2"/>
    </font>
    <font>
      <i/>
      <sz val="13"/>
      <color theme="5" tint="-0.499984740745262"/>
      <name val="Aptos"/>
      <family val="2"/>
    </font>
    <font>
      <b/>
      <sz val="18"/>
      <color theme="1"/>
      <name val="Aptos"/>
      <family val="2"/>
    </font>
    <font>
      <b/>
      <sz val="8"/>
      <color theme="1"/>
      <name val="Calibri"/>
      <family val="2"/>
      <scheme val="minor"/>
    </font>
    <font>
      <sz val="8"/>
      <color theme="1"/>
      <name val="Calibri"/>
      <family val="2"/>
      <scheme val="minor"/>
    </font>
    <font>
      <sz val="8"/>
      <color theme="1"/>
      <name val="Aptos"/>
      <family val="2"/>
    </font>
    <font>
      <b/>
      <sz val="12"/>
      <color theme="0"/>
      <name val="Aptos"/>
      <family val="2"/>
    </font>
    <font>
      <b/>
      <sz val="20"/>
      <color rgb="FF993300"/>
      <name val="Aptos"/>
      <family val="2"/>
    </font>
    <font>
      <b/>
      <sz val="10"/>
      <color theme="0"/>
      <name val="Calibri"/>
      <family val="2"/>
      <scheme val="minor"/>
    </font>
    <font>
      <sz val="10"/>
      <color theme="0"/>
      <name val="Calibri"/>
      <family val="2"/>
      <scheme val="minor"/>
    </font>
    <font>
      <b/>
      <sz val="8"/>
      <color theme="0"/>
      <name val="Calibri"/>
      <family val="2"/>
      <scheme val="minor"/>
    </font>
    <font>
      <b/>
      <sz val="11"/>
      <color theme="0"/>
      <name val="Aptos"/>
      <family val="2"/>
    </font>
    <font>
      <sz val="20"/>
      <color theme="0"/>
      <name val="Aptos"/>
      <family val="2"/>
    </font>
    <font>
      <sz val="14"/>
      <color theme="1"/>
      <name val="Aptos"/>
      <family val="2"/>
    </font>
    <font>
      <sz val="14"/>
      <color rgb="FF993300"/>
      <name val="Aptos"/>
      <family val="2"/>
    </font>
    <font>
      <b/>
      <vertAlign val="subscript"/>
      <sz val="12"/>
      <color theme="0"/>
      <name val="Aptos"/>
      <family val="2"/>
    </font>
    <font>
      <b/>
      <sz val="10"/>
      <color theme="1"/>
      <name val="Aptos"/>
      <family val="2"/>
    </font>
    <font>
      <b/>
      <sz val="9"/>
      <color theme="1"/>
      <name val="Calibri"/>
      <family val="2"/>
      <scheme val="minor"/>
    </font>
    <font>
      <sz val="20"/>
      <color theme="1"/>
      <name val="Aptos"/>
      <family val="2"/>
    </font>
    <font>
      <sz val="10"/>
      <name val="Calibri"/>
      <family val="2"/>
      <scheme val="minor"/>
    </font>
    <font>
      <b/>
      <sz val="10"/>
      <name val="Calibri"/>
      <family val="2"/>
      <scheme val="minor"/>
    </font>
    <font>
      <i/>
      <sz val="9"/>
      <color indexed="81"/>
      <name val="Tahoma"/>
      <family val="2"/>
    </font>
    <font>
      <sz val="18"/>
      <color theme="0"/>
      <name val="Calibri"/>
      <family val="2"/>
      <scheme val="minor"/>
    </font>
    <font>
      <b/>
      <sz val="18"/>
      <color theme="0"/>
      <name val="Calibri"/>
      <family val="2"/>
      <scheme val="minor"/>
    </font>
    <font>
      <b/>
      <sz val="20"/>
      <color theme="1"/>
      <name val="Calibri"/>
      <family val="2"/>
      <scheme val="minor"/>
    </font>
    <font>
      <b/>
      <sz val="14"/>
      <color rgb="FFFF0000"/>
      <name val="Aptos"/>
      <family val="2"/>
    </font>
    <font>
      <sz val="11"/>
      <color rgb="FFFF0000"/>
      <name val="Aptos"/>
      <family val="2"/>
    </font>
    <font>
      <sz val="10"/>
      <color rgb="FFFF0000"/>
      <name val="Calibri"/>
      <family val="2"/>
      <scheme val="minor"/>
    </font>
    <font>
      <b/>
      <sz val="11"/>
      <color rgb="FFFF9797"/>
      <name val="Aptos"/>
      <family val="2"/>
    </font>
    <font>
      <b/>
      <sz val="10"/>
      <color rgb="FFFF9797"/>
      <name val="Aptos"/>
      <family val="2"/>
    </font>
    <font>
      <b/>
      <sz val="24"/>
      <name val="Calibri"/>
      <family val="2"/>
      <scheme val="minor"/>
    </font>
    <font>
      <b/>
      <sz val="16"/>
      <color theme="0"/>
      <name val="Aptos"/>
      <family val="2"/>
    </font>
    <font>
      <b/>
      <sz val="13"/>
      <color theme="1"/>
      <name val="Calibri"/>
      <family val="2"/>
      <scheme val="minor"/>
    </font>
    <font>
      <b/>
      <sz val="12"/>
      <color rgb="FFFFFF8B"/>
      <name val="Aptos"/>
      <family val="2"/>
    </font>
    <font>
      <b/>
      <u/>
      <sz val="8"/>
      <color theme="1"/>
      <name val="Aptos"/>
      <family val="2"/>
    </font>
    <font>
      <b/>
      <sz val="8"/>
      <name val="Calibri"/>
      <family val="2"/>
      <scheme val="minor"/>
    </font>
    <font>
      <sz val="18"/>
      <color theme="1"/>
      <name val="Aptos"/>
      <family val="2"/>
    </font>
    <font>
      <b/>
      <sz val="18"/>
      <name val="Aptos"/>
      <family val="2"/>
    </font>
    <font>
      <b/>
      <sz val="24"/>
      <color theme="0"/>
      <name val="Aptos"/>
      <family val="2"/>
    </font>
    <font>
      <b/>
      <sz val="24"/>
      <color theme="1"/>
      <name val="Aptos"/>
      <family val="2"/>
    </font>
    <font>
      <vertAlign val="subscript"/>
      <sz val="14"/>
      <color theme="1"/>
      <name val="Aptos"/>
      <family val="2"/>
    </font>
    <font>
      <b/>
      <sz val="18"/>
      <color theme="0"/>
      <name val="Aptos"/>
      <family val="2"/>
    </font>
    <font>
      <sz val="16"/>
      <color theme="1"/>
      <name val="Aptos"/>
      <family val="2"/>
    </font>
    <font>
      <sz val="17"/>
      <color theme="1"/>
      <name val="Calibri"/>
      <family val="2"/>
      <scheme val="minor"/>
    </font>
    <font>
      <b/>
      <sz val="17"/>
      <color theme="0"/>
      <name val="Aptos"/>
      <family val="2"/>
    </font>
    <font>
      <sz val="17"/>
      <color theme="1"/>
      <name val="Aptos"/>
      <family val="2"/>
    </font>
    <font>
      <b/>
      <sz val="17"/>
      <color theme="1"/>
      <name val="Calibri"/>
      <family val="2"/>
      <scheme val="minor"/>
    </font>
    <font>
      <sz val="24"/>
      <color theme="0"/>
      <name val="Aptos"/>
      <family val="2"/>
    </font>
    <font>
      <b/>
      <sz val="16"/>
      <color theme="1"/>
      <name val="Aptos"/>
      <family val="2"/>
    </font>
    <font>
      <sz val="18"/>
      <name val="Aptos"/>
      <family val="2"/>
    </font>
    <font>
      <sz val="14"/>
      <color rgb="FFEE0000"/>
      <name val="Aptos"/>
      <family val="2"/>
    </font>
    <font>
      <b/>
      <vertAlign val="subscript"/>
      <sz val="14"/>
      <color theme="1"/>
      <name val="Aptos"/>
      <family val="2"/>
    </font>
    <font>
      <sz val="16"/>
      <name val="Aptos"/>
      <family val="2"/>
    </font>
    <font>
      <sz val="16"/>
      <color theme="1"/>
      <name val="Calibri"/>
      <family val="2"/>
      <scheme val="minor"/>
    </font>
    <font>
      <b/>
      <u/>
      <sz val="14"/>
      <color theme="1"/>
      <name val="Aptos"/>
      <family val="2"/>
    </font>
    <font>
      <b/>
      <i/>
      <sz val="17"/>
      <color theme="0"/>
      <name val="Aptos"/>
      <family val="2"/>
    </font>
    <font>
      <i/>
      <sz val="14"/>
      <color theme="1"/>
      <name val="Aptos"/>
      <family val="2"/>
    </font>
    <font>
      <i/>
      <sz val="16"/>
      <color theme="1"/>
      <name val="Aptos"/>
      <family val="2"/>
    </font>
    <font>
      <i/>
      <sz val="17"/>
      <color theme="1"/>
      <name val="Aptos"/>
      <family val="2"/>
    </font>
    <font>
      <i/>
      <sz val="17"/>
      <color theme="1"/>
      <name val="Calibri"/>
      <family val="2"/>
      <scheme val="minor"/>
    </font>
    <font>
      <b/>
      <sz val="48"/>
      <color rgb="FF014744"/>
      <name val="Aptos"/>
      <family val="2"/>
    </font>
    <font>
      <sz val="11"/>
      <color rgb="FF014744"/>
      <name val="Calibri"/>
      <family val="2"/>
      <scheme val="minor"/>
    </font>
    <font>
      <u/>
      <sz val="11"/>
      <color theme="10"/>
      <name val="Aptos"/>
      <family val="2"/>
    </font>
    <font>
      <b/>
      <sz val="12"/>
      <color theme="0" tint="-4.9989318521683403E-2"/>
      <name val="Aptos"/>
      <family val="2"/>
    </font>
    <font>
      <b/>
      <vertAlign val="subscript"/>
      <sz val="12"/>
      <color theme="0" tint="-4.9989318521683403E-2"/>
      <name val="Aptos"/>
      <family val="2"/>
    </font>
    <font>
      <sz val="11"/>
      <name val="Aptos"/>
      <family val="2"/>
    </font>
    <font>
      <b/>
      <i/>
      <sz val="14"/>
      <name val="Aptos"/>
      <family val="2"/>
    </font>
    <font>
      <b/>
      <i/>
      <sz val="12"/>
      <name val="Aptos"/>
      <family val="2"/>
    </font>
    <font>
      <b/>
      <sz val="12"/>
      <color indexed="50"/>
      <name val="Aptos"/>
      <family val="2"/>
    </font>
    <font>
      <i/>
      <sz val="12"/>
      <color theme="1"/>
      <name val="Aptos"/>
      <family val="2"/>
    </font>
    <font>
      <u/>
      <sz val="14"/>
      <color theme="1"/>
      <name val="Aptos"/>
      <family val="2"/>
    </font>
    <font>
      <b/>
      <sz val="9"/>
      <color theme="0"/>
      <name val="Calibri"/>
      <family val="2"/>
      <scheme val="minor"/>
    </font>
    <font>
      <b/>
      <sz val="20"/>
      <name val="Calibri"/>
      <family val="2"/>
      <scheme val="minor"/>
    </font>
    <font>
      <b/>
      <sz val="20"/>
      <color theme="0"/>
      <name val="Aptos"/>
      <family val="2"/>
    </font>
    <font>
      <b/>
      <sz val="10"/>
      <color theme="0"/>
      <name val="Aptos"/>
      <family val="2"/>
    </font>
    <font>
      <sz val="10"/>
      <color theme="1"/>
      <name val="Aptos"/>
      <family val="2"/>
    </font>
    <font>
      <sz val="26"/>
      <color theme="0"/>
      <name val="Aptos"/>
      <family val="2"/>
    </font>
    <font>
      <b/>
      <sz val="18"/>
      <color theme="1"/>
      <name val="Calibri"/>
      <family val="2"/>
      <scheme val="minor"/>
    </font>
    <font>
      <sz val="12"/>
      <color rgb="FFFFFF8B"/>
      <name val="Aptos"/>
      <family val="2"/>
    </font>
    <font>
      <i/>
      <sz val="12"/>
      <name val="Aptos"/>
      <family val="2"/>
    </font>
    <font>
      <b/>
      <sz val="14"/>
      <color rgb="FFFFFF00"/>
      <name val="Aptos"/>
      <family val="2"/>
    </font>
    <font>
      <b/>
      <sz val="11"/>
      <color theme="5" tint="-0.249977111117893"/>
      <name val="Aptos"/>
      <family val="2"/>
    </font>
    <font>
      <sz val="18"/>
      <color rgb="FF993300"/>
      <name val="Aptos"/>
      <family val="2"/>
    </font>
    <font>
      <b/>
      <sz val="10"/>
      <name val="Aptos"/>
      <family val="2"/>
    </font>
    <font>
      <sz val="12"/>
      <name val="Roboto Light"/>
    </font>
    <font>
      <sz val="12"/>
      <name val="Roboto"/>
    </font>
    <font>
      <b/>
      <sz val="12"/>
      <color theme="6" tint="-0.249977111117893"/>
      <name val="Roboto Light"/>
    </font>
    <font>
      <b/>
      <sz val="14"/>
      <name val="Roboto Light"/>
    </font>
    <font>
      <u/>
      <sz val="12"/>
      <color theme="2" tint="-0.89999084444715716"/>
      <name val="Roboto Light"/>
    </font>
    <font>
      <sz val="10"/>
      <name val="Roboto Light"/>
    </font>
    <font>
      <u/>
      <sz val="10"/>
      <color indexed="12"/>
      <name val="Roboto Light"/>
    </font>
    <font>
      <b/>
      <sz val="12"/>
      <color theme="6" tint="-0.499984740745262"/>
      <name val="Roboto Light"/>
    </font>
    <font>
      <sz val="10"/>
      <name val="Roboto"/>
    </font>
    <font>
      <b/>
      <sz val="14"/>
      <color rgb="FF993300"/>
      <name val="Aptos"/>
      <family val="2"/>
    </font>
    <font>
      <sz val="16"/>
      <color rgb="FF993300"/>
      <name val="Aptos"/>
      <family val="2"/>
    </font>
    <font>
      <b/>
      <sz val="16"/>
      <color rgb="FF993300"/>
      <name val="Aptos"/>
      <family val="2"/>
    </font>
    <font>
      <sz val="12"/>
      <color theme="10"/>
      <name val="Aptos"/>
      <family val="2"/>
    </font>
    <font>
      <b/>
      <sz val="12"/>
      <color indexed="81"/>
      <name val="Tahoma"/>
      <family val="2"/>
    </font>
    <font>
      <sz val="12"/>
      <color indexed="81"/>
      <name val="Tahoma"/>
      <family val="2"/>
    </font>
    <font>
      <sz val="14"/>
      <color theme="0"/>
      <name val="Aptos"/>
      <family val="2"/>
    </font>
    <font>
      <u/>
      <sz val="14"/>
      <color theme="10"/>
      <name val="Aptos"/>
      <family val="2"/>
    </font>
    <font>
      <vertAlign val="subscript"/>
      <sz val="12"/>
      <name val="Aptos"/>
      <family val="2"/>
    </font>
    <font>
      <i/>
      <sz val="14"/>
      <name val="Aptos"/>
      <family val="2"/>
    </font>
    <font>
      <b/>
      <vertAlign val="subscript"/>
      <sz val="14"/>
      <name val="Aptos"/>
      <family val="2"/>
    </font>
    <font>
      <sz val="14"/>
      <color theme="10"/>
      <name val="Aptos"/>
      <family val="2"/>
    </font>
    <font>
      <b/>
      <sz val="14"/>
      <color rgb="FF002060"/>
      <name val="Aptos"/>
      <family val="2"/>
    </font>
    <font>
      <b/>
      <sz val="14"/>
      <color rgb="FF02A39C"/>
      <name val="Aptos"/>
      <family val="2"/>
    </font>
    <font>
      <sz val="10"/>
      <color indexed="81"/>
      <name val="Tahoma"/>
      <family val="2"/>
    </font>
    <font>
      <b/>
      <sz val="10"/>
      <color rgb="FFFFFF00"/>
      <name val="Aptos"/>
      <family val="2"/>
    </font>
    <font>
      <b/>
      <sz val="14"/>
      <color rgb="FF0070C0"/>
      <name val="Aptos"/>
      <family val="2"/>
    </font>
    <font>
      <b/>
      <sz val="14"/>
      <color rgb="FF00B0F0"/>
      <name val="Aptos"/>
      <family val="2"/>
    </font>
    <font>
      <b/>
      <sz val="14"/>
      <color theme="4" tint="-0.499984740745262"/>
      <name val="Aptos"/>
      <family val="2"/>
    </font>
    <font>
      <b/>
      <u/>
      <sz val="14"/>
      <name val="Aptos"/>
      <family val="2"/>
    </font>
    <font>
      <sz val="11"/>
      <color indexed="81"/>
      <name val="Tahoma"/>
      <family val="2"/>
    </font>
    <font>
      <b/>
      <sz val="11"/>
      <color indexed="81"/>
      <name val="Tahoma"/>
      <family val="2"/>
    </font>
    <font>
      <sz val="26"/>
      <color theme="1"/>
      <name val="Calibri"/>
      <family val="2"/>
      <scheme val="minor"/>
    </font>
    <font>
      <sz val="18"/>
      <color indexed="81"/>
      <name val="Tahoma"/>
      <family val="2"/>
    </font>
    <font>
      <sz val="14"/>
      <color indexed="81"/>
      <name val="Tahoma"/>
      <family val="2"/>
    </font>
    <font>
      <b/>
      <sz val="14"/>
      <color indexed="81"/>
      <name val="Tahoma"/>
      <family val="2"/>
    </font>
    <font>
      <b/>
      <sz val="24"/>
      <name val="Aptos"/>
      <family val="2"/>
    </font>
    <font>
      <sz val="28"/>
      <color theme="0"/>
      <name val="Aptos"/>
      <family val="2"/>
    </font>
    <font>
      <u/>
      <sz val="16"/>
      <color rgb="FFFFFF00"/>
      <name val="Aptos"/>
      <family val="2"/>
    </font>
    <font>
      <b/>
      <sz val="14"/>
      <color rgb="FFE2AC00"/>
      <name val="Aptos"/>
      <family val="2"/>
    </font>
    <font>
      <u/>
      <sz val="12"/>
      <color rgb="FFFFFF00"/>
      <name val="Aptos"/>
      <family val="2"/>
    </font>
    <font>
      <b/>
      <sz val="22"/>
      <color rgb="FF993300"/>
      <name val="Aptos"/>
      <family val="2"/>
    </font>
    <font>
      <i/>
      <sz val="18"/>
      <name val="Aptos"/>
      <family val="2"/>
    </font>
    <font>
      <b/>
      <sz val="18"/>
      <color rgb="FF02A39C"/>
      <name val="Aptos"/>
      <family val="2"/>
    </font>
    <font>
      <u/>
      <sz val="20"/>
      <color theme="10"/>
      <name val="Aptos"/>
      <family val="2"/>
    </font>
    <font>
      <sz val="14"/>
      <color rgb="FF993300"/>
      <name val="Calibri"/>
      <family val="2"/>
      <scheme val="minor"/>
    </font>
    <font>
      <b/>
      <sz val="14"/>
      <color rgb="FF993300"/>
      <name val="Calibri"/>
      <family val="2"/>
      <scheme val="minor"/>
    </font>
    <font>
      <b/>
      <u/>
      <sz val="16"/>
      <color rgb="FF993300"/>
      <name val="Aptos"/>
      <family val="2"/>
    </font>
    <font>
      <u/>
      <sz val="14"/>
      <name val="Aptos"/>
      <family val="2"/>
    </font>
    <font>
      <b/>
      <sz val="18"/>
      <color indexed="63"/>
      <name val="Arial"/>
      <family val="2"/>
    </font>
    <font>
      <sz val="18"/>
      <color theme="1"/>
      <name val="Calibri"/>
      <family val="2"/>
      <scheme val="minor"/>
    </font>
    <font>
      <sz val="18"/>
      <name val="Arial"/>
      <family val="2"/>
    </font>
    <font>
      <sz val="18"/>
      <color indexed="55"/>
      <name val="Arial"/>
      <family val="2"/>
    </font>
    <font>
      <sz val="18"/>
      <color indexed="63"/>
      <name val="Arial"/>
      <family val="2"/>
    </font>
    <font>
      <b/>
      <u/>
      <sz val="14"/>
      <color rgb="FF002060"/>
      <name val="Aptos"/>
      <family val="2"/>
    </font>
    <font>
      <sz val="14"/>
      <color rgb="FFFFFF00"/>
      <name val="Aptos"/>
      <family val="2"/>
    </font>
    <font>
      <b/>
      <i/>
      <sz val="18"/>
      <name val="Aptos"/>
      <family val="2"/>
    </font>
    <font>
      <sz val="14"/>
      <color theme="1"/>
      <name val="Tahoma"/>
      <family val="2"/>
    </font>
    <font>
      <b/>
      <sz val="17"/>
      <color theme="1"/>
      <name val="Aptos"/>
      <family val="2"/>
    </font>
    <font>
      <b/>
      <sz val="24"/>
      <color theme="0" tint="-4.9989318521683403E-2"/>
      <name val="Aptos"/>
      <family val="2"/>
    </font>
    <font>
      <u/>
      <sz val="12"/>
      <color theme="10"/>
      <name val="Calibri"/>
      <family val="2"/>
      <scheme val="minor"/>
    </font>
    <font>
      <u/>
      <sz val="12"/>
      <color theme="10"/>
      <name val="Aptos"/>
      <family val="2"/>
    </font>
    <font>
      <vertAlign val="superscript"/>
      <sz val="12"/>
      <name val="Aptos"/>
      <family val="2"/>
    </font>
    <font>
      <sz val="11"/>
      <name val="Calibri"/>
      <family val="2"/>
      <scheme val="minor"/>
    </font>
    <font>
      <b/>
      <vertAlign val="subscript"/>
      <sz val="16"/>
      <color theme="1"/>
      <name val="Aptos"/>
      <family val="2"/>
    </font>
    <font>
      <sz val="48"/>
      <color theme="0"/>
      <name val="Aptos"/>
      <family val="2"/>
    </font>
    <font>
      <b/>
      <sz val="14"/>
      <color rgb="FF028882"/>
      <name val="Aptos"/>
      <family val="2"/>
    </font>
    <font>
      <u/>
      <sz val="14"/>
      <color theme="8" tint="-0.249977111117893"/>
      <name val="Aptos"/>
      <family val="2"/>
    </font>
    <font>
      <i/>
      <sz val="17"/>
      <name val="Aptos"/>
      <family val="2"/>
    </font>
    <font>
      <sz val="17"/>
      <name val="Aptos"/>
      <family val="2"/>
    </font>
    <font>
      <b/>
      <sz val="17"/>
      <name val="Aptos"/>
      <family val="2"/>
    </font>
    <font>
      <b/>
      <sz val="11"/>
      <color rgb="FFC65911"/>
      <name val="Aptos"/>
      <family val="2"/>
    </font>
    <font>
      <b/>
      <sz val="10"/>
      <color indexed="81"/>
      <name val="Tahoma"/>
      <family val="2"/>
    </font>
    <font>
      <u/>
      <sz val="12"/>
      <color theme="1"/>
      <name val="Aptos"/>
      <family val="2"/>
    </font>
    <font>
      <u/>
      <sz val="14"/>
      <color rgb="FF00B0F0"/>
      <name val="Aptos"/>
      <family val="2"/>
    </font>
    <font>
      <b/>
      <sz val="10"/>
      <color rgb="FF566471"/>
      <name val="Tahoma"/>
      <family val="2"/>
    </font>
    <font>
      <sz val="10"/>
      <color rgb="FF566471"/>
      <name val="Tahoma"/>
      <family val="2"/>
    </font>
    <font>
      <i/>
      <sz val="10"/>
      <color rgb="FF444444"/>
      <name val="Tahoma"/>
      <family val="2"/>
    </font>
    <font>
      <b/>
      <sz val="36"/>
      <name val="Aptos"/>
      <family val="2"/>
    </font>
    <font>
      <b/>
      <sz val="28"/>
      <color theme="0"/>
      <name val="Aptos"/>
      <family val="2"/>
    </font>
    <font>
      <b/>
      <sz val="28"/>
      <color theme="1"/>
      <name val="Aptos"/>
      <family val="2"/>
    </font>
    <font>
      <b/>
      <sz val="28"/>
      <name val="Aptos"/>
      <family val="2"/>
    </font>
    <font>
      <b/>
      <sz val="36"/>
      <color theme="1"/>
      <name val="Aptos"/>
      <family val="2"/>
    </font>
  </fonts>
  <fills count="56">
    <fill>
      <patternFill patternType="none"/>
    </fill>
    <fill>
      <patternFill patternType="gray125"/>
    </fill>
    <fill>
      <patternFill patternType="solid">
        <fgColor indexed="9"/>
        <bgColor indexed="64"/>
      </patternFill>
    </fill>
    <fill>
      <patternFill patternType="solid">
        <fgColor rgb="FF58D4CC"/>
        <bgColor indexed="64"/>
      </patternFill>
    </fill>
    <fill>
      <patternFill patternType="solid">
        <fgColor rgb="FF02A39C"/>
        <bgColor indexed="64"/>
      </patternFill>
    </fill>
    <fill>
      <patternFill patternType="solid">
        <fgColor rgb="FFA3D961"/>
        <bgColor indexed="64"/>
      </patternFill>
    </fill>
    <fill>
      <patternFill patternType="solid">
        <fgColor rgb="FFA3D9FF"/>
        <bgColor indexed="64"/>
      </patternFill>
    </fill>
    <fill>
      <patternFill patternType="solid">
        <fgColor theme="9" tint="0.79998168889431442"/>
        <bgColor indexed="64"/>
      </patternFill>
    </fill>
    <fill>
      <patternFill patternType="solid">
        <fgColor rgb="FF005480"/>
        <bgColor indexed="64"/>
      </patternFill>
    </fill>
    <fill>
      <patternFill patternType="solid">
        <fgColor rgb="FFFFFF00"/>
        <bgColor indexed="64"/>
      </patternFill>
    </fill>
    <fill>
      <patternFill patternType="solid">
        <fgColor theme="0"/>
        <bgColor indexed="64"/>
      </patternFill>
    </fill>
    <fill>
      <patternFill patternType="solid">
        <fgColor indexed="44"/>
        <bgColor indexed="64"/>
      </patternFill>
    </fill>
    <fill>
      <patternFill patternType="solid">
        <fgColor theme="9" tint="0.599963377788628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028882"/>
        <bgColor indexed="64"/>
      </patternFill>
    </fill>
    <fill>
      <patternFill patternType="solid">
        <fgColor rgb="FFA5A5A5"/>
      </patternFill>
    </fill>
    <fill>
      <patternFill patternType="solid">
        <fgColor rgb="FFC9E9FF"/>
        <bgColor indexed="64"/>
      </patternFill>
    </fill>
    <fill>
      <patternFill patternType="solid">
        <fgColor rgb="FFFFFFB9"/>
        <bgColor indexed="64"/>
      </patternFill>
    </fill>
    <fill>
      <patternFill patternType="solid">
        <fgColor theme="9" tint="0.39997558519241921"/>
        <bgColor indexed="64"/>
      </patternFill>
    </fill>
    <fill>
      <patternFill patternType="mediumGray"/>
    </fill>
    <fill>
      <patternFill patternType="solid">
        <fgColor theme="9" tint="-0.249977111117893"/>
        <bgColor indexed="64"/>
      </patternFill>
    </fill>
    <fill>
      <patternFill patternType="solid">
        <fgColor theme="4" tint="0.39997558519241921"/>
        <bgColor indexed="64"/>
      </patternFill>
    </fill>
    <fill>
      <patternFill patternType="solid">
        <fgColor rgb="FFFFE07D"/>
        <bgColor indexed="64"/>
      </patternFill>
    </fill>
    <fill>
      <patternFill patternType="solid">
        <fgColor theme="9" tint="-0.499984740745262"/>
        <bgColor indexed="64"/>
      </patternFill>
    </fill>
    <fill>
      <patternFill patternType="solid">
        <fgColor theme="1"/>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01635E"/>
        <bgColor indexed="64"/>
      </patternFill>
    </fill>
    <fill>
      <patternFill patternType="solid">
        <fgColor rgb="FFA9D08E"/>
        <bgColor indexed="64"/>
      </patternFill>
    </fill>
    <fill>
      <patternFill patternType="solid">
        <fgColor rgb="FFC6E0B4"/>
        <bgColor indexed="64"/>
      </patternFill>
    </fill>
    <fill>
      <patternFill patternType="solid">
        <fgColor rgb="FFE2EFDA"/>
        <bgColor indexed="64"/>
      </patternFill>
    </fill>
    <fill>
      <patternFill patternType="solid">
        <fgColor rgb="FF014744"/>
        <bgColor indexed="64"/>
      </patternFill>
    </fill>
    <fill>
      <patternFill patternType="solid">
        <fgColor rgb="FF75B34B"/>
        <bgColor indexed="64"/>
      </patternFill>
    </fill>
    <fill>
      <patternFill patternType="solid">
        <fgColor rgb="FF9BC2E6"/>
        <bgColor indexed="64"/>
      </patternFill>
    </fill>
    <fill>
      <patternFill patternType="solid">
        <fgColor rgb="FFFFD757"/>
        <bgColor indexed="64"/>
      </patternFill>
    </fill>
    <fill>
      <patternFill patternType="solid">
        <fgColor rgb="FF02BEB5"/>
        <bgColor indexed="64"/>
      </patternFill>
    </fill>
    <fill>
      <patternFill patternType="solid">
        <fgColor rgb="FF02AEA6"/>
        <bgColor indexed="64"/>
      </patternFill>
    </fill>
    <fill>
      <patternFill patternType="solid">
        <fgColor rgb="FFFFE699"/>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D85B"/>
        <bgColor indexed="64"/>
      </patternFill>
    </fill>
    <fill>
      <patternFill patternType="solid">
        <fgColor rgb="FFF1F7ED"/>
        <bgColor indexed="64"/>
      </patternFill>
    </fill>
    <fill>
      <patternFill patternType="solid">
        <fgColor rgb="FF85BD5F"/>
        <bgColor indexed="64"/>
      </patternFill>
    </fill>
    <fill>
      <patternFill patternType="solid">
        <fgColor rgb="FFF2F8EE"/>
        <bgColor indexed="64"/>
      </patternFill>
    </fill>
    <fill>
      <patternFill patternType="solid">
        <fgColor rgb="FF000000"/>
        <bgColor indexed="64"/>
      </patternFill>
    </fill>
    <fill>
      <patternFill patternType="solid">
        <fgColor rgb="FF00B0F0"/>
        <bgColor indexed="64"/>
      </patternFill>
    </fill>
    <fill>
      <patternFill patternType="solid">
        <fgColor rgb="FFFFFFFF"/>
        <bgColor indexed="64"/>
      </patternFill>
    </fill>
    <fill>
      <patternFill patternType="solid">
        <fgColor rgb="FFDDE7F1"/>
        <bgColor indexed="64"/>
      </patternFill>
    </fill>
    <fill>
      <patternFill patternType="solid">
        <fgColor rgb="FFD0DDED"/>
        <bgColor indexed="64"/>
      </patternFill>
    </fill>
    <fill>
      <patternFill patternType="solid">
        <fgColor rgb="FFE9F0F8"/>
        <bgColor indexed="64"/>
      </patternFill>
    </fill>
    <fill>
      <patternFill patternType="solid">
        <fgColor rgb="FFF1F4F9"/>
        <bgColor indexed="64"/>
      </patternFill>
    </fill>
  </fills>
  <borders count="26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bottom style="thin">
        <color indexed="9"/>
      </bottom>
      <diagonal/>
    </border>
    <border>
      <left/>
      <right/>
      <top style="thick">
        <color rgb="FF02A39C"/>
      </top>
      <bottom style="thick">
        <color rgb="FF02A39C"/>
      </bottom>
      <diagonal/>
    </border>
    <border>
      <left style="thin">
        <color rgb="FFA3D961"/>
      </left>
      <right style="thin">
        <color rgb="FFA3D961"/>
      </right>
      <top style="thin">
        <color rgb="FFA3D961"/>
      </top>
      <bottom style="thin">
        <color rgb="FFA3D961"/>
      </bottom>
      <diagonal/>
    </border>
    <border>
      <left/>
      <right style="thin">
        <color rgb="FFA3D961"/>
      </right>
      <top style="thin">
        <color rgb="FFA3D961"/>
      </top>
      <bottom style="thin">
        <color rgb="FFA3D961"/>
      </bottom>
      <diagonal/>
    </border>
    <border>
      <left/>
      <right/>
      <top style="thin">
        <color rgb="FFA3D961"/>
      </top>
      <bottom style="thin">
        <color rgb="FFA3D961"/>
      </bottom>
      <diagonal/>
    </border>
    <border>
      <left style="thin">
        <color rgb="FFA3D961"/>
      </left>
      <right/>
      <top style="thin">
        <color rgb="FFA3D961"/>
      </top>
      <bottom style="thin">
        <color rgb="FFA3D961"/>
      </bottom>
      <diagonal/>
    </border>
    <border>
      <left style="thin">
        <color rgb="FFA3D961"/>
      </left>
      <right style="thin">
        <color rgb="FFA3D961"/>
      </right>
      <top/>
      <bottom style="thin">
        <color rgb="FFA3D961"/>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top/>
      <bottom style="thin">
        <color rgb="FFA3D961"/>
      </bottom>
      <diagonal/>
    </border>
    <border>
      <left/>
      <right style="thin">
        <color rgb="FFA3D961"/>
      </right>
      <top/>
      <bottom style="thin">
        <color rgb="FFA3D961"/>
      </bottom>
      <diagonal/>
    </border>
    <border>
      <left style="double">
        <color rgb="FF3F3F3F"/>
      </left>
      <right style="double">
        <color rgb="FF3F3F3F"/>
      </right>
      <top style="double">
        <color rgb="FF3F3F3F"/>
      </top>
      <bottom style="double">
        <color rgb="FF3F3F3F"/>
      </bottom>
      <diagonal/>
    </border>
    <border>
      <left/>
      <right/>
      <top/>
      <bottom style="thin">
        <color rgb="FF02A39C"/>
      </bottom>
      <diagonal/>
    </border>
    <border>
      <left/>
      <right/>
      <top style="thin">
        <color rgb="FF02A39C"/>
      </top>
      <bottom/>
      <diagonal/>
    </border>
    <border>
      <left/>
      <right style="thin">
        <color rgb="FF02A39C"/>
      </right>
      <top/>
      <bottom style="thin">
        <color rgb="FF02A39C"/>
      </bottom>
      <diagonal/>
    </border>
    <border>
      <left style="thin">
        <color rgb="FF02A39C"/>
      </left>
      <right/>
      <top/>
      <bottom style="thin">
        <color rgb="FF02A39C"/>
      </bottom>
      <diagonal/>
    </border>
    <border>
      <left style="thin">
        <color rgb="FFA3D961"/>
      </left>
      <right/>
      <top style="thin">
        <color rgb="FFA3D961"/>
      </top>
      <bottom/>
      <diagonal/>
    </border>
    <border>
      <left/>
      <right/>
      <top style="thin">
        <color rgb="FFA3D961"/>
      </top>
      <bottom/>
      <diagonal/>
    </border>
    <border>
      <left/>
      <right style="thin">
        <color rgb="FFA3D961"/>
      </right>
      <top style="thin">
        <color rgb="FFA3D961"/>
      </top>
      <bottom/>
      <diagonal/>
    </border>
    <border>
      <left/>
      <right style="thin">
        <color rgb="FFA3D961"/>
      </right>
      <top/>
      <bottom/>
      <diagonal/>
    </border>
    <border>
      <left style="thin">
        <color rgb="FFA3D961"/>
      </left>
      <right/>
      <top/>
      <bottom style="thin">
        <color rgb="FFA3D961"/>
      </bottom>
      <diagonal/>
    </border>
    <border>
      <left style="thin">
        <color rgb="FF02A39C"/>
      </left>
      <right/>
      <top style="thin">
        <color rgb="FF02A39C"/>
      </top>
      <bottom/>
      <diagonal/>
    </border>
    <border>
      <left/>
      <right style="thin">
        <color rgb="FF02A39C"/>
      </right>
      <top style="thin">
        <color rgb="FF02A39C"/>
      </top>
      <bottom/>
      <diagonal/>
    </border>
    <border>
      <left style="thin">
        <color rgb="FF02A39C"/>
      </left>
      <right/>
      <top/>
      <bottom/>
      <diagonal/>
    </border>
    <border>
      <left/>
      <right style="thin">
        <color rgb="FF02A39C"/>
      </right>
      <top/>
      <bottom/>
      <diagonal/>
    </border>
    <border>
      <left/>
      <right/>
      <top/>
      <bottom style="dashed">
        <color rgb="FF02A39C"/>
      </bottom>
      <diagonal/>
    </border>
    <border>
      <left/>
      <right/>
      <top style="dashed">
        <color rgb="FF02A39C"/>
      </top>
      <bottom style="dashed">
        <color rgb="FF02A39C"/>
      </bottom>
      <diagonal/>
    </border>
    <border>
      <left/>
      <right/>
      <top style="dashed">
        <color rgb="FF02A39C"/>
      </top>
      <bottom/>
      <diagonal/>
    </border>
    <border>
      <left/>
      <right style="dashed">
        <color rgb="FF02A39C"/>
      </right>
      <top/>
      <bottom style="dashed">
        <color rgb="FF02A39C"/>
      </bottom>
      <diagonal/>
    </border>
    <border>
      <left style="dashed">
        <color rgb="FF02A39C"/>
      </left>
      <right/>
      <top/>
      <bottom style="dashed">
        <color rgb="FF02A39C"/>
      </bottom>
      <diagonal/>
    </border>
    <border>
      <left/>
      <right style="dashed">
        <color rgb="FF02A39C"/>
      </right>
      <top style="dashed">
        <color rgb="FF02A39C"/>
      </top>
      <bottom style="dashed">
        <color rgb="FF02A39C"/>
      </bottom>
      <diagonal/>
    </border>
    <border>
      <left style="dashed">
        <color rgb="FF02A39C"/>
      </left>
      <right/>
      <top style="dashed">
        <color rgb="FF02A39C"/>
      </top>
      <bottom style="dashed">
        <color rgb="FF02A39C"/>
      </bottom>
      <diagonal/>
    </border>
    <border>
      <left/>
      <right style="dashed">
        <color rgb="FF02A39C"/>
      </right>
      <top style="dashed">
        <color rgb="FF02A39C"/>
      </top>
      <bottom/>
      <diagonal/>
    </border>
    <border>
      <left style="dashed">
        <color rgb="FF02A39C"/>
      </left>
      <right style="dashed">
        <color rgb="FF02A39C"/>
      </right>
      <top style="dashed">
        <color rgb="FF02A39C"/>
      </top>
      <bottom style="dashed">
        <color rgb="FF02A39C"/>
      </bottom>
      <diagonal/>
    </border>
    <border>
      <left style="dashed">
        <color rgb="FF02A39C"/>
      </left>
      <right style="dashed">
        <color rgb="FF02A39C"/>
      </right>
      <top style="dashed">
        <color rgb="FF02A39C"/>
      </top>
      <bottom/>
      <diagonal/>
    </border>
    <border>
      <left style="dashed">
        <color rgb="FF02A39C"/>
      </left>
      <right style="dashed">
        <color rgb="FF02A39C"/>
      </right>
      <top/>
      <bottom style="dashed">
        <color rgb="FF02A39C"/>
      </bottom>
      <diagonal/>
    </border>
    <border>
      <left/>
      <right style="dashed">
        <color rgb="FF02A39C"/>
      </right>
      <top/>
      <bottom/>
      <diagonal/>
    </border>
    <border>
      <left style="thin">
        <color rgb="FFA3D9FF"/>
      </left>
      <right style="thin">
        <color rgb="FFA3D9FF"/>
      </right>
      <top style="thin">
        <color rgb="FFA3D9FF"/>
      </top>
      <bottom/>
      <diagonal/>
    </border>
    <border>
      <left style="thin">
        <color rgb="FFA3D9FF"/>
      </left>
      <right/>
      <top/>
      <bottom/>
      <diagonal/>
    </border>
    <border>
      <left style="thin">
        <color rgb="FFA3D9FF"/>
      </left>
      <right style="thin">
        <color rgb="FFA3D9FF"/>
      </right>
      <top/>
      <bottom/>
      <diagonal/>
    </border>
    <border>
      <left/>
      <right style="medium">
        <color rgb="FFA3D961"/>
      </right>
      <top/>
      <bottom/>
      <diagonal/>
    </border>
    <border>
      <left style="medium">
        <color rgb="FFA3D961"/>
      </left>
      <right/>
      <top style="medium">
        <color rgb="FFA3D961"/>
      </top>
      <bottom/>
      <diagonal/>
    </border>
    <border>
      <left style="medium">
        <color rgb="FFA3D961"/>
      </left>
      <right/>
      <top style="medium">
        <color rgb="FFA3D961"/>
      </top>
      <bottom style="medium">
        <color rgb="FFA3D961"/>
      </bottom>
      <diagonal/>
    </border>
    <border>
      <left/>
      <right/>
      <top style="medium">
        <color rgb="FFA3D961"/>
      </top>
      <bottom style="medium">
        <color rgb="FFA3D961"/>
      </bottom>
      <diagonal/>
    </border>
    <border>
      <left/>
      <right style="thin">
        <color rgb="FFA3D9FF"/>
      </right>
      <top/>
      <bottom/>
      <diagonal/>
    </border>
    <border>
      <left/>
      <right/>
      <top style="thin">
        <color rgb="FFA3D961"/>
      </top>
      <bottom style="dashed">
        <color rgb="FF02A39C"/>
      </bottom>
      <diagonal/>
    </border>
    <border>
      <left style="thin">
        <color auto="1"/>
      </left>
      <right style="thin">
        <color auto="1"/>
      </right>
      <top/>
      <bottom/>
      <diagonal/>
    </border>
    <border>
      <left style="thin">
        <color auto="1"/>
      </left>
      <right/>
      <top/>
      <bottom/>
      <diagonal/>
    </border>
    <border>
      <left/>
      <right/>
      <top/>
      <bottom style="thin">
        <color indexed="64"/>
      </bottom>
      <diagonal/>
    </border>
    <border>
      <left/>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rgb="FF014744"/>
      </top>
      <bottom/>
      <diagonal/>
    </border>
    <border>
      <left/>
      <right style="thin">
        <color rgb="FF014744"/>
      </right>
      <top style="thin">
        <color rgb="FF014744"/>
      </top>
      <bottom/>
      <diagonal/>
    </border>
    <border>
      <left style="thin">
        <color rgb="FF014744"/>
      </left>
      <right/>
      <top/>
      <bottom/>
      <diagonal/>
    </border>
    <border>
      <left/>
      <right style="thin">
        <color rgb="FF014744"/>
      </right>
      <top/>
      <bottom/>
      <diagonal/>
    </border>
    <border>
      <left/>
      <right/>
      <top style="thin">
        <color rgb="FF02A39C"/>
      </top>
      <bottom style="thin">
        <color rgb="FF02A39C"/>
      </bottom>
      <diagonal/>
    </border>
    <border>
      <left style="thin">
        <color rgb="FFA3D961"/>
      </left>
      <right style="thin">
        <color rgb="FFA3D961"/>
      </right>
      <top style="thin">
        <color rgb="FFA3D961"/>
      </top>
      <bottom/>
      <diagonal/>
    </border>
    <border>
      <left style="thin">
        <color rgb="FF02AEA6"/>
      </left>
      <right/>
      <top style="thin">
        <color rgb="FF02AEA6"/>
      </top>
      <bottom/>
      <diagonal/>
    </border>
    <border>
      <left/>
      <right/>
      <top style="thin">
        <color rgb="FF02AEA6"/>
      </top>
      <bottom/>
      <diagonal/>
    </border>
    <border>
      <left/>
      <right style="thin">
        <color rgb="FF02AEA6"/>
      </right>
      <top style="thin">
        <color rgb="FF02AEA6"/>
      </top>
      <bottom/>
      <diagonal/>
    </border>
    <border>
      <left style="thin">
        <color rgb="FF02AEA6"/>
      </left>
      <right/>
      <top/>
      <bottom/>
      <diagonal/>
    </border>
    <border>
      <left/>
      <right style="thin">
        <color rgb="FF02AEA6"/>
      </right>
      <top/>
      <bottom/>
      <diagonal/>
    </border>
    <border>
      <left style="thin">
        <color rgb="FF014744"/>
      </left>
      <right/>
      <top/>
      <bottom style="thin">
        <color rgb="FF014744"/>
      </bottom>
      <diagonal/>
    </border>
    <border>
      <left/>
      <right/>
      <top/>
      <bottom style="thin">
        <color rgb="FF014744"/>
      </bottom>
      <diagonal/>
    </border>
    <border>
      <left/>
      <right style="thin">
        <color rgb="FF014744"/>
      </right>
      <top/>
      <bottom style="thin">
        <color rgb="FF014744"/>
      </bottom>
      <diagonal/>
    </border>
    <border>
      <left style="thin">
        <color rgb="FF02AEA6"/>
      </left>
      <right style="thin">
        <color rgb="FF02AEA6"/>
      </right>
      <top style="thin">
        <color rgb="FF02AEA6"/>
      </top>
      <bottom style="thin">
        <color rgb="FF02AEA6"/>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thin">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diagonal/>
    </border>
    <border>
      <left style="thin">
        <color rgb="FFFFC000"/>
      </left>
      <right style="thin">
        <color rgb="FFFFC000"/>
      </right>
      <top/>
      <bottom/>
      <diagonal/>
    </border>
    <border>
      <left style="thin">
        <color rgb="FFFFC000"/>
      </left>
      <right style="thin">
        <color rgb="FFFFC000"/>
      </right>
      <top/>
      <bottom style="thin">
        <color rgb="FFFFC000"/>
      </bottom>
      <diagonal/>
    </border>
    <border>
      <left style="thin">
        <color rgb="FFFFC000"/>
      </left>
      <right/>
      <top style="thin">
        <color rgb="FFFFC000"/>
      </top>
      <bottom style="thin">
        <color rgb="FFFFC000"/>
      </bottom>
      <diagonal/>
    </border>
    <border>
      <left/>
      <right/>
      <top style="thin">
        <color rgb="FFFFC000"/>
      </top>
      <bottom style="thin">
        <color rgb="FFFFC000"/>
      </bottom>
      <diagonal/>
    </border>
    <border>
      <left/>
      <right style="thin">
        <color rgb="FFFFC000"/>
      </right>
      <top style="thin">
        <color rgb="FFFFC000"/>
      </top>
      <bottom style="thin">
        <color rgb="FFFFC000"/>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right style="thin">
        <color rgb="FFFFC000"/>
      </right>
      <top/>
      <bottom/>
      <diagonal/>
    </border>
    <border>
      <left style="thin">
        <color rgb="FFFFC000"/>
      </left>
      <right/>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rgb="FFFFC000"/>
      </left>
      <right/>
      <top/>
      <bottom style="thin">
        <color rgb="FFFFC000"/>
      </bottom>
      <diagonal/>
    </border>
    <border>
      <left style="thick">
        <color rgb="FF02A39C"/>
      </left>
      <right style="thick">
        <color rgb="FF02A39C"/>
      </right>
      <top style="thick">
        <color rgb="FF02A39C"/>
      </top>
      <bottom/>
      <diagonal/>
    </border>
    <border>
      <left style="thick">
        <color rgb="FF02A39C"/>
      </left>
      <right style="thick">
        <color rgb="FF02A39C"/>
      </right>
      <top/>
      <bottom/>
      <diagonal/>
    </border>
    <border>
      <left style="thick">
        <color rgb="FF02A39C"/>
      </left>
      <right style="thick">
        <color rgb="FF02A39C"/>
      </right>
      <top/>
      <bottom style="thick">
        <color rgb="FF02A39C"/>
      </bottom>
      <diagonal/>
    </border>
    <border>
      <left/>
      <right style="thick">
        <color rgb="FF02A39C"/>
      </right>
      <top style="thin">
        <color indexed="64"/>
      </top>
      <bottom style="thin">
        <color indexed="64"/>
      </bottom>
      <diagonal/>
    </border>
    <border>
      <left/>
      <right style="thick">
        <color rgb="FF02A39C"/>
      </right>
      <top/>
      <bottom style="thin">
        <color indexed="64"/>
      </bottom>
      <diagonal/>
    </border>
    <border>
      <left style="thick">
        <color rgb="FF02A39C"/>
      </left>
      <right style="thick">
        <color rgb="FF02A39C"/>
      </right>
      <top style="medium">
        <color rgb="FF02A39C"/>
      </top>
      <bottom style="medium">
        <color rgb="FF02A39C"/>
      </bottom>
      <diagonal/>
    </border>
    <border>
      <left style="thick">
        <color rgb="FF02A39C"/>
      </left>
      <right style="thick">
        <color rgb="FF02A39C"/>
      </right>
      <top style="thick">
        <color rgb="FF02A39C"/>
      </top>
      <bottom style="thick">
        <color rgb="FF02A39C"/>
      </bottom>
      <diagonal/>
    </border>
    <border>
      <left style="thin">
        <color rgb="FFE2AC00"/>
      </left>
      <right style="thin">
        <color rgb="FFE2AC00"/>
      </right>
      <top style="thin">
        <color rgb="FFE2AC00"/>
      </top>
      <bottom style="thin">
        <color rgb="FFE2AC00"/>
      </bottom>
      <diagonal/>
    </border>
    <border>
      <left style="thin">
        <color rgb="FFE2AC00"/>
      </left>
      <right/>
      <top style="thin">
        <color rgb="FFE2AC00"/>
      </top>
      <bottom/>
      <diagonal/>
    </border>
    <border>
      <left/>
      <right/>
      <top style="thin">
        <color rgb="FFE2AC00"/>
      </top>
      <bottom/>
      <diagonal/>
    </border>
    <border>
      <left/>
      <right style="thin">
        <color rgb="FFE2AC00"/>
      </right>
      <top style="thin">
        <color rgb="FFE2AC00"/>
      </top>
      <bottom/>
      <diagonal/>
    </border>
    <border>
      <left style="thin">
        <color theme="9" tint="0.39994506668294322"/>
      </left>
      <right/>
      <top style="thin">
        <color theme="9" tint="0.39994506668294322"/>
      </top>
      <bottom/>
      <diagonal/>
    </border>
    <border>
      <left/>
      <right/>
      <top style="thin">
        <color theme="9" tint="0.39994506668294322"/>
      </top>
      <bottom/>
      <diagonal/>
    </border>
    <border>
      <left/>
      <right style="thin">
        <color theme="9" tint="0.39994506668294322"/>
      </right>
      <top style="thin">
        <color theme="9" tint="0.39994506668294322"/>
      </top>
      <bottom/>
      <diagonal/>
    </border>
    <border>
      <left style="thin">
        <color theme="9" tint="0.39994506668294322"/>
      </left>
      <right/>
      <top/>
      <bottom/>
      <diagonal/>
    </border>
    <border>
      <left/>
      <right style="thin">
        <color theme="9" tint="0.39994506668294322"/>
      </right>
      <top/>
      <bottom/>
      <diagonal/>
    </border>
    <border>
      <left style="thin">
        <color theme="9" tint="0.39994506668294322"/>
      </left>
      <right/>
      <top/>
      <bottom style="thin">
        <color theme="9" tint="0.39994506668294322"/>
      </bottom>
      <diagonal/>
    </border>
    <border>
      <left/>
      <right/>
      <top/>
      <bottom style="thin">
        <color theme="9" tint="0.39994506668294322"/>
      </bottom>
      <diagonal/>
    </border>
    <border>
      <left/>
      <right style="thin">
        <color theme="9" tint="0.39994506668294322"/>
      </right>
      <top/>
      <bottom style="thin">
        <color theme="9" tint="0.39994506668294322"/>
      </bottom>
      <diagonal/>
    </border>
    <border>
      <left style="thin">
        <color rgb="FF014744"/>
      </left>
      <right/>
      <top style="thin">
        <color rgb="FF014744"/>
      </top>
      <bottom/>
      <diagonal/>
    </border>
    <border>
      <left style="thin">
        <color rgb="FFE2AC00"/>
      </left>
      <right style="thin">
        <color rgb="FFFFC000"/>
      </right>
      <top style="thin">
        <color rgb="FFFFC000"/>
      </top>
      <bottom/>
      <diagonal/>
    </border>
    <border>
      <left/>
      <right style="thin">
        <color rgb="FFE2AC00"/>
      </right>
      <top style="thin">
        <color rgb="FFFFC000"/>
      </top>
      <bottom style="thin">
        <color rgb="FFFFC000"/>
      </bottom>
      <diagonal/>
    </border>
    <border>
      <left style="thin">
        <color rgb="FFE2AC00"/>
      </left>
      <right style="thin">
        <color rgb="FFFFC000"/>
      </right>
      <top style="thin">
        <color rgb="FFFFC000"/>
      </top>
      <bottom style="thin">
        <color rgb="FFE2AC00"/>
      </bottom>
      <diagonal/>
    </border>
    <border>
      <left style="thin">
        <color rgb="FFFFC000"/>
      </left>
      <right style="thin">
        <color rgb="FFFFC000"/>
      </right>
      <top style="thin">
        <color rgb="FFFFC000"/>
      </top>
      <bottom style="thin">
        <color rgb="FFE2AC00"/>
      </bottom>
      <diagonal/>
    </border>
    <border>
      <left style="thin">
        <color rgb="FFFFC000"/>
      </left>
      <right style="thin">
        <color rgb="FFE2AC00"/>
      </right>
      <top style="thin">
        <color rgb="FFFFC000"/>
      </top>
      <bottom style="thin">
        <color rgb="FFE2AC00"/>
      </bottom>
      <diagonal/>
    </border>
    <border>
      <left style="thin">
        <color rgb="FFE2AC00"/>
      </left>
      <right/>
      <top style="thin">
        <color rgb="FFE2AC00"/>
      </top>
      <bottom style="thin">
        <color rgb="FFE2AC00"/>
      </bottom>
      <diagonal/>
    </border>
    <border>
      <left/>
      <right style="thin">
        <color rgb="FFE2AC00"/>
      </right>
      <top style="thin">
        <color rgb="FFE2AC00"/>
      </top>
      <bottom style="thin">
        <color rgb="FFE2AC00"/>
      </bottom>
      <diagonal/>
    </border>
    <border>
      <left/>
      <right/>
      <top style="thin">
        <color rgb="FFE2AC00"/>
      </top>
      <bottom style="thin">
        <color rgb="FFE2AC00"/>
      </bottom>
      <diagonal/>
    </border>
    <border>
      <left style="thin">
        <color rgb="FFE2AC00"/>
      </left>
      <right style="thin">
        <color rgb="FFFFC000"/>
      </right>
      <top/>
      <bottom/>
      <diagonal/>
    </border>
    <border>
      <left style="thin">
        <color rgb="FFE2AC00"/>
      </left>
      <right/>
      <top style="thin">
        <color rgb="FFE2AC00"/>
      </top>
      <bottom style="thin">
        <color rgb="FFFFC000"/>
      </bottom>
      <diagonal/>
    </border>
    <border>
      <left/>
      <right/>
      <top style="thin">
        <color rgb="FFE2AC00"/>
      </top>
      <bottom style="thin">
        <color rgb="FFFFC000"/>
      </bottom>
      <diagonal/>
    </border>
    <border>
      <left/>
      <right style="thin">
        <color rgb="FFE2AC00"/>
      </right>
      <top style="thin">
        <color rgb="FFE2AC00"/>
      </top>
      <bottom style="thin">
        <color rgb="FFFFC000"/>
      </bottom>
      <diagonal/>
    </border>
    <border>
      <left/>
      <right style="thin">
        <color rgb="FFE2AC00"/>
      </right>
      <top style="thin">
        <color rgb="FFFFC000"/>
      </top>
      <bottom/>
      <diagonal/>
    </border>
    <border>
      <left/>
      <right style="thin">
        <color rgb="FFE2AC00"/>
      </right>
      <top/>
      <bottom style="thin">
        <color rgb="FFFFC000"/>
      </bottom>
      <diagonal/>
    </border>
    <border>
      <left style="thin">
        <color rgb="FFE2AC00"/>
      </left>
      <right style="thin">
        <color rgb="FFFFC000"/>
      </right>
      <top style="thin">
        <color rgb="FFE2AC00"/>
      </top>
      <bottom style="thin">
        <color rgb="FFE2AC00"/>
      </bottom>
      <diagonal/>
    </border>
    <border>
      <left/>
      <right style="thin">
        <color rgb="FFE2AC00"/>
      </right>
      <top/>
      <bottom/>
      <diagonal/>
    </border>
    <border>
      <left style="medium">
        <color rgb="FF85BD5F"/>
      </left>
      <right/>
      <top style="medium">
        <color rgb="FF85BD5F"/>
      </top>
      <bottom/>
      <diagonal/>
    </border>
    <border>
      <left/>
      <right/>
      <top style="medium">
        <color rgb="FF85BD5F"/>
      </top>
      <bottom/>
      <diagonal/>
    </border>
    <border>
      <left/>
      <right style="medium">
        <color rgb="FF85BD5F"/>
      </right>
      <top style="medium">
        <color rgb="FF85BD5F"/>
      </top>
      <bottom/>
      <diagonal/>
    </border>
    <border>
      <left style="medium">
        <color rgb="FF85BD5F"/>
      </left>
      <right/>
      <top/>
      <bottom/>
      <diagonal/>
    </border>
    <border>
      <left style="medium">
        <color rgb="FF85BD5F"/>
      </left>
      <right/>
      <top/>
      <bottom style="medium">
        <color rgb="FF85BD5F"/>
      </bottom>
      <diagonal/>
    </border>
    <border>
      <left style="medium">
        <color rgb="FFA3D961"/>
      </left>
      <right/>
      <top/>
      <bottom style="medium">
        <color rgb="FFA3D961"/>
      </bottom>
      <diagonal/>
    </border>
    <border>
      <left style="medium">
        <color rgb="FF85BD5F"/>
      </left>
      <right style="thin">
        <color rgb="FFA3D961"/>
      </right>
      <top/>
      <bottom style="medium">
        <color rgb="FFA3D961"/>
      </bottom>
      <diagonal/>
    </border>
    <border>
      <left style="medium">
        <color rgb="FF85BD5F"/>
      </left>
      <right style="thin">
        <color rgb="FFA3D961"/>
      </right>
      <top style="medium">
        <color rgb="FFA3D961"/>
      </top>
      <bottom style="medium">
        <color rgb="FFA3D961"/>
      </bottom>
      <diagonal/>
    </border>
    <border>
      <left/>
      <right style="thin">
        <color rgb="FFA3D961"/>
      </right>
      <top style="medium">
        <color rgb="FFA3D961"/>
      </top>
      <bottom style="medium">
        <color rgb="FFA3D961"/>
      </bottom>
      <diagonal/>
    </border>
    <border>
      <left style="thin">
        <color rgb="FFA3D961"/>
      </left>
      <right style="medium">
        <color rgb="FFA3D961"/>
      </right>
      <top style="medium">
        <color rgb="FFA3D961"/>
      </top>
      <bottom style="medium">
        <color rgb="FFA3D961"/>
      </bottom>
      <diagonal/>
    </border>
    <border>
      <left style="medium">
        <color rgb="FFA3D961"/>
      </left>
      <right style="medium">
        <color rgb="FF85BD5F"/>
      </right>
      <top/>
      <bottom style="medium">
        <color rgb="FFA3D961"/>
      </bottom>
      <diagonal/>
    </border>
    <border>
      <left/>
      <right style="medium">
        <color rgb="FF85BD5F"/>
      </right>
      <top/>
      <bottom/>
      <diagonal/>
    </border>
    <border>
      <left style="thin">
        <color indexed="9"/>
      </left>
      <right/>
      <top/>
      <bottom/>
      <diagonal/>
    </border>
    <border>
      <left style="thin">
        <color indexed="9"/>
      </left>
      <right/>
      <top/>
      <bottom style="thin">
        <color indexed="9"/>
      </bottom>
      <diagonal/>
    </border>
    <border>
      <left style="thin">
        <color rgb="FFFFC000"/>
      </left>
      <right style="thin">
        <color rgb="FFE2AC00"/>
      </right>
      <top style="thin">
        <color rgb="FFFFC000"/>
      </top>
      <bottom style="thin">
        <color rgb="FFFFC000"/>
      </bottom>
      <diagonal/>
    </border>
    <border>
      <left style="thin">
        <color rgb="FFE2AC00"/>
      </left>
      <right style="thin">
        <color rgb="FFFFC000"/>
      </right>
      <top/>
      <bottom style="thin">
        <color rgb="FFE2AC00"/>
      </bottom>
      <diagonal/>
    </border>
    <border>
      <left style="thin">
        <color rgb="FFFFC000"/>
      </left>
      <right/>
      <top style="thin">
        <color rgb="FFFFC000"/>
      </top>
      <bottom style="thin">
        <color rgb="FFE2AC00"/>
      </bottom>
      <diagonal/>
    </border>
    <border>
      <left/>
      <right/>
      <top style="thin">
        <color rgb="FFFFC000"/>
      </top>
      <bottom style="thin">
        <color rgb="FFE2AC00"/>
      </bottom>
      <diagonal/>
    </border>
    <border>
      <left/>
      <right style="thin">
        <color rgb="FFE2AC00"/>
      </right>
      <top style="thin">
        <color rgb="FFFFC000"/>
      </top>
      <bottom style="thin">
        <color rgb="FFE2AC00"/>
      </bottom>
      <diagonal/>
    </border>
    <border>
      <left style="thin">
        <color rgb="FF014744"/>
      </left>
      <right style="thin">
        <color rgb="FF014744"/>
      </right>
      <top style="thin">
        <color rgb="FF014744"/>
      </top>
      <bottom style="thin">
        <color rgb="FF014744"/>
      </bottom>
      <diagonal/>
    </border>
    <border>
      <left style="thin">
        <color rgb="FF014744"/>
      </left>
      <right/>
      <top style="thin">
        <color rgb="FF014744"/>
      </top>
      <bottom style="thin">
        <color rgb="FF014744"/>
      </bottom>
      <diagonal/>
    </border>
    <border>
      <left/>
      <right style="thin">
        <color rgb="FF014744"/>
      </right>
      <top style="thin">
        <color rgb="FF014744"/>
      </top>
      <bottom style="thin">
        <color rgb="FF014744"/>
      </bottom>
      <diagonal/>
    </border>
    <border>
      <left/>
      <right/>
      <top style="thin">
        <color rgb="FF014744"/>
      </top>
      <bottom style="thin">
        <color rgb="FF014744"/>
      </bottom>
      <diagonal/>
    </border>
    <border>
      <left style="thin">
        <color rgb="FF02A39C"/>
      </left>
      <right style="thin">
        <color rgb="FF02A39C"/>
      </right>
      <top style="thin">
        <color rgb="FF02A39C"/>
      </top>
      <bottom style="thin">
        <color rgb="FF02A39C"/>
      </bottom>
      <diagonal/>
    </border>
    <border>
      <left style="thin">
        <color rgb="FF02A39C"/>
      </left>
      <right style="thin">
        <color rgb="FF02A39C"/>
      </right>
      <top style="thin">
        <color rgb="FF02A39C"/>
      </top>
      <bottom/>
      <diagonal/>
    </border>
    <border>
      <left style="thin">
        <color rgb="FF02A39C"/>
      </left>
      <right style="thin">
        <color rgb="FF02A39C"/>
      </right>
      <top/>
      <bottom/>
      <diagonal/>
    </border>
    <border>
      <left style="thin">
        <color rgb="FF02A39C"/>
      </left>
      <right style="thin">
        <color rgb="FF02A39C"/>
      </right>
      <top/>
      <bottom style="thin">
        <color rgb="FF02A39C"/>
      </bottom>
      <diagonal/>
    </border>
    <border>
      <left style="thin">
        <color indexed="9"/>
      </left>
      <right style="thin">
        <color indexed="9"/>
      </right>
      <top/>
      <bottom/>
      <diagonal/>
    </border>
    <border>
      <left style="thin">
        <color rgb="FF02A39C"/>
      </left>
      <right/>
      <top style="thin">
        <color rgb="FF02A39C"/>
      </top>
      <bottom style="thin">
        <color rgb="FF02A39C"/>
      </bottom>
      <diagonal/>
    </border>
    <border>
      <left/>
      <right style="thin">
        <color rgb="FF02A39C"/>
      </right>
      <top style="thin">
        <color rgb="FF02A39C"/>
      </top>
      <bottom style="thin">
        <color rgb="FF02A39C"/>
      </bottom>
      <diagonal/>
    </border>
    <border>
      <left style="thin">
        <color rgb="FF028882"/>
      </left>
      <right style="thin">
        <color rgb="FF028882"/>
      </right>
      <top style="thin">
        <color rgb="FF028882"/>
      </top>
      <bottom style="thin">
        <color rgb="FF028882"/>
      </bottom>
      <diagonal/>
    </border>
    <border>
      <left style="thin">
        <color rgb="FF028882"/>
      </left>
      <right style="thin">
        <color rgb="FF000000"/>
      </right>
      <top style="thin">
        <color rgb="FF028882"/>
      </top>
      <bottom style="thin">
        <color rgb="FF000000"/>
      </bottom>
      <diagonal/>
    </border>
    <border>
      <left style="thin">
        <color rgb="FF028882"/>
      </left>
      <right style="thin">
        <color rgb="FF000000"/>
      </right>
      <top style="thin">
        <color rgb="FF000000"/>
      </top>
      <bottom style="thin">
        <color rgb="FF000000"/>
      </bottom>
      <diagonal/>
    </border>
    <border>
      <left style="thin">
        <color rgb="FF000000"/>
      </left>
      <right style="thin">
        <color rgb="FF028882"/>
      </right>
      <top style="thin">
        <color rgb="FF000000"/>
      </top>
      <bottom style="thin">
        <color rgb="FF000000"/>
      </bottom>
      <diagonal/>
    </border>
    <border>
      <left style="thin">
        <color rgb="FF028882"/>
      </left>
      <right style="thin">
        <color rgb="FF000000"/>
      </right>
      <top style="thin">
        <color rgb="FF000000"/>
      </top>
      <bottom style="thin">
        <color rgb="FF028882"/>
      </bottom>
      <diagonal/>
    </border>
    <border>
      <left style="thin">
        <color rgb="FF000000"/>
      </left>
      <right style="thin">
        <color rgb="FF028882"/>
      </right>
      <top style="thin">
        <color rgb="FF000000"/>
      </top>
      <bottom style="thin">
        <color rgb="FF028882"/>
      </bottom>
      <diagonal/>
    </border>
    <border>
      <left style="thin">
        <color rgb="FF028882"/>
      </left>
      <right style="thin">
        <color rgb="FF028882"/>
      </right>
      <top style="thin">
        <color rgb="FF028882"/>
      </top>
      <bottom style="thin">
        <color rgb="FF000000"/>
      </bottom>
      <diagonal/>
    </border>
    <border>
      <left style="thin">
        <color rgb="FF028882"/>
      </left>
      <right style="thin">
        <color rgb="FF028882"/>
      </right>
      <top style="thin">
        <color rgb="FF000000"/>
      </top>
      <bottom style="thin">
        <color rgb="FF000000"/>
      </bottom>
      <diagonal/>
    </border>
    <border>
      <left style="thin">
        <color rgb="FF028882"/>
      </left>
      <right style="thin">
        <color rgb="FF028882"/>
      </right>
      <top style="thin">
        <color rgb="FF000000"/>
      </top>
      <bottom style="thin">
        <color rgb="FF028882"/>
      </bottom>
      <diagonal/>
    </border>
    <border>
      <left style="thin">
        <color rgb="FFA3D961"/>
      </left>
      <right/>
      <top/>
      <bottom/>
      <diagonal/>
    </border>
    <border>
      <left style="thin">
        <color rgb="FFA3D961"/>
      </left>
      <right/>
      <top/>
      <bottom style="thin">
        <color theme="1"/>
      </bottom>
      <diagonal/>
    </border>
    <border>
      <left style="thin">
        <color rgb="FFA3D961"/>
      </left>
      <right/>
      <top style="thin">
        <color rgb="FFA3D961"/>
      </top>
      <bottom style="thin">
        <color rgb="FF000000"/>
      </bottom>
      <diagonal/>
    </border>
    <border>
      <left/>
      <right/>
      <top/>
      <bottom style="thin">
        <color rgb="FF000000"/>
      </bottom>
      <diagonal/>
    </border>
    <border>
      <left style="medium">
        <color rgb="FFA3D961"/>
      </left>
      <right style="medium">
        <color rgb="FFA3D961"/>
      </right>
      <top style="medium">
        <color rgb="FFA3D961"/>
      </top>
      <bottom style="medium">
        <color rgb="FFA3D961"/>
      </bottom>
      <diagonal/>
    </border>
    <border>
      <left style="medium">
        <color rgb="FFA3D961"/>
      </left>
      <right style="thin">
        <color rgb="FFA3D961"/>
      </right>
      <top style="medium">
        <color rgb="FFA3D961"/>
      </top>
      <bottom style="thin">
        <color rgb="FFA3D961"/>
      </bottom>
      <diagonal/>
    </border>
    <border>
      <left style="thin">
        <color rgb="FFA3D961"/>
      </left>
      <right style="medium">
        <color rgb="FFA3D961"/>
      </right>
      <top style="medium">
        <color rgb="FFA3D961"/>
      </top>
      <bottom style="thin">
        <color rgb="FFA3D961"/>
      </bottom>
      <diagonal/>
    </border>
    <border>
      <left style="medium">
        <color rgb="FFA3D961"/>
      </left>
      <right style="thin">
        <color rgb="FFA3D961"/>
      </right>
      <top style="thin">
        <color rgb="FFA3D961"/>
      </top>
      <bottom style="medium">
        <color rgb="FFA3D961"/>
      </bottom>
      <diagonal/>
    </border>
    <border>
      <left style="thin">
        <color rgb="FFA3D961"/>
      </left>
      <right style="medium">
        <color rgb="FFA3D961"/>
      </right>
      <top style="thin">
        <color rgb="FFA3D961"/>
      </top>
      <bottom style="medium">
        <color rgb="FFA3D961"/>
      </bottom>
      <diagonal/>
    </border>
    <border>
      <left style="medium">
        <color rgb="FF92D050"/>
      </left>
      <right/>
      <top style="medium">
        <color rgb="FF92D050"/>
      </top>
      <bottom/>
      <diagonal/>
    </border>
    <border>
      <left/>
      <right style="medium">
        <color rgb="FF92D050"/>
      </right>
      <top style="medium">
        <color rgb="FF92D050"/>
      </top>
      <bottom/>
      <diagonal/>
    </border>
    <border>
      <left style="medium">
        <color rgb="FFA3D961"/>
      </left>
      <right style="medium">
        <color rgb="FFA3D961"/>
      </right>
      <top style="medium">
        <color rgb="FFA3D961"/>
      </top>
      <bottom/>
      <diagonal/>
    </border>
    <border>
      <left style="medium">
        <color rgb="FFA3D961"/>
      </left>
      <right style="medium">
        <color rgb="FFA3D961"/>
      </right>
      <top style="medium">
        <color rgb="FFA3D961"/>
      </top>
      <bottom style="thin">
        <color rgb="FFA3D961"/>
      </bottom>
      <diagonal/>
    </border>
    <border>
      <left style="medium">
        <color rgb="FFA3D961"/>
      </left>
      <right style="medium">
        <color rgb="FFA3D961"/>
      </right>
      <top style="thin">
        <color rgb="FFA3D961"/>
      </top>
      <bottom style="medium">
        <color rgb="FFA3D961"/>
      </bottom>
      <diagonal/>
    </border>
    <border>
      <left style="thin">
        <color rgb="FFA3D961"/>
      </left>
      <right style="medium">
        <color rgb="FF92D050"/>
      </right>
      <top style="medium">
        <color rgb="FFA3D961"/>
      </top>
      <bottom/>
      <diagonal/>
    </border>
    <border>
      <left style="medium">
        <color rgb="FF92D050"/>
      </left>
      <right style="thin">
        <color rgb="FFA3D961"/>
      </right>
      <top style="medium">
        <color rgb="FFA3D961"/>
      </top>
      <bottom/>
      <diagonal/>
    </border>
    <border>
      <left style="medium">
        <color rgb="FFA3D961"/>
      </left>
      <right style="thin">
        <color rgb="FFA3D961"/>
      </right>
      <top style="medium">
        <color rgb="FFA3D961"/>
      </top>
      <bottom/>
      <diagonal/>
    </border>
    <border>
      <left style="thin">
        <color rgb="FFA3D961"/>
      </left>
      <right style="medium">
        <color rgb="FF92D050"/>
      </right>
      <top style="medium">
        <color rgb="FFA3D961"/>
      </top>
      <bottom style="medium">
        <color rgb="FF92D050"/>
      </bottom>
      <diagonal/>
    </border>
    <border>
      <left style="medium">
        <color rgb="FF92D050"/>
      </left>
      <right style="thin">
        <color rgb="FFA3D961"/>
      </right>
      <top style="medium">
        <color rgb="FFA3D961"/>
      </top>
      <bottom style="medium">
        <color rgb="FF92D050"/>
      </bottom>
      <diagonal/>
    </border>
    <border>
      <left style="medium">
        <color rgb="FFA3D961"/>
      </left>
      <right style="medium">
        <color rgb="FFA3D961"/>
      </right>
      <top/>
      <bottom style="medium">
        <color rgb="FFA3D961"/>
      </bottom>
      <diagonal/>
    </border>
    <border>
      <left style="medium">
        <color rgb="FFA3D961"/>
      </left>
      <right style="medium">
        <color rgb="FFA3D961"/>
      </right>
      <top/>
      <bottom/>
      <diagonal/>
    </border>
    <border>
      <left/>
      <right style="medium">
        <color rgb="FFA3D961"/>
      </right>
      <top style="thin">
        <color rgb="FFA3D961"/>
      </top>
      <bottom style="medium">
        <color rgb="FFA3D961"/>
      </bottom>
      <diagonal/>
    </border>
    <border>
      <left style="medium">
        <color rgb="FF85BD5F"/>
      </left>
      <right style="medium">
        <color rgb="FF85BD5F"/>
      </right>
      <top style="medium">
        <color rgb="FFA3D961"/>
      </top>
      <bottom style="medium">
        <color rgb="FFA3D961"/>
      </bottom>
      <diagonal/>
    </border>
    <border>
      <left style="medium">
        <color rgb="FF92D050"/>
      </left>
      <right style="thin">
        <color rgb="FFA3D961"/>
      </right>
      <top style="medium">
        <color rgb="FFA3D961"/>
      </top>
      <bottom style="medium">
        <color rgb="FFA3D961"/>
      </bottom>
      <diagonal/>
    </border>
    <border>
      <left style="thin">
        <color rgb="FFA3D961"/>
      </left>
      <right style="medium">
        <color rgb="FF92D050"/>
      </right>
      <top style="medium">
        <color rgb="FFA3D961"/>
      </top>
      <bottom style="medium">
        <color rgb="FFA3D961"/>
      </bottom>
      <diagonal/>
    </border>
    <border>
      <left style="medium">
        <color rgb="FF92D050"/>
      </left>
      <right/>
      <top style="medium">
        <color rgb="FFA3D961"/>
      </top>
      <bottom style="medium">
        <color rgb="FFA3D961"/>
      </bottom>
      <diagonal/>
    </border>
    <border>
      <left/>
      <right style="medium">
        <color rgb="FFA3D961"/>
      </right>
      <top style="medium">
        <color rgb="FFA3D961"/>
      </top>
      <bottom style="medium">
        <color rgb="FFA3D961"/>
      </bottom>
      <diagonal/>
    </border>
    <border>
      <left style="medium">
        <color rgb="FFA3D961"/>
      </left>
      <right style="thin">
        <color rgb="FFA3D961"/>
      </right>
      <top style="medium">
        <color rgb="FFA3D961"/>
      </top>
      <bottom style="medium">
        <color rgb="FFA3D961"/>
      </bottom>
      <diagonal/>
    </border>
    <border>
      <left style="thin">
        <color rgb="FFA3D961"/>
      </left>
      <right/>
      <top style="medium">
        <color rgb="FFA3D961"/>
      </top>
      <bottom style="medium">
        <color rgb="FFA3D961"/>
      </bottom>
      <diagonal/>
    </border>
    <border>
      <left style="thin">
        <color rgb="FF02AEA6"/>
      </left>
      <right/>
      <top/>
      <bottom style="thin">
        <color rgb="FF02AEA6"/>
      </bottom>
      <diagonal/>
    </border>
    <border>
      <left/>
      <right/>
      <top/>
      <bottom style="thin">
        <color rgb="FF02AEA6"/>
      </bottom>
      <diagonal/>
    </border>
    <border>
      <left/>
      <right style="thin">
        <color rgb="FF02AEA6"/>
      </right>
      <top/>
      <bottom style="thin">
        <color rgb="FF02AEA6"/>
      </bottom>
      <diagonal/>
    </border>
    <border>
      <left style="medium">
        <color rgb="FF92D050"/>
      </left>
      <right style="thin">
        <color rgb="FFA3D961"/>
      </right>
      <top/>
      <bottom style="medium">
        <color rgb="FFA3D961"/>
      </bottom>
      <diagonal/>
    </border>
    <border>
      <left style="thin">
        <color rgb="FFA3D961"/>
      </left>
      <right style="medium">
        <color rgb="FF92D050"/>
      </right>
      <top/>
      <bottom style="medium">
        <color rgb="FFA3D961"/>
      </bottom>
      <diagonal/>
    </border>
    <border>
      <left style="medium">
        <color rgb="FFA3D961"/>
      </left>
      <right style="thin">
        <color rgb="FFA3D961"/>
      </right>
      <top/>
      <bottom/>
      <diagonal/>
    </border>
    <border>
      <left/>
      <right style="thin">
        <color rgb="FFA3D961"/>
      </right>
      <top style="thin">
        <color rgb="FFA3D961"/>
      </top>
      <bottom style="medium">
        <color rgb="FFA3D961"/>
      </bottom>
      <diagonal/>
    </border>
    <border>
      <left style="medium">
        <color rgb="FFEFEFEF"/>
      </left>
      <right/>
      <top style="medium">
        <color rgb="FFEFEFEF"/>
      </top>
      <bottom/>
      <diagonal/>
    </border>
    <border>
      <left/>
      <right/>
      <top style="medium">
        <color rgb="FFEFEFEF"/>
      </top>
      <bottom/>
      <diagonal/>
    </border>
    <border>
      <left/>
      <right style="medium">
        <color rgb="FFAFAFAF"/>
      </right>
      <top style="medium">
        <color rgb="FFEFEFEF"/>
      </top>
      <bottom/>
      <diagonal/>
    </border>
    <border>
      <left style="medium">
        <color rgb="FFEFEFEF"/>
      </left>
      <right/>
      <top/>
      <bottom/>
      <diagonal/>
    </border>
    <border>
      <left/>
      <right style="medium">
        <color rgb="FFAFAFAF"/>
      </right>
      <top/>
      <bottom/>
      <diagonal/>
    </border>
    <border>
      <left style="medium">
        <color rgb="FFEFEFEF"/>
      </left>
      <right/>
      <top/>
      <bottom style="medium">
        <color rgb="FFAFAFAF"/>
      </bottom>
      <diagonal/>
    </border>
    <border>
      <left/>
      <right/>
      <top/>
      <bottom style="medium">
        <color rgb="FFAFAFAF"/>
      </bottom>
      <diagonal/>
    </border>
    <border>
      <left/>
      <right style="medium">
        <color rgb="FFAFAFAF"/>
      </right>
      <top/>
      <bottom style="medium">
        <color rgb="FFAFAFAF"/>
      </bottom>
      <diagonal/>
    </border>
    <border>
      <left style="medium">
        <color indexed="64"/>
      </left>
      <right style="thin">
        <color indexed="64"/>
      </right>
      <top style="medium">
        <color indexed="64"/>
      </top>
      <bottom/>
      <diagonal/>
    </border>
    <border>
      <left style="dashed">
        <color rgb="FF02A39C"/>
      </left>
      <right style="medium">
        <color indexed="64"/>
      </right>
      <top style="medium">
        <color indexed="64"/>
      </top>
      <bottom style="dashed">
        <color rgb="FF02A39C"/>
      </bottom>
      <diagonal/>
    </border>
    <border>
      <left style="medium">
        <color indexed="64"/>
      </left>
      <right style="dashed">
        <color rgb="FF02A39C"/>
      </right>
      <top style="medium">
        <color indexed="64"/>
      </top>
      <bottom/>
      <diagonal/>
    </border>
    <border>
      <left style="medium">
        <color indexed="64"/>
      </left>
      <right style="dashed">
        <color rgb="FF02A39C"/>
      </right>
      <top/>
      <bottom/>
      <diagonal/>
    </border>
    <border>
      <left style="dashed">
        <color rgb="FF02A39C"/>
      </left>
      <right style="medium">
        <color indexed="64"/>
      </right>
      <top style="dashed">
        <color rgb="FF02A39C"/>
      </top>
      <bottom style="dashed">
        <color rgb="FF02A39C"/>
      </bottom>
      <diagonal/>
    </border>
    <border>
      <left style="medium">
        <color indexed="64"/>
      </left>
      <right style="dashed">
        <color rgb="FF02A39C"/>
      </right>
      <top/>
      <bottom style="medium">
        <color indexed="64"/>
      </bottom>
      <diagonal/>
    </border>
    <border>
      <left style="dashed">
        <color rgb="FF02A39C"/>
      </left>
      <right style="medium">
        <color indexed="64"/>
      </right>
      <top style="dashed">
        <color rgb="FF02A39C"/>
      </top>
      <bottom style="medium">
        <color indexed="64"/>
      </bottom>
      <diagonal/>
    </border>
    <border>
      <left style="thin">
        <color indexed="64"/>
      </left>
      <right style="thick">
        <color rgb="FF02A39C"/>
      </right>
      <top style="thin">
        <color indexed="64"/>
      </top>
      <bottom style="medium">
        <color indexed="64"/>
      </bottom>
      <diagonal/>
    </border>
    <border>
      <left/>
      <right/>
      <top/>
      <bottom style="thin">
        <color rgb="FFE2AC00"/>
      </bottom>
      <diagonal/>
    </border>
  </borders>
  <cellStyleXfs count="246">
    <xf numFmtId="0" fontId="0" fillId="0" borderId="0"/>
    <xf numFmtId="164" fontId="13" fillId="0" borderId="0" applyFont="0" applyFill="0" applyBorder="0" applyAlignment="0" applyProtection="0"/>
    <xf numFmtId="0" fontId="16" fillId="0" borderId="0" applyNumberFormat="0" applyFill="0" applyBorder="0" applyAlignment="0" applyProtection="0"/>
    <xf numFmtId="0" fontId="13" fillId="11" borderId="0" applyNumberFormat="0" applyFont="0" applyBorder="0" applyAlignment="0" applyProtection="0"/>
    <xf numFmtId="0" fontId="13" fillId="12" borderId="0" applyNumberFormat="0" applyFont="0" applyBorder="0" applyAlignment="0">
      <protection locked="0"/>
    </xf>
    <xf numFmtId="167" fontId="20" fillId="10" borderId="0" applyNumberFormat="0" applyBorder="0" applyAlignment="0">
      <alignment horizontal="left" vertical="center"/>
    </xf>
    <xf numFmtId="0" fontId="13" fillId="0" borderId="0"/>
    <xf numFmtId="0" fontId="18" fillId="19" borderId="30" applyNumberFormat="0" applyAlignment="0" applyProtection="0"/>
    <xf numFmtId="0" fontId="14" fillId="0" borderId="0"/>
    <xf numFmtId="0" fontId="64" fillId="0" borderId="0"/>
    <xf numFmtId="0" fontId="13" fillId="0" borderId="0"/>
    <xf numFmtId="0" fontId="13" fillId="0" borderId="0"/>
    <xf numFmtId="0" fontId="65" fillId="0" borderId="12" applyNumberFormat="0" applyBorder="0" applyProtection="0">
      <alignment horizontal="center"/>
    </xf>
    <xf numFmtId="172" fontId="13" fillId="0" borderId="0" applyFont="0" applyFill="0" applyBorder="0" applyAlignment="0" applyProtection="0"/>
    <xf numFmtId="172" fontId="13" fillId="0" borderId="0" applyFont="0" applyFill="0" applyBorder="0" applyAlignment="0" applyProtection="0"/>
    <xf numFmtId="172" fontId="70" fillId="0" borderId="0" applyFont="0" applyFill="0" applyBorder="0" applyAlignment="0" applyProtection="0"/>
    <xf numFmtId="44" fontId="13" fillId="0" borderId="0" applyFont="0" applyFill="0" applyBorder="0" applyAlignment="0" applyProtection="0"/>
    <xf numFmtId="0" fontId="66" fillId="0" borderId="0" applyFill="0" applyBorder="0" applyProtection="0"/>
    <xf numFmtId="0" fontId="73"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13" fillId="0" borderId="0"/>
    <xf numFmtId="0" fontId="13" fillId="0" borderId="0"/>
    <xf numFmtId="0" fontId="13" fillId="0" borderId="0"/>
    <xf numFmtId="0" fontId="7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5" fillId="23" borderId="7" applyNumberFormat="0" applyBorder="0" applyProtection="0">
      <alignment horizont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2" fillId="0" borderId="0" applyFont="0" applyFill="0" applyBorder="0" applyAlignment="0" applyProtection="0"/>
    <xf numFmtId="0" fontId="69" fillId="0" borderId="0" applyNumberFormat="0" applyFill="0" applyProtection="0"/>
    <xf numFmtId="0" fontId="65" fillId="0" borderId="0" applyNumberFormat="0" applyFill="0" applyBorder="0" applyProtection="0">
      <alignment horizontal="left"/>
    </xf>
    <xf numFmtId="172" fontId="14"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cellStyleXfs>
  <cellXfs count="1712">
    <xf numFmtId="0" fontId="0" fillId="0" borderId="0" xfId="0"/>
    <xf numFmtId="0" fontId="0" fillId="0" borderId="0" xfId="0" applyAlignment="1">
      <alignment horizontal="center" vertical="center"/>
    </xf>
    <xf numFmtId="0" fontId="0" fillId="0" borderId="0" xfId="0" applyAlignment="1">
      <alignment horizontal="center"/>
    </xf>
    <xf numFmtId="0" fontId="12" fillId="0" borderId="0" xfId="0" applyFont="1"/>
    <xf numFmtId="0" fontId="0" fillId="4" borderId="0" xfId="0" applyFill="1"/>
    <xf numFmtId="0" fontId="27" fillId="0" borderId="0" xfId="0" applyFont="1"/>
    <xf numFmtId="0" fontId="27" fillId="13" borderId="0" xfId="0" applyFont="1" applyFill="1"/>
    <xf numFmtId="0" fontId="29" fillId="0" borderId="0" xfId="0" applyFont="1"/>
    <xf numFmtId="0" fontId="29" fillId="13" borderId="0" xfId="0" applyFont="1" applyFill="1"/>
    <xf numFmtId="0" fontId="32" fillId="0" borderId="0" xfId="0" applyFont="1"/>
    <xf numFmtId="0" fontId="31" fillId="5" borderId="7" xfId="0" applyFont="1" applyFill="1" applyBorder="1" applyAlignment="1">
      <alignment horizontal="center" vertical="center"/>
    </xf>
    <xf numFmtId="0" fontId="29" fillId="2" borderId="0" xfId="0" applyFont="1" applyFill="1"/>
    <xf numFmtId="0" fontId="31" fillId="3" borderId="7" xfId="0" applyFont="1" applyFill="1" applyBorder="1" applyAlignment="1">
      <alignment horizontal="center" vertical="center"/>
    </xf>
    <xf numFmtId="0" fontId="31" fillId="4" borderId="7" xfId="0" applyFont="1" applyFill="1" applyBorder="1" applyAlignment="1">
      <alignment horizontal="center" vertical="center"/>
    </xf>
    <xf numFmtId="0" fontId="29" fillId="0" borderId="0" xfId="0" applyFont="1" applyAlignment="1">
      <alignment vertical="center"/>
    </xf>
    <xf numFmtId="0" fontId="28" fillId="0" borderId="0" xfId="0" applyFont="1"/>
    <xf numFmtId="0" fontId="29" fillId="13" borderId="0" xfId="0" applyFont="1" applyFill="1" applyAlignment="1">
      <alignment horizontal="left" vertical="center"/>
    </xf>
    <xf numFmtId="0" fontId="29" fillId="13" borderId="0" xfId="0" quotePrefix="1" applyFont="1" applyFill="1" applyAlignment="1">
      <alignment horizontal="left" vertical="center"/>
    </xf>
    <xf numFmtId="0" fontId="27" fillId="0" borderId="0" xfId="0" applyFont="1" applyAlignment="1">
      <alignment horizontal="center" vertical="center"/>
    </xf>
    <xf numFmtId="0" fontId="27" fillId="0" borderId="0" xfId="0" applyFont="1" applyAlignment="1">
      <alignment horizontal="center"/>
    </xf>
    <xf numFmtId="0" fontId="27" fillId="0" borderId="0" xfId="0" applyFont="1" applyAlignment="1">
      <alignment wrapText="1"/>
    </xf>
    <xf numFmtId="0" fontId="31" fillId="8" borderId="7" xfId="0" applyFont="1" applyFill="1" applyBorder="1" applyAlignment="1">
      <alignment horizontal="center" vertical="center"/>
    </xf>
    <xf numFmtId="0" fontId="31" fillId="0" borderId="0" xfId="0" applyFont="1" applyAlignment="1">
      <alignment horizontal="center" vertical="center"/>
    </xf>
    <xf numFmtId="0" fontId="31" fillId="8" borderId="7" xfId="0" applyFont="1" applyFill="1" applyBorder="1" applyAlignment="1">
      <alignment horizontal="center" vertical="center" wrapText="1"/>
    </xf>
    <xf numFmtId="0" fontId="34" fillId="0" borderId="0" xfId="0" applyFont="1"/>
    <xf numFmtId="0" fontId="27" fillId="13" borderId="0" xfId="0" applyFont="1" applyFill="1" applyAlignment="1">
      <alignment horizontal="left" vertical="center"/>
    </xf>
    <xf numFmtId="0" fontId="35" fillId="0" borderId="0" xfId="0" applyFont="1"/>
    <xf numFmtId="0" fontId="34" fillId="0" borderId="0" xfId="0" applyFont="1" applyAlignment="1">
      <alignment horizontal="left" vertical="center"/>
    </xf>
    <xf numFmtId="0" fontId="36" fillId="0" borderId="0" xfId="0" applyFont="1"/>
    <xf numFmtId="0" fontId="26" fillId="0" borderId="0" xfId="0" applyFont="1" applyAlignment="1">
      <alignment horizontal="left" vertical="center"/>
    </xf>
    <xf numFmtId="0" fontId="32" fillId="13" borderId="0" xfId="0" quotePrefix="1" applyFont="1" applyFill="1" applyAlignment="1">
      <alignment vertical="center" wrapText="1"/>
    </xf>
    <xf numFmtId="0" fontId="27" fillId="0" borderId="0" xfId="0" applyFont="1" applyAlignment="1">
      <alignment horizontal="left"/>
    </xf>
    <xf numFmtId="0" fontId="29" fillId="0" borderId="0" xfId="0" quotePrefix="1" applyFont="1" applyAlignment="1">
      <alignment horizontal="left" vertical="center"/>
    </xf>
    <xf numFmtId="0" fontId="29" fillId="0" borderId="0" xfId="0" applyFont="1" applyAlignment="1">
      <alignment horizontal="left" vertical="center"/>
    </xf>
    <xf numFmtId="0" fontId="32" fillId="0" borderId="0" xfId="0" quotePrefix="1" applyFont="1"/>
    <xf numFmtId="0" fontId="27" fillId="13" borderId="0" xfId="0" applyFont="1" applyFill="1" applyAlignment="1">
      <alignment horizontal="center" vertical="center"/>
    </xf>
    <xf numFmtId="0" fontId="34" fillId="13" borderId="0" xfId="0" applyFont="1" applyFill="1"/>
    <xf numFmtId="0" fontId="27" fillId="13" borderId="0" xfId="0" applyFont="1" applyFill="1" applyAlignment="1">
      <alignment vertical="center"/>
    </xf>
    <xf numFmtId="0" fontId="29" fillId="13" borderId="0" xfId="0" applyFont="1" applyFill="1" applyAlignment="1">
      <alignment vertical="center"/>
    </xf>
    <xf numFmtId="1" fontId="27" fillId="6" borderId="7" xfId="0" applyNumberFormat="1" applyFont="1" applyFill="1" applyBorder="1" applyAlignment="1" applyProtection="1">
      <alignment horizontal="center" vertical="center"/>
      <protection locked="0"/>
    </xf>
    <xf numFmtId="170" fontId="27" fillId="6" borderId="7" xfId="0" applyNumberFormat="1" applyFont="1" applyFill="1" applyBorder="1" applyAlignment="1" applyProtection="1">
      <alignment horizontal="center" vertical="center"/>
      <protection locked="0"/>
    </xf>
    <xf numFmtId="0" fontId="0" fillId="0" borderId="0" xfId="0" applyAlignment="1">
      <alignment vertical="top" wrapText="1"/>
    </xf>
    <xf numFmtId="0" fontId="0" fillId="0" borderId="0" xfId="0" applyAlignment="1">
      <alignment vertical="top"/>
    </xf>
    <xf numFmtId="0" fontId="0" fillId="0" borderId="0" xfId="0" applyAlignment="1">
      <alignment vertical="center"/>
    </xf>
    <xf numFmtId="0" fontId="0" fillId="0" borderId="0" xfId="0" applyAlignment="1">
      <alignment horizontal="left" vertical="center" wrapText="1"/>
    </xf>
    <xf numFmtId="0" fontId="0" fillId="0" borderId="0" xfId="0" applyAlignment="1">
      <alignment horizontal="left"/>
    </xf>
    <xf numFmtId="0" fontId="0" fillId="0" borderId="0" xfId="0" applyAlignment="1">
      <alignment wrapText="1"/>
    </xf>
    <xf numFmtId="0" fontId="16" fillId="0" borderId="0" xfId="2"/>
    <xf numFmtId="0" fontId="39" fillId="0" borderId="0" xfId="0" applyFont="1"/>
    <xf numFmtId="0" fontId="40" fillId="0" borderId="0" xfId="0" applyFont="1" applyAlignment="1">
      <alignment horizontal="left"/>
    </xf>
    <xf numFmtId="0" fontId="42" fillId="0" borderId="0" xfId="0" applyFont="1"/>
    <xf numFmtId="0" fontId="15" fillId="0" borderId="0" xfId="0" applyFont="1" applyAlignment="1">
      <alignment horizontal="center" vertical="center"/>
    </xf>
    <xf numFmtId="0" fontId="45" fillId="4" borderId="0" xfId="0" applyFont="1" applyFill="1" applyAlignment="1">
      <alignment vertical="center"/>
    </xf>
    <xf numFmtId="0" fontId="41" fillId="0" borderId="0" xfId="0" applyFont="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xf>
    <xf numFmtId="0" fontId="50" fillId="0" borderId="0" xfId="0" applyFont="1" applyAlignment="1">
      <alignment vertical="center"/>
    </xf>
    <xf numFmtId="0" fontId="50" fillId="4" borderId="32" xfId="0" applyFont="1" applyFill="1" applyBorder="1" applyAlignment="1">
      <alignment vertical="center"/>
    </xf>
    <xf numFmtId="0" fontId="50" fillId="4" borderId="41" xfId="0" applyFont="1" applyFill="1" applyBorder="1" applyAlignment="1">
      <alignment vertical="center"/>
    </xf>
    <xf numFmtId="0" fontId="0" fillId="0" borderId="42" xfId="0" applyBorder="1"/>
    <xf numFmtId="0" fontId="0" fillId="0" borderId="43" xfId="0" applyBorder="1"/>
    <xf numFmtId="0" fontId="0" fillId="0" borderId="34" xfId="0" applyBorder="1"/>
    <xf numFmtId="0" fontId="0" fillId="0" borderId="33" xfId="0" applyBorder="1"/>
    <xf numFmtId="0" fontId="53" fillId="0" borderId="0" xfId="0" applyFont="1" applyAlignment="1">
      <alignment vertical="center" wrapText="1"/>
    </xf>
    <xf numFmtId="0" fontId="39" fillId="0" borderId="0" xfId="0" applyFont="1" applyAlignment="1">
      <alignment horizontal="left" vertical="center" wrapText="1"/>
    </xf>
    <xf numFmtId="0" fontId="38" fillId="0" borderId="0" xfId="0" applyFont="1"/>
    <xf numFmtId="0" fontId="50" fillId="4" borderId="40" xfId="0" applyFont="1" applyFill="1" applyBorder="1" applyAlignment="1">
      <alignment vertical="center"/>
    </xf>
    <xf numFmtId="0" fontId="54" fillId="0" borderId="0" xfId="0" applyFont="1" applyAlignment="1">
      <alignment horizontal="center" vertical="center" wrapText="1"/>
    </xf>
    <xf numFmtId="0" fontId="41" fillId="0" borderId="43" xfId="0" applyFont="1" applyBorder="1" applyAlignment="1">
      <alignment horizontal="center" vertical="center"/>
    </xf>
    <xf numFmtId="0" fontId="39" fillId="0" borderId="43" xfId="0" applyFont="1" applyBorder="1" applyAlignment="1">
      <alignment horizontal="center" vertical="center" wrapText="1"/>
    </xf>
    <xf numFmtId="0" fontId="39" fillId="0" borderId="33" xfId="0" applyFont="1" applyBorder="1" applyAlignment="1">
      <alignment horizontal="center" vertical="center" wrapText="1"/>
    </xf>
    <xf numFmtId="0" fontId="46" fillId="0" borderId="52" xfId="0" applyFont="1" applyBorder="1" applyAlignment="1">
      <alignment horizontal="center" vertical="center" wrapText="1"/>
    </xf>
    <xf numFmtId="0" fontId="46" fillId="0" borderId="50" xfId="0" applyFont="1" applyBorder="1" applyAlignment="1">
      <alignment horizontal="center" vertical="center" wrapText="1"/>
    </xf>
    <xf numFmtId="0" fontId="46" fillId="0" borderId="45" xfId="0" applyFont="1" applyBorder="1" applyAlignment="1">
      <alignment horizontal="left" vertical="center" wrapText="1"/>
    </xf>
    <xf numFmtId="0" fontId="46" fillId="0" borderId="49" xfId="0" applyFont="1" applyBorder="1" applyAlignment="1">
      <alignment horizontal="center" vertical="center" wrapText="1"/>
    </xf>
    <xf numFmtId="0" fontId="39" fillId="0" borderId="31" xfId="0" applyFont="1" applyBorder="1" applyAlignment="1">
      <alignment horizontal="left" vertical="center" wrapText="1"/>
    </xf>
    <xf numFmtId="0" fontId="39" fillId="0" borderId="31" xfId="0" applyFont="1" applyBorder="1" applyAlignment="1">
      <alignment horizontal="center" vertical="center" wrapText="1"/>
    </xf>
    <xf numFmtId="0" fontId="46" fillId="0" borderId="53" xfId="0" applyFont="1" applyBorder="1" applyAlignment="1">
      <alignment horizontal="center" vertical="center" wrapText="1"/>
    </xf>
    <xf numFmtId="0" fontId="46" fillId="0" borderId="48" xfId="0" applyFont="1" applyBorder="1" applyAlignment="1">
      <alignment horizontal="center" vertical="center" wrapText="1"/>
    </xf>
    <xf numFmtId="0" fontId="43" fillId="0" borderId="0" xfId="0" applyFont="1" applyProtection="1">
      <protection locked="0"/>
    </xf>
    <xf numFmtId="0" fontId="33" fillId="0" borderId="0" xfId="0" applyFont="1" applyProtection="1">
      <protection locked="0"/>
    </xf>
    <xf numFmtId="0" fontId="35" fillId="0" borderId="0" xfId="0" applyFont="1" applyAlignment="1">
      <alignment horizontal="left" vertical="top"/>
    </xf>
    <xf numFmtId="0" fontId="46" fillId="20" borderId="52" xfId="0" applyFont="1" applyFill="1" applyBorder="1" applyAlignment="1">
      <alignment horizontal="center" vertical="center" wrapText="1"/>
    </xf>
    <xf numFmtId="0" fontId="55" fillId="0" borderId="48" xfId="0" applyFont="1" applyBorder="1" applyAlignment="1">
      <alignment horizontal="center" wrapText="1"/>
    </xf>
    <xf numFmtId="0" fontId="55" fillId="0" borderId="47" xfId="0" applyFont="1" applyBorder="1" applyAlignment="1">
      <alignment horizontal="center"/>
    </xf>
    <xf numFmtId="0" fontId="38" fillId="0" borderId="48" xfId="0" applyFont="1" applyBorder="1" applyAlignment="1">
      <alignment horizontal="center" wrapText="1"/>
    </xf>
    <xf numFmtId="0" fontId="46" fillId="20" borderId="50" xfId="0" applyFont="1" applyFill="1" applyBorder="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57" fillId="0" borderId="0" xfId="0" applyFont="1" applyAlignment="1">
      <alignment vertical="center"/>
    </xf>
    <xf numFmtId="0" fontId="60" fillId="0" borderId="0" xfId="0" applyFont="1" applyAlignment="1">
      <alignment horizontal="left" wrapText="1"/>
    </xf>
    <xf numFmtId="0" fontId="59" fillId="0" borderId="0" xfId="0" applyFont="1" applyAlignment="1">
      <alignment horizontal="left" vertical="center"/>
    </xf>
    <xf numFmtId="0" fontId="55" fillId="0" borderId="0" xfId="0" applyFont="1" applyAlignment="1">
      <alignment horizontal="left" vertical="center"/>
    </xf>
    <xf numFmtId="0" fontId="55" fillId="0" borderId="0" xfId="0" applyFont="1" applyAlignment="1">
      <alignment horizontal="center" wrapText="1"/>
    </xf>
    <xf numFmtId="0" fontId="77" fillId="0" borderId="0" xfId="0" applyFont="1" applyAlignment="1">
      <alignment horizontal="left" vertical="center" wrapText="1"/>
    </xf>
    <xf numFmtId="0" fontId="77" fillId="0" borderId="0" xfId="0" applyFont="1" applyAlignment="1">
      <alignment vertical="center" wrapText="1"/>
    </xf>
    <xf numFmtId="0" fontId="46" fillId="9" borderId="45" xfId="0" applyFont="1" applyFill="1" applyBorder="1" applyAlignment="1">
      <alignment horizontal="left" vertical="center" wrapText="1"/>
    </xf>
    <xf numFmtId="0" fontId="78" fillId="0" borderId="0" xfId="0" applyFont="1" applyAlignment="1">
      <alignment horizontal="left" wrapText="1"/>
    </xf>
    <xf numFmtId="0" fontId="55" fillId="0" borderId="45" xfId="0" applyFont="1" applyBorder="1" applyAlignment="1">
      <alignment horizontal="left" vertical="center" wrapText="1"/>
    </xf>
    <xf numFmtId="0" fontId="12" fillId="0" borderId="0" xfId="0" applyFont="1" applyAlignment="1">
      <alignment horizontal="center" vertical="center"/>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0" fillId="0" borderId="0" xfId="0" applyFont="1" applyAlignment="1">
      <alignment horizontal="center"/>
    </xf>
    <xf numFmtId="0" fontId="16" fillId="0" borderId="0" xfId="2" applyAlignment="1">
      <alignment horizontal="center" vertical="center"/>
    </xf>
    <xf numFmtId="0" fontId="46" fillId="20" borderId="0" xfId="0" applyFont="1" applyFill="1" applyAlignment="1">
      <alignment horizontal="center" vertical="center" wrapText="1"/>
    </xf>
    <xf numFmtId="0" fontId="80" fillId="0" borderId="0" xfId="0" applyFont="1" applyAlignment="1">
      <alignment horizontal="center" vertical="center"/>
    </xf>
    <xf numFmtId="0" fontId="81" fillId="0" borderId="45" xfId="0" applyFont="1" applyBorder="1" applyAlignment="1">
      <alignment horizontal="left" vertical="center" wrapText="1"/>
    </xf>
    <xf numFmtId="0" fontId="79" fillId="7" borderId="20" xfId="0" applyFont="1" applyFill="1" applyBorder="1" applyAlignment="1">
      <alignment horizontal="center" vertical="center" wrapText="1"/>
    </xf>
    <xf numFmtId="0" fontId="80" fillId="0" borderId="17" xfId="0" applyFont="1" applyBorder="1" applyAlignment="1">
      <alignment horizontal="center" vertical="center" wrapText="1"/>
    </xf>
    <xf numFmtId="0" fontId="80" fillId="0" borderId="20" xfId="0" applyFont="1" applyBorder="1" applyAlignment="1">
      <alignment horizontal="center" vertical="center" wrapText="1"/>
    </xf>
    <xf numFmtId="0" fontId="79" fillId="7" borderId="17" xfId="0" applyFont="1" applyFill="1" applyBorder="1" applyAlignment="1">
      <alignment horizontal="center" vertical="center" wrapText="1"/>
    </xf>
    <xf numFmtId="0" fontId="79" fillId="7" borderId="18" xfId="0" applyFont="1" applyFill="1" applyBorder="1" applyAlignment="1">
      <alignment horizontal="center" vertical="center" wrapText="1"/>
    </xf>
    <xf numFmtId="0" fontId="80" fillId="0" borderId="18" xfId="0" applyFont="1" applyBorder="1" applyAlignment="1">
      <alignment horizontal="left" vertical="center" wrapText="1"/>
    </xf>
    <xf numFmtId="0" fontId="80" fillId="0" borderId="19" xfId="0" applyFont="1" applyBorder="1" applyAlignment="1">
      <alignment horizontal="center" vertical="center" wrapText="1"/>
    </xf>
    <xf numFmtId="0" fontId="59" fillId="4" borderId="0" xfId="0" applyFont="1" applyFill="1" applyAlignment="1">
      <alignment horizontal="left" vertical="center"/>
    </xf>
    <xf numFmtId="0" fontId="59" fillId="4" borderId="42" xfId="0" applyFont="1" applyFill="1" applyBorder="1" applyAlignment="1">
      <alignment horizontal="left" vertical="center"/>
    </xf>
    <xf numFmtId="0" fontId="82" fillId="4" borderId="7" xfId="0" applyFont="1" applyFill="1" applyBorder="1" applyAlignment="1">
      <alignment horizontal="center" vertical="center" wrapText="1"/>
    </xf>
    <xf numFmtId="0" fontId="51" fillId="0" borderId="7" xfId="0" applyFont="1" applyBorder="1" applyAlignment="1">
      <alignment horizontal="center" vertical="center"/>
    </xf>
    <xf numFmtId="165" fontId="80" fillId="0" borderId="17" xfId="0" applyNumberFormat="1" applyFont="1" applyBorder="1" applyAlignment="1">
      <alignment horizontal="center" vertical="center" wrapText="1"/>
    </xf>
    <xf numFmtId="0" fontId="84" fillId="24" borderId="0" xfId="0" applyFont="1" applyFill="1"/>
    <xf numFmtId="0" fontId="85" fillId="24" borderId="0" xfId="0" applyFont="1" applyFill="1"/>
    <xf numFmtId="0" fontId="85" fillId="24" borderId="0" xfId="0" applyFont="1" applyFill="1" applyAlignment="1">
      <alignment horizontal="center" vertical="center"/>
    </xf>
    <xf numFmtId="0" fontId="23" fillId="0" borderId="0" xfId="0" applyFont="1"/>
    <xf numFmtId="0" fontId="23" fillId="0" borderId="0" xfId="0" applyFont="1" applyAlignment="1">
      <alignment horizontal="center" vertical="center"/>
    </xf>
    <xf numFmtId="0" fontId="23" fillId="22" borderId="0" xfId="0" applyFont="1" applyFill="1"/>
    <xf numFmtId="0" fontId="24" fillId="22" borderId="0" xfId="0" applyFont="1" applyFill="1"/>
    <xf numFmtId="0" fontId="23" fillId="22" borderId="0" xfId="0" applyFont="1" applyFill="1" applyAlignment="1">
      <alignment horizontal="center" vertical="center"/>
    </xf>
    <xf numFmtId="0" fontId="80" fillId="0" borderId="0" xfId="0" applyFont="1"/>
    <xf numFmtId="0" fontId="80" fillId="0" borderId="0" xfId="0" applyFont="1" applyAlignment="1">
      <alignment vertical="center"/>
    </xf>
    <xf numFmtId="0" fontId="79" fillId="0" borderId="0" xfId="0" applyFont="1" applyAlignment="1">
      <alignment horizontal="center" vertical="center"/>
    </xf>
    <xf numFmtId="0" fontId="80" fillId="0" borderId="0" xfId="0" applyFont="1" applyAlignment="1">
      <alignment wrapText="1"/>
    </xf>
    <xf numFmtId="2" fontId="80" fillId="0" borderId="20" xfId="0" applyNumberFormat="1" applyFont="1" applyBorder="1" applyAlignment="1">
      <alignment horizontal="center" vertical="center" wrapText="1"/>
    </xf>
    <xf numFmtId="175" fontId="0" fillId="0" borderId="0" xfId="0" applyNumberFormat="1" applyAlignment="1">
      <alignment horizontal="center" vertical="center"/>
    </xf>
    <xf numFmtId="0" fontId="38" fillId="0" borderId="0" xfId="0" applyFont="1" applyAlignment="1">
      <alignment vertical="top"/>
    </xf>
    <xf numFmtId="0" fontId="46" fillId="20" borderId="48" xfId="0" applyFont="1" applyFill="1" applyBorder="1" applyAlignment="1">
      <alignment horizontal="center" vertical="center" wrapText="1"/>
    </xf>
    <xf numFmtId="0" fontId="87" fillId="28" borderId="0" xfId="0" applyFont="1" applyFill="1" applyAlignment="1">
      <alignment horizontal="center" vertical="center" wrapText="1"/>
    </xf>
    <xf numFmtId="0" fontId="89" fillId="0" borderId="0" xfId="0" applyFont="1" applyAlignment="1">
      <alignment vertical="center" wrapText="1"/>
    </xf>
    <xf numFmtId="0" fontId="46" fillId="0" borderId="0" xfId="0" applyFont="1" applyAlignment="1">
      <alignment vertical="center" wrapText="1"/>
    </xf>
    <xf numFmtId="0" fontId="90" fillId="0" borderId="0" xfId="0" applyFont="1"/>
    <xf numFmtId="1" fontId="51" fillId="0" borderId="7" xfId="0" applyNumberFormat="1" applyFont="1" applyBorder="1" applyAlignment="1">
      <alignment horizontal="center" vertical="center"/>
    </xf>
    <xf numFmtId="0" fontId="23" fillId="0" borderId="0" xfId="0" applyFont="1" applyAlignment="1">
      <alignment horizontal="center" vertical="center" wrapText="1"/>
    </xf>
    <xf numFmtId="0" fontId="23" fillId="28" borderId="0" xfId="0" applyFont="1" applyFill="1" applyAlignment="1">
      <alignment horizontal="center" vertical="center"/>
    </xf>
    <xf numFmtId="165" fontId="23" fillId="28" borderId="0" xfId="0" applyNumberFormat="1" applyFont="1" applyFill="1" applyAlignment="1">
      <alignment horizontal="center" vertical="center"/>
    </xf>
    <xf numFmtId="0" fontId="23" fillId="0" borderId="18" xfId="0" applyFont="1" applyBorder="1" applyAlignment="1">
      <alignment horizontal="center" vertical="center" wrapText="1"/>
    </xf>
    <xf numFmtId="165" fontId="23" fillId="28" borderId="20" xfId="0" applyNumberFormat="1" applyFont="1" applyFill="1" applyBorder="1" applyAlignment="1">
      <alignment horizontal="center" vertical="center" wrapText="1"/>
    </xf>
    <xf numFmtId="0" fontId="23" fillId="28" borderId="18" xfId="0" applyFont="1" applyFill="1" applyBorder="1" applyAlignment="1">
      <alignment horizontal="center" vertical="center" wrapText="1"/>
    </xf>
    <xf numFmtId="0" fontId="79" fillId="29" borderId="20" xfId="0" applyFont="1" applyFill="1" applyBorder="1" applyAlignment="1">
      <alignment horizontal="center" vertical="center" wrapText="1"/>
    </xf>
    <xf numFmtId="2" fontId="23" fillId="0" borderId="18" xfId="0" applyNumberFormat="1" applyFont="1" applyBorder="1" applyAlignment="1">
      <alignment horizontal="center" vertical="center" wrapText="1"/>
    </xf>
    <xf numFmtId="0" fontId="23" fillId="28" borderId="20" xfId="0" applyFont="1" applyFill="1" applyBorder="1" applyAlignment="1">
      <alignment horizontal="center" vertical="center" wrapText="1"/>
    </xf>
    <xf numFmtId="0" fontId="23" fillId="28" borderId="20" xfId="0" applyFont="1" applyFill="1" applyBorder="1" applyAlignment="1">
      <alignment horizontal="left" vertical="center" wrapText="1"/>
    </xf>
    <xf numFmtId="0" fontId="86" fillId="28" borderId="20" xfId="0" applyFont="1" applyFill="1" applyBorder="1" applyAlignment="1">
      <alignment horizontal="center" vertical="center" wrapText="1"/>
    </xf>
    <xf numFmtId="165" fontId="85" fillId="28" borderId="20" xfId="0" applyNumberFormat="1" applyFont="1" applyFill="1" applyBorder="1" applyAlignment="1">
      <alignment horizontal="center" vertical="center" wrapText="1"/>
    </xf>
    <xf numFmtId="0" fontId="85" fillId="28" borderId="18" xfId="0" applyFont="1" applyFill="1" applyBorder="1" applyAlignment="1">
      <alignment horizontal="center" vertical="center" wrapText="1"/>
    </xf>
    <xf numFmtId="0" fontId="24" fillId="22" borderId="17" xfId="0" applyFont="1" applyFill="1" applyBorder="1" applyAlignment="1">
      <alignment horizontal="left" vertical="center" wrapText="1"/>
    </xf>
    <xf numFmtId="0" fontId="23" fillId="22" borderId="20" xfId="0" applyFont="1" applyFill="1" applyBorder="1" applyAlignment="1">
      <alignment horizontal="left" vertical="center" wrapText="1"/>
    </xf>
    <xf numFmtId="0" fontId="23" fillId="0" borderId="18" xfId="0" applyFont="1" applyBorder="1" applyAlignment="1">
      <alignment horizontal="left" vertical="center" wrapText="1"/>
    </xf>
    <xf numFmtId="2" fontId="23" fillId="0" borderId="0" xfId="0" applyNumberFormat="1" applyFont="1" applyAlignment="1">
      <alignment horizontal="center" vertical="center" wrapText="1"/>
    </xf>
    <xf numFmtId="0" fontId="23" fillId="0" borderId="0" xfId="0" applyFont="1" applyAlignment="1">
      <alignment wrapText="1"/>
    </xf>
    <xf numFmtId="0" fontId="38" fillId="0" borderId="0" xfId="0" applyFont="1" applyAlignment="1">
      <alignment horizontal="center" vertical="center" wrapText="1"/>
    </xf>
    <xf numFmtId="0" fontId="80" fillId="0" borderId="0" xfId="0" applyFont="1" applyAlignment="1">
      <alignment horizontal="left" vertical="center" wrapText="1"/>
    </xf>
    <xf numFmtId="171" fontId="80" fillId="0" borderId="0" xfId="0" applyNumberFormat="1" applyFont="1" applyAlignment="1">
      <alignment horizontal="center" vertical="center" wrapText="1"/>
    </xf>
    <xf numFmtId="2" fontId="80" fillId="0" borderId="0" xfId="0" applyNumberFormat="1" applyFont="1" applyAlignment="1">
      <alignment horizontal="center" vertical="center" wrapText="1"/>
    </xf>
    <xf numFmtId="165" fontId="80" fillId="0" borderId="0" xfId="0" applyNumberFormat="1" applyFont="1" applyAlignment="1">
      <alignment horizontal="center" vertical="center" wrapText="1"/>
    </xf>
    <xf numFmtId="165" fontId="23" fillId="28" borderId="0" xfId="0" applyNumberFormat="1" applyFont="1" applyFill="1" applyAlignment="1">
      <alignment horizontal="center" vertical="center" wrapText="1"/>
    </xf>
    <xf numFmtId="1" fontId="80" fillId="0" borderId="20" xfId="0" applyNumberFormat="1" applyFont="1" applyBorder="1" applyAlignment="1">
      <alignment horizontal="center" vertical="center" wrapText="1"/>
    </xf>
    <xf numFmtId="0" fontId="79" fillId="0" borderId="0" xfId="0" applyFont="1" applyAlignment="1">
      <alignment vertical="center"/>
    </xf>
    <xf numFmtId="2" fontId="80" fillId="0" borderId="17" xfId="0" applyNumberFormat="1" applyFont="1" applyBorder="1" applyAlignment="1">
      <alignment horizontal="center" vertical="center" wrapText="1"/>
    </xf>
    <xf numFmtId="2" fontId="79" fillId="29" borderId="0" xfId="0" applyNumberFormat="1" applyFont="1" applyFill="1" applyAlignment="1">
      <alignment horizontal="center" vertical="center" wrapText="1"/>
    </xf>
    <xf numFmtId="0" fontId="81" fillId="0" borderId="64" xfId="0" applyFont="1" applyBorder="1" applyAlignment="1">
      <alignment horizontal="left" vertical="center" wrapText="1"/>
    </xf>
    <xf numFmtId="0" fontId="79" fillId="0" borderId="18" xfId="0" applyFont="1" applyBorder="1" applyAlignment="1">
      <alignment horizontal="left" vertical="center" wrapText="1"/>
    </xf>
    <xf numFmtId="0" fontId="93" fillId="30" borderId="20" xfId="0" applyFont="1" applyFill="1" applyBorder="1" applyAlignment="1">
      <alignment vertical="center" wrapText="1"/>
    </xf>
    <xf numFmtId="0" fontId="93" fillId="30" borderId="18" xfId="0" applyFont="1" applyFill="1" applyBorder="1" applyAlignment="1">
      <alignment vertical="center" wrapText="1"/>
    </xf>
    <xf numFmtId="0" fontId="12" fillId="22" borderId="0" xfId="0" applyFont="1" applyFill="1"/>
    <xf numFmtId="2" fontId="12" fillId="22" borderId="0" xfId="0" applyNumberFormat="1" applyFont="1" applyFill="1" applyAlignment="1">
      <alignment horizontal="center" vertical="center"/>
    </xf>
    <xf numFmtId="0" fontId="95" fillId="0" borderId="0" xfId="0" applyFont="1"/>
    <xf numFmtId="0" fontId="96" fillId="0" borderId="0" xfId="0" applyFont="1"/>
    <xf numFmtId="0" fontId="95" fillId="0" borderId="0" xfId="0" applyFont="1" applyAlignment="1">
      <alignment horizontal="center" vertical="center"/>
    </xf>
    <xf numFmtId="0" fontId="95" fillId="0" borderId="0" xfId="0" applyFont="1" applyAlignment="1">
      <alignment horizontal="center"/>
    </xf>
    <xf numFmtId="0" fontId="85" fillId="24" borderId="0" xfId="0" applyFont="1" applyFill="1" applyAlignment="1">
      <alignment horizontal="center"/>
    </xf>
    <xf numFmtId="2" fontId="95" fillId="0" borderId="0" xfId="0" applyNumberFormat="1" applyFont="1" applyAlignment="1">
      <alignment horizontal="center" vertical="center"/>
    </xf>
    <xf numFmtId="165" fontId="95" fillId="0" borderId="0" xfId="0" applyNumberFormat="1" applyFont="1" applyAlignment="1">
      <alignment horizontal="center" vertical="center"/>
    </xf>
    <xf numFmtId="0" fontId="96" fillId="5" borderId="0" xfId="0" applyFont="1" applyFill="1"/>
    <xf numFmtId="0" fontId="95" fillId="5" borderId="0" xfId="0" applyFont="1" applyFill="1"/>
    <xf numFmtId="0" fontId="95" fillId="5" borderId="0" xfId="0" applyFont="1" applyFill="1" applyAlignment="1">
      <alignment horizontal="center" vertical="center"/>
    </xf>
    <xf numFmtId="165" fontId="95" fillId="5" borderId="0" xfId="0" applyNumberFormat="1" applyFont="1" applyFill="1" applyAlignment="1">
      <alignment horizontal="center" vertical="center"/>
    </xf>
    <xf numFmtId="0" fontId="84" fillId="27" borderId="0" xfId="0" applyFont="1" applyFill="1" applyAlignment="1">
      <alignment horizontal="center" vertical="center"/>
    </xf>
    <xf numFmtId="0" fontId="95" fillId="0" borderId="0" xfId="0" applyFont="1" applyAlignment="1">
      <alignment horizontal="left" vertical="center"/>
    </xf>
    <xf numFmtId="0" fontId="84" fillId="27" borderId="0" xfId="0" applyFont="1" applyFill="1" applyAlignment="1">
      <alignment horizontal="left" vertical="center"/>
    </xf>
    <xf numFmtId="2" fontId="12" fillId="0" borderId="0" xfId="0" applyNumberFormat="1" applyFont="1" applyAlignment="1">
      <alignment horizontal="center" vertical="center"/>
    </xf>
    <xf numFmtId="0" fontId="98" fillId="31" borderId="0" xfId="0" applyFont="1" applyFill="1"/>
    <xf numFmtId="2" fontId="99" fillId="31" borderId="0" xfId="0" applyNumberFormat="1" applyFont="1" applyFill="1" applyAlignment="1">
      <alignment horizontal="center" vertical="center"/>
    </xf>
    <xf numFmtId="0" fontId="98" fillId="31" borderId="0" xfId="0" applyFont="1" applyFill="1" applyAlignment="1">
      <alignment horizontal="center" vertical="center"/>
    </xf>
    <xf numFmtId="0" fontId="99" fillId="31" borderId="0" xfId="0" applyFont="1" applyFill="1" applyAlignment="1">
      <alignment horizontal="left" vertical="center" wrapText="1"/>
    </xf>
    <xf numFmtId="0" fontId="98" fillId="0" borderId="0" xfId="0" applyFont="1"/>
    <xf numFmtId="0" fontId="99" fillId="0" borderId="0" xfId="0" applyFont="1" applyAlignment="1">
      <alignment horizontal="left" vertical="center" wrapText="1"/>
    </xf>
    <xf numFmtId="2" fontId="99" fillId="0" borderId="0" xfId="0" applyNumberFormat="1" applyFont="1" applyAlignment="1">
      <alignment horizontal="center" vertical="center"/>
    </xf>
    <xf numFmtId="0" fontId="98" fillId="0" borderId="0" xfId="0" applyFont="1" applyAlignment="1">
      <alignment horizontal="center" vertical="center"/>
    </xf>
    <xf numFmtId="0" fontId="0" fillId="5" borderId="0" xfId="0" applyFill="1" applyAlignment="1">
      <alignment vertical="center"/>
    </xf>
    <xf numFmtId="0" fontId="12" fillId="5" borderId="0" xfId="0" applyFont="1" applyFill="1" applyAlignment="1">
      <alignment vertical="center"/>
    </xf>
    <xf numFmtId="2" fontId="12" fillId="5" borderId="0" xfId="0" applyNumberFormat="1" applyFont="1" applyFill="1" applyAlignment="1">
      <alignment horizontal="center" vertical="center"/>
    </xf>
    <xf numFmtId="0" fontId="0" fillId="5" borderId="0" xfId="0" applyFill="1" applyAlignment="1">
      <alignment horizontal="center" vertical="center"/>
    </xf>
    <xf numFmtId="0" fontId="100" fillId="5" borderId="0" xfId="0" applyFont="1" applyFill="1" applyAlignment="1">
      <alignment vertical="center"/>
    </xf>
    <xf numFmtId="0" fontId="12" fillId="0" borderId="0" xfId="0" applyFont="1" applyAlignment="1">
      <alignment horizontal="center"/>
    </xf>
    <xf numFmtId="0" fontId="95" fillId="28" borderId="0" xfId="0" applyFont="1" applyFill="1" applyAlignment="1">
      <alignment horizontal="left" vertical="center"/>
    </xf>
    <xf numFmtId="0" fontId="95" fillId="28" borderId="0" xfId="0" applyFont="1" applyFill="1" applyAlignment="1">
      <alignment horizontal="center" vertical="center"/>
    </xf>
    <xf numFmtId="0" fontId="46" fillId="0" borderId="47" xfId="0" applyFont="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wrapText="1"/>
    </xf>
    <xf numFmtId="0" fontId="103" fillId="0" borderId="0" xfId="0" applyFont="1" applyAlignment="1">
      <alignment horizontal="center" vertical="center"/>
    </xf>
    <xf numFmtId="0" fontId="59" fillId="4" borderId="0" xfId="0" applyFont="1" applyFill="1" applyAlignment="1">
      <alignment vertical="center"/>
    </xf>
    <xf numFmtId="0" fontId="55" fillId="0" borderId="0" xfId="0" applyFont="1" applyAlignment="1">
      <alignment horizontal="center" vertical="center"/>
    </xf>
    <xf numFmtId="0" fontId="55" fillId="4" borderId="0" xfId="0" applyFont="1" applyFill="1" applyAlignment="1">
      <alignment horizontal="center" vertical="center"/>
    </xf>
    <xf numFmtId="0" fontId="46" fillId="4" borderId="0" xfId="0" applyFont="1" applyFill="1" applyAlignment="1">
      <alignment horizontal="center" vertical="center" wrapText="1"/>
    </xf>
    <xf numFmtId="0" fontId="87" fillId="4" borderId="0" xfId="0" applyFont="1" applyFill="1" applyAlignment="1">
      <alignment horizontal="center" vertical="center" wrapText="1"/>
    </xf>
    <xf numFmtId="0" fontId="46" fillId="0" borderId="44" xfId="0" applyFont="1" applyBorder="1" applyAlignment="1">
      <alignment horizontal="left" vertical="center" wrapText="1"/>
    </xf>
    <xf numFmtId="0" fontId="55" fillId="0" borderId="0" xfId="0" applyFont="1" applyAlignment="1">
      <alignment horizontal="center" vertical="center" wrapText="1"/>
    </xf>
    <xf numFmtId="0" fontId="54" fillId="28" borderId="0" xfId="0" applyFont="1" applyFill="1" applyAlignment="1">
      <alignment horizontal="center" vertical="center"/>
    </xf>
    <xf numFmtId="0" fontId="54" fillId="28" borderId="5" xfId="0" applyFont="1" applyFill="1" applyBorder="1" applyAlignment="1">
      <alignment horizontal="center" vertical="center"/>
    </xf>
    <xf numFmtId="0" fontId="54" fillId="28" borderId="5" xfId="0" applyFont="1" applyFill="1" applyBorder="1" applyAlignment="1">
      <alignment horizontal="center" vertical="center" wrapText="1"/>
    </xf>
    <xf numFmtId="0" fontId="87" fillId="28" borderId="6" xfId="0" applyFont="1" applyFill="1" applyBorder="1" applyAlignment="1">
      <alignment horizontal="center" vertical="center" wrapText="1"/>
    </xf>
    <xf numFmtId="0" fontId="46" fillId="20" borderId="54" xfId="0" applyFont="1" applyFill="1" applyBorder="1" applyAlignment="1">
      <alignment horizontal="center" vertical="center" wrapText="1"/>
    </xf>
    <xf numFmtId="0" fontId="46" fillId="0" borderId="6" xfId="0" applyFont="1" applyBorder="1" applyAlignment="1">
      <alignment horizontal="center" vertical="center" wrapText="1"/>
    </xf>
    <xf numFmtId="0" fontId="60" fillId="0" borderId="0" xfId="0" applyFont="1" applyAlignment="1">
      <alignment horizontal="left" vertical="center"/>
    </xf>
    <xf numFmtId="0" fontId="54" fillId="28" borderId="7" xfId="0" applyFont="1" applyFill="1" applyBorder="1" applyAlignment="1">
      <alignment horizontal="center" vertical="center"/>
    </xf>
    <xf numFmtId="0" fontId="87" fillId="28" borderId="4" xfId="0" applyFont="1" applyFill="1" applyBorder="1" applyAlignment="1">
      <alignment horizontal="center" vertical="center" wrapText="1"/>
    </xf>
    <xf numFmtId="0" fontId="105" fillId="28" borderId="5" xfId="0" applyFont="1" applyFill="1" applyBorder="1" applyAlignment="1">
      <alignment horizontal="center" vertical="center" wrapText="1"/>
    </xf>
    <xf numFmtId="0" fontId="60" fillId="0" borderId="67" xfId="0" applyFont="1" applyBorder="1" applyAlignment="1">
      <alignment horizontal="left" vertical="center" wrapText="1"/>
    </xf>
    <xf numFmtId="0" fontId="55" fillId="0" borderId="67" xfId="0" applyFont="1" applyBorder="1" applyAlignment="1">
      <alignment horizontal="center" vertical="center"/>
    </xf>
    <xf numFmtId="0" fontId="55" fillId="0" borderId="67" xfId="0" applyFont="1" applyBorder="1" applyAlignment="1">
      <alignment horizontal="center" vertical="center" wrapText="1"/>
    </xf>
    <xf numFmtId="0" fontId="54" fillId="28" borderId="7" xfId="0" applyFont="1" applyFill="1" applyBorder="1" applyAlignment="1">
      <alignment horizontal="center" vertical="center" wrapText="1"/>
    </xf>
    <xf numFmtId="0" fontId="60" fillId="0" borderId="67" xfId="0" applyFont="1" applyBorder="1" applyAlignment="1">
      <alignment horizontal="left" vertical="center"/>
    </xf>
    <xf numFmtId="0" fontId="46" fillId="22" borderId="5" xfId="0" applyFont="1" applyFill="1" applyBorder="1" applyAlignment="1">
      <alignment horizontal="center" vertical="center"/>
    </xf>
    <xf numFmtId="0" fontId="46" fillId="14" borderId="5" xfId="0" applyFont="1" applyFill="1" applyBorder="1" applyAlignment="1">
      <alignment horizontal="center" vertical="center"/>
    </xf>
    <xf numFmtId="0" fontId="46" fillId="7" borderId="5" xfId="0" applyFont="1" applyFill="1" applyBorder="1" applyAlignment="1">
      <alignment horizontal="center" vertical="center"/>
    </xf>
    <xf numFmtId="0" fontId="46" fillId="21" borderId="5" xfId="0" applyFont="1" applyFill="1" applyBorder="1" applyAlignment="1">
      <alignment horizontal="center" vertical="center"/>
    </xf>
    <xf numFmtId="0" fontId="46" fillId="21" borderId="5" xfId="0" applyFont="1" applyFill="1" applyBorder="1" applyAlignment="1">
      <alignment horizontal="center" vertical="center" wrapText="1"/>
    </xf>
    <xf numFmtId="2" fontId="46" fillId="14" borderId="7" xfId="0" applyNumberFormat="1" applyFont="1" applyFill="1" applyBorder="1" applyAlignment="1">
      <alignment horizontal="center" vertical="center" wrapText="1"/>
    </xf>
    <xf numFmtId="2" fontId="51" fillId="7" borderId="7" xfId="0" applyNumberFormat="1" applyFont="1" applyFill="1" applyBorder="1" applyAlignment="1">
      <alignment horizontal="center" vertical="center" wrapText="1"/>
    </xf>
    <xf numFmtId="2" fontId="51" fillId="7" borderId="4" xfId="0" applyNumberFormat="1" applyFont="1" applyFill="1" applyBorder="1" applyAlignment="1">
      <alignment horizontal="center" vertical="center" wrapText="1"/>
    </xf>
    <xf numFmtId="2" fontId="46" fillId="14" borderId="4" xfId="0" applyNumberFormat="1" applyFont="1" applyFill="1" applyBorder="1" applyAlignment="1">
      <alignment horizontal="center" vertical="center" wrapText="1"/>
    </xf>
    <xf numFmtId="0" fontId="46" fillId="22" borderId="6" xfId="0" applyFont="1" applyFill="1" applyBorder="1" applyAlignment="1">
      <alignment horizontal="center" vertical="center"/>
    </xf>
    <xf numFmtId="0" fontId="46" fillId="14" borderId="6" xfId="0" applyFont="1" applyFill="1" applyBorder="1" applyAlignment="1">
      <alignment horizontal="center" vertical="center"/>
    </xf>
    <xf numFmtId="0" fontId="46" fillId="7" borderId="6" xfId="0" applyFont="1" applyFill="1" applyBorder="1" applyAlignment="1">
      <alignment horizontal="center" vertical="center"/>
    </xf>
    <xf numFmtId="0" fontId="46" fillId="0" borderId="68" xfId="0" applyFont="1" applyBorder="1" applyAlignment="1">
      <alignment horizontal="center" vertical="center" wrapText="1"/>
    </xf>
    <xf numFmtId="0" fontId="54" fillId="28" borderId="5" xfId="0" applyFont="1" applyFill="1" applyBorder="1" applyAlignment="1">
      <alignment horizontal="left" vertical="center" wrapText="1"/>
    </xf>
    <xf numFmtId="0" fontId="54" fillId="28" borderId="6" xfId="0" applyFont="1" applyFill="1" applyBorder="1" applyAlignment="1">
      <alignment horizontal="center" vertical="center"/>
    </xf>
    <xf numFmtId="0" fontId="24" fillId="0" borderId="0" xfId="0" applyFont="1"/>
    <xf numFmtId="1" fontId="80" fillId="0" borderId="17" xfId="0" applyNumberFormat="1" applyFont="1" applyBorder="1" applyAlignment="1">
      <alignment horizontal="center" vertical="center" wrapText="1"/>
    </xf>
    <xf numFmtId="0" fontId="106" fillId="0" borderId="0" xfId="0" applyFont="1"/>
    <xf numFmtId="0" fontId="12" fillId="22" borderId="0" xfId="0" applyFont="1" applyFill="1" applyAlignment="1">
      <alignment horizontal="center" vertical="center"/>
    </xf>
    <xf numFmtId="0" fontId="86" fillId="27" borderId="20" xfId="0" applyFont="1" applyFill="1" applyBorder="1" applyAlignment="1">
      <alignment horizontal="center" vertical="center" wrapText="1"/>
    </xf>
    <xf numFmtId="0" fontId="23" fillId="0" borderId="19" xfId="0" applyFont="1" applyBorder="1" applyAlignment="1">
      <alignment horizontal="center" vertical="center" wrapText="1"/>
    </xf>
    <xf numFmtId="2" fontId="23" fillId="0" borderId="19" xfId="0" applyNumberFormat="1" applyFont="1" applyBorder="1" applyAlignment="1">
      <alignment horizontal="center" vertical="center" wrapText="1"/>
    </xf>
    <xf numFmtId="0" fontId="38" fillId="0" borderId="0" xfId="0" applyFont="1" applyAlignment="1">
      <alignment vertical="center"/>
    </xf>
    <xf numFmtId="0" fontId="41" fillId="0" borderId="0" xfId="0" applyFont="1" applyAlignment="1">
      <alignment horizontal="center" vertical="center" wrapText="1"/>
    </xf>
    <xf numFmtId="0" fontId="39" fillId="0" borderId="0" xfId="0" applyFont="1" applyAlignment="1">
      <alignment horizontal="center" vertical="center"/>
    </xf>
    <xf numFmtId="0" fontId="108" fillId="0" borderId="0" xfId="0" applyFont="1" applyAlignment="1">
      <alignment horizontal="center" vertical="center"/>
    </xf>
    <xf numFmtId="0" fontId="109" fillId="4" borderId="0" xfId="0" applyFont="1" applyFill="1" applyAlignment="1">
      <alignment horizontal="center" vertical="center" wrapText="1"/>
    </xf>
    <xf numFmtId="0" fontId="80" fillId="0" borderId="0" xfId="0" applyFont="1" applyAlignment="1">
      <alignment horizontal="left" vertical="center"/>
    </xf>
    <xf numFmtId="0" fontId="81" fillId="0" borderId="5" xfId="0" applyFont="1" applyBorder="1" applyAlignment="1">
      <alignment horizontal="left" vertical="center" wrapText="1"/>
    </xf>
    <xf numFmtId="2" fontId="111" fillId="29" borderId="0" xfId="0" applyNumberFormat="1" applyFont="1" applyFill="1" applyAlignment="1">
      <alignment horizontal="center" vertical="center" wrapText="1"/>
    </xf>
    <xf numFmtId="165" fontId="111" fillId="29" borderId="0" xfId="0" applyNumberFormat="1" applyFont="1" applyFill="1" applyAlignment="1">
      <alignment horizontal="center" vertical="center" wrapText="1"/>
    </xf>
    <xf numFmtId="165" fontId="23" fillId="0" borderId="18" xfId="0" applyNumberFormat="1" applyFont="1" applyBorder="1" applyAlignment="1">
      <alignment horizontal="center" vertical="center" wrapText="1"/>
    </xf>
    <xf numFmtId="0" fontId="92" fillId="14" borderId="17" xfId="0" applyFont="1" applyFill="1" applyBorder="1" applyAlignment="1">
      <alignment horizontal="left" vertical="center" wrapText="1"/>
    </xf>
    <xf numFmtId="165" fontId="23" fillId="14" borderId="0" xfId="0" applyNumberFormat="1" applyFont="1" applyFill="1" applyAlignment="1">
      <alignment horizontal="center" vertical="center" wrapText="1"/>
    </xf>
    <xf numFmtId="0" fontId="23" fillId="14" borderId="18" xfId="0" applyFont="1" applyFill="1" applyBorder="1" applyAlignment="1">
      <alignment horizontal="center" vertical="center" wrapText="1"/>
    </xf>
    <xf numFmtId="0" fontId="23" fillId="28" borderId="0" xfId="0" applyFont="1" applyFill="1" applyAlignment="1">
      <alignment horizontal="center" vertical="center" wrapText="1"/>
    </xf>
    <xf numFmtId="0" fontId="84" fillId="31" borderId="0" xfId="0" applyFont="1" applyFill="1" applyAlignment="1">
      <alignment horizontal="center" vertical="center" wrapText="1"/>
    </xf>
    <xf numFmtId="2" fontId="18" fillId="31" borderId="0" xfId="0" applyNumberFormat="1" applyFont="1" applyFill="1" applyAlignment="1">
      <alignment horizontal="center" vertical="center" wrapText="1"/>
    </xf>
    <xf numFmtId="0" fontId="0" fillId="28" borderId="0" xfId="0" applyFill="1" applyAlignment="1">
      <alignment horizontal="center" vertical="center"/>
    </xf>
    <xf numFmtId="0" fontId="108" fillId="0" borderId="0" xfId="0" applyFont="1" applyAlignment="1">
      <alignment vertical="center" wrapText="1"/>
    </xf>
    <xf numFmtId="0" fontId="46" fillId="0" borderId="51" xfId="0" applyFont="1" applyBorder="1" applyAlignment="1">
      <alignment vertical="top" wrapText="1"/>
    </xf>
    <xf numFmtId="0" fontId="46" fillId="0" borderId="55" xfId="0" applyFont="1" applyBorder="1" applyAlignment="1">
      <alignment vertical="top" wrapText="1"/>
    </xf>
    <xf numFmtId="0" fontId="46" fillId="29" borderId="51" xfId="0" applyFont="1" applyFill="1" applyBorder="1" applyAlignment="1">
      <alignment vertical="top" wrapText="1"/>
    </xf>
    <xf numFmtId="0" fontId="46" fillId="29" borderId="52" xfId="0" applyFont="1" applyFill="1" applyBorder="1" applyAlignment="1">
      <alignment horizontal="center" vertical="center" wrapText="1"/>
    </xf>
    <xf numFmtId="0" fontId="46" fillId="29" borderId="55" xfId="0" applyFont="1" applyFill="1" applyBorder="1" applyAlignment="1">
      <alignment vertical="top" wrapText="1"/>
    </xf>
    <xf numFmtId="0" fontId="78" fillId="0" borderId="67" xfId="0" applyFont="1" applyBorder="1" applyAlignment="1">
      <alignment horizontal="left" vertical="center" wrapText="1"/>
    </xf>
    <xf numFmtId="0" fontId="107" fillId="0" borderId="0" xfId="0" applyFont="1" applyAlignment="1">
      <alignment vertical="center"/>
    </xf>
    <xf numFmtId="0" fontId="104" fillId="0" borderId="0" xfId="0" applyFont="1" applyAlignment="1">
      <alignment horizontal="center" vertical="center" wrapText="1"/>
    </xf>
    <xf numFmtId="0" fontId="45" fillId="31" borderId="0" xfId="0" applyFont="1" applyFill="1" applyAlignment="1">
      <alignment vertical="center"/>
    </xf>
    <xf numFmtId="0" fontId="0" fillId="31" borderId="0" xfId="0" applyFill="1"/>
    <xf numFmtId="0" fontId="0" fillId="0" borderId="75" xfId="0" applyBorder="1"/>
    <xf numFmtId="0" fontId="0" fillId="0" borderId="76" xfId="0" applyBorder="1"/>
    <xf numFmtId="0" fontId="39" fillId="0" borderId="0" xfId="0" applyFont="1" applyAlignment="1">
      <alignment vertical="center" wrapText="1"/>
    </xf>
    <xf numFmtId="0" fontId="0" fillId="0" borderId="74" xfId="0" applyBorder="1"/>
    <xf numFmtId="0" fontId="89" fillId="20" borderId="7" xfId="0" applyFont="1" applyFill="1" applyBorder="1" applyAlignment="1">
      <alignment horizontal="center" vertical="center" wrapText="1"/>
    </xf>
    <xf numFmtId="0" fontId="89" fillId="20" borderId="4" xfId="0" applyFont="1" applyFill="1" applyBorder="1" applyAlignment="1">
      <alignment horizontal="center" vertical="center" wrapText="1"/>
    </xf>
    <xf numFmtId="0" fontId="40" fillId="0" borderId="0" xfId="7" applyFont="1" applyFill="1" applyBorder="1" applyAlignment="1" applyProtection="1">
      <alignment horizontal="center" vertical="center"/>
      <protection locked="0"/>
    </xf>
    <xf numFmtId="0" fontId="50" fillId="0" borderId="0" xfId="0" applyFont="1" applyAlignment="1">
      <alignment horizontal="left" vertical="center"/>
    </xf>
    <xf numFmtId="0" fontId="0" fillId="0" borderId="73" xfId="0" applyBorder="1"/>
    <xf numFmtId="0" fontId="89" fillId="0" borderId="0" xfId="0" applyFont="1" applyAlignment="1">
      <alignment horizontal="left" vertical="center" wrapText="1"/>
    </xf>
    <xf numFmtId="0" fontId="89" fillId="0" borderId="6" xfId="0" applyFont="1" applyBorder="1" applyAlignment="1">
      <alignment horizontal="center" vertical="center" wrapText="1"/>
    </xf>
    <xf numFmtId="0" fontId="89" fillId="0" borderId="5" xfId="0" applyFont="1" applyBorder="1" applyAlignment="1">
      <alignment horizontal="left" vertical="center" wrapText="1"/>
    </xf>
    <xf numFmtId="0" fontId="89" fillId="0" borderId="67" xfId="0" applyFont="1" applyBorder="1" applyAlignment="1">
      <alignment horizontal="left" vertical="center" wrapText="1"/>
    </xf>
    <xf numFmtId="0" fontId="119" fillId="0" borderId="75" xfId="0" applyFont="1" applyBorder="1"/>
    <xf numFmtId="0" fontId="119" fillId="0" borderId="0" xfId="0" applyFont="1"/>
    <xf numFmtId="0" fontId="45" fillId="0" borderId="0" xfId="0" applyFont="1" applyAlignment="1">
      <alignment vertical="center"/>
    </xf>
    <xf numFmtId="0" fontId="107" fillId="28" borderId="4" xfId="0" applyFont="1" applyFill="1" applyBorder="1" applyAlignment="1">
      <alignment horizontal="left" vertical="center" wrapText="1"/>
    </xf>
    <xf numFmtId="0" fontId="107" fillId="28" borderId="5" xfId="0" applyFont="1" applyFill="1" applyBorder="1" applyAlignment="1">
      <alignment horizontal="center" vertical="center"/>
    </xf>
    <xf numFmtId="0" fontId="107" fillId="28" borderId="5" xfId="0" applyFont="1" applyFill="1" applyBorder="1" applyAlignment="1">
      <alignment horizontal="center" vertical="center" wrapText="1"/>
    </xf>
    <xf numFmtId="0" fontId="107" fillId="28" borderId="6" xfId="0" applyFont="1" applyFill="1" applyBorder="1" applyAlignment="1">
      <alignment horizontal="center" vertical="center" wrapText="1"/>
    </xf>
    <xf numFmtId="0" fontId="113" fillId="0" borderId="0" xfId="8" applyFont="1" applyAlignment="1">
      <alignment vertical="center"/>
    </xf>
    <xf numFmtId="0" fontId="113" fillId="0" borderId="0" xfId="0" applyFont="1" applyAlignment="1">
      <alignment vertical="center"/>
    </xf>
    <xf numFmtId="0" fontId="107" fillId="28" borderId="6" xfId="0" applyFont="1" applyFill="1" applyBorder="1" applyAlignment="1">
      <alignment horizontal="left" vertical="center" wrapText="1"/>
    </xf>
    <xf numFmtId="0" fontId="35" fillId="0" borderId="42" xfId="0" applyFont="1" applyBorder="1"/>
    <xf numFmtId="0" fontId="89" fillId="0" borderId="43" xfId="0" applyFont="1" applyBorder="1" applyAlignment="1">
      <alignment horizontal="center" vertical="center" wrapText="1"/>
    </xf>
    <xf numFmtId="0" fontId="89" fillId="0" borderId="0" xfId="0" applyFont="1" applyAlignment="1">
      <alignment horizontal="center" vertical="center" wrapText="1"/>
    </xf>
    <xf numFmtId="0" fontId="126" fillId="0" borderId="0" xfId="0" applyFont="1" applyAlignment="1">
      <alignment vertical="center"/>
    </xf>
    <xf numFmtId="0" fontId="89" fillId="0" borderId="11" xfId="0" applyFont="1" applyBorder="1" applyAlignment="1">
      <alignment horizontal="center" vertical="center" wrapText="1"/>
    </xf>
    <xf numFmtId="0" fontId="107" fillId="28" borderId="4" xfId="0" applyFont="1" applyFill="1" applyBorder="1" applyAlignment="1">
      <alignment vertical="center" wrapText="1"/>
    </xf>
    <xf numFmtId="0" fontId="89" fillId="22" borderId="5" xfId="0" applyFont="1" applyFill="1" applyBorder="1" applyAlignment="1">
      <alignment horizontal="left" vertical="center" wrapText="1"/>
    </xf>
    <xf numFmtId="0" fontId="89" fillId="22" borderId="5" xfId="0" applyFont="1" applyFill="1" applyBorder="1" applyAlignment="1">
      <alignment horizontal="center" vertical="center"/>
    </xf>
    <xf numFmtId="0" fontId="89" fillId="14" borderId="5" xfId="0" applyFont="1" applyFill="1" applyBorder="1" applyAlignment="1">
      <alignment horizontal="left" vertical="center" wrapText="1"/>
    </xf>
    <xf numFmtId="0" fontId="89" fillId="14" borderId="5" xfId="0" applyFont="1" applyFill="1" applyBorder="1" applyAlignment="1">
      <alignment horizontal="center" vertical="center"/>
    </xf>
    <xf numFmtId="2" fontId="89" fillId="14" borderId="7" xfId="0" applyNumberFormat="1" applyFont="1" applyFill="1" applyBorder="1" applyAlignment="1">
      <alignment horizontal="center" vertical="center" wrapText="1"/>
    </xf>
    <xf numFmtId="0" fontId="89" fillId="7" borderId="5" xfId="0" applyFont="1" applyFill="1" applyBorder="1" applyAlignment="1">
      <alignment horizontal="left" vertical="center" wrapText="1"/>
    </xf>
    <xf numFmtId="0" fontId="89" fillId="7" borderId="5" xfId="0" applyFont="1" applyFill="1" applyBorder="1" applyAlignment="1">
      <alignment horizontal="center" vertical="center"/>
    </xf>
    <xf numFmtId="2" fontId="53" fillId="7" borderId="7" xfId="0" applyNumberFormat="1" applyFont="1" applyFill="1" applyBorder="1" applyAlignment="1">
      <alignment horizontal="center" vertical="center" wrapText="1"/>
    </xf>
    <xf numFmtId="2" fontId="53" fillId="7" borderId="4" xfId="0" applyNumberFormat="1" applyFont="1" applyFill="1" applyBorder="1" applyAlignment="1">
      <alignment horizontal="center" vertical="center" wrapText="1"/>
    </xf>
    <xf numFmtId="0" fontId="89" fillId="21" borderId="5" xfId="0" applyFont="1" applyFill="1" applyBorder="1" applyAlignment="1">
      <alignment horizontal="left" vertical="center" wrapText="1"/>
    </xf>
    <xf numFmtId="0" fontId="89" fillId="21" borderId="5" xfId="0" applyFont="1" applyFill="1" applyBorder="1" applyAlignment="1">
      <alignment horizontal="center" vertical="center"/>
    </xf>
    <xf numFmtId="2" fontId="89" fillId="10" borderId="4" xfId="0" applyNumberFormat="1" applyFont="1" applyFill="1" applyBorder="1" applyAlignment="1">
      <alignment horizontal="center" vertical="center" wrapText="1"/>
    </xf>
    <xf numFmtId="0" fontId="89" fillId="21" borderId="5" xfId="0" applyFont="1" applyFill="1" applyBorder="1" applyAlignment="1">
      <alignment horizontal="center" vertical="center" wrapText="1"/>
    </xf>
    <xf numFmtId="2" fontId="89" fillId="14" borderId="4" xfId="0" applyNumberFormat="1" applyFont="1" applyFill="1" applyBorder="1" applyAlignment="1">
      <alignment horizontal="center" vertical="center" wrapText="1"/>
    </xf>
    <xf numFmtId="177" fontId="89" fillId="21" borderId="7" xfId="0" applyNumberFormat="1" applyFont="1" applyFill="1" applyBorder="1" applyAlignment="1">
      <alignment horizontal="center" vertical="center" wrapText="1"/>
    </xf>
    <xf numFmtId="0" fontId="89" fillId="22" borderId="6" xfId="0" applyFont="1" applyFill="1" applyBorder="1" applyAlignment="1">
      <alignment horizontal="center" vertical="center"/>
    </xf>
    <xf numFmtId="0" fontId="89" fillId="14" borderId="6" xfId="0" applyFont="1" applyFill="1" applyBorder="1" applyAlignment="1">
      <alignment horizontal="center" vertical="center"/>
    </xf>
    <xf numFmtId="0" fontId="89" fillId="7" borderId="6" xfId="0" applyFont="1" applyFill="1" applyBorder="1" applyAlignment="1">
      <alignment horizontal="center" vertical="center"/>
    </xf>
    <xf numFmtId="0" fontId="52" fillId="22" borderId="5" xfId="0" applyFont="1" applyFill="1" applyBorder="1" applyAlignment="1">
      <alignment horizontal="left" vertical="center" wrapText="1"/>
    </xf>
    <xf numFmtId="0" fontId="53" fillId="22" borderId="6" xfId="0" applyFont="1" applyFill="1" applyBorder="1" applyAlignment="1">
      <alignment horizontal="center" vertical="center"/>
    </xf>
    <xf numFmtId="0" fontId="52" fillId="14" borderId="5" xfId="0" applyFont="1" applyFill="1" applyBorder="1" applyAlignment="1">
      <alignment horizontal="left" vertical="center" wrapText="1"/>
    </xf>
    <xf numFmtId="0" fontId="53" fillId="14" borderId="6" xfId="0" applyFont="1" applyFill="1" applyBorder="1" applyAlignment="1">
      <alignment horizontal="center" vertical="center"/>
    </xf>
    <xf numFmtId="0" fontId="53" fillId="7" borderId="5" xfId="0" applyFont="1" applyFill="1" applyBorder="1" applyAlignment="1">
      <alignment horizontal="left" vertical="center" wrapText="1"/>
    </xf>
    <xf numFmtId="0" fontId="53" fillId="7" borderId="6" xfId="0" applyFont="1" applyFill="1" applyBorder="1" applyAlignment="1">
      <alignment horizontal="center" vertical="center"/>
    </xf>
    <xf numFmtId="0" fontId="52" fillId="32" borderId="5" xfId="0" applyFont="1" applyFill="1" applyBorder="1" applyAlignment="1">
      <alignment horizontal="left" vertical="center" wrapText="1"/>
    </xf>
    <xf numFmtId="0" fontId="52" fillId="33" borderId="5" xfId="0" applyFont="1" applyFill="1" applyBorder="1" applyAlignment="1">
      <alignment horizontal="left" vertical="center" wrapText="1"/>
    </xf>
    <xf numFmtId="0" fontId="53" fillId="34" borderId="5" xfId="0" applyFont="1" applyFill="1" applyBorder="1" applyAlignment="1">
      <alignment horizontal="left" vertical="center" wrapText="1"/>
    </xf>
    <xf numFmtId="177" fontId="89" fillId="21" borderId="4" xfId="0" applyNumberFormat="1" applyFont="1" applyFill="1" applyBorder="1" applyAlignment="1">
      <alignment horizontal="center" vertical="center" wrapText="1"/>
    </xf>
    <xf numFmtId="0" fontId="89" fillId="0" borderId="7" xfId="0" applyFont="1" applyBorder="1" applyAlignment="1">
      <alignment horizontal="center" vertical="center" wrapText="1"/>
    </xf>
    <xf numFmtId="0" fontId="79" fillId="0" borderId="18" xfId="0" applyFont="1" applyBorder="1" applyAlignment="1">
      <alignment horizontal="center" vertical="center" wrapText="1"/>
    </xf>
    <xf numFmtId="2" fontId="79" fillId="0" borderId="0" xfId="0" applyNumberFormat="1" applyFont="1" applyAlignment="1">
      <alignment horizontal="center" vertical="center" wrapText="1"/>
    </xf>
    <xf numFmtId="2" fontId="111" fillId="0" borderId="0" xfId="0" applyNumberFormat="1" applyFont="1" applyAlignment="1">
      <alignment horizontal="center" vertical="center" wrapText="1"/>
    </xf>
    <xf numFmtId="165" fontId="111" fillId="0" borderId="0" xfId="0" applyNumberFormat="1" applyFont="1" applyAlignment="1">
      <alignment horizontal="center" vertical="center" wrapText="1"/>
    </xf>
    <xf numFmtId="0" fontId="80" fillId="0" borderId="35" xfId="0" applyFont="1" applyBorder="1" applyAlignment="1">
      <alignment horizontal="center" vertical="center" wrapText="1"/>
    </xf>
    <xf numFmtId="1" fontId="80" fillId="0" borderId="78" xfId="0" applyNumberFormat="1" applyFont="1" applyBorder="1" applyAlignment="1">
      <alignment horizontal="center" vertical="center" wrapText="1"/>
    </xf>
    <xf numFmtId="0" fontId="79" fillId="0" borderId="0" xfId="0" applyFont="1" applyAlignment="1">
      <alignment horizontal="left" vertical="center" wrapText="1"/>
    </xf>
    <xf numFmtId="1" fontId="80" fillId="0" borderId="0" xfId="0" applyNumberFormat="1" applyFont="1" applyAlignment="1">
      <alignment horizontal="center" vertical="center" wrapText="1"/>
    </xf>
    <xf numFmtId="0" fontId="79" fillId="0" borderId="20" xfId="0" applyFont="1" applyBorder="1" applyAlignment="1">
      <alignment horizontal="center" vertical="center" wrapText="1"/>
    </xf>
    <xf numFmtId="165" fontId="23" fillId="0" borderId="0" xfId="0" applyNumberFormat="1" applyFont="1" applyAlignment="1">
      <alignment horizontal="center" vertical="center" wrapText="1"/>
    </xf>
    <xf numFmtId="0" fontId="79" fillId="15" borderId="20" xfId="0" applyFont="1" applyFill="1" applyBorder="1" applyAlignment="1">
      <alignment horizontal="center" vertical="center" wrapText="1"/>
    </xf>
    <xf numFmtId="0" fontId="106" fillId="7" borderId="0" xfId="0" applyFont="1" applyFill="1"/>
    <xf numFmtId="0" fontId="95" fillId="7" borderId="0" xfId="0" applyFont="1" applyFill="1"/>
    <xf numFmtId="0" fontId="24" fillId="28" borderId="0" xfId="0" applyFont="1" applyFill="1"/>
    <xf numFmtId="0" fontId="23" fillId="28" borderId="0" xfId="0" applyFont="1" applyFill="1" applyAlignment="1">
      <alignment horizontal="center"/>
    </xf>
    <xf numFmtId="0" fontId="23" fillId="28" borderId="0" xfId="0" applyFont="1" applyFill="1"/>
    <xf numFmtId="0" fontId="85" fillId="0" borderId="0" xfId="0" applyFont="1" applyAlignment="1">
      <alignment horizontal="center" vertical="center" wrapText="1"/>
    </xf>
    <xf numFmtId="0" fontId="93" fillId="0" borderId="0" xfId="0" applyFont="1" applyAlignment="1">
      <alignment vertical="center"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84" fillId="0" borderId="0" xfId="0" applyFont="1" applyAlignment="1">
      <alignment horizontal="center" vertical="center" wrapText="1"/>
    </xf>
    <xf numFmtId="2" fontId="18" fillId="0" borderId="0" xfId="0" applyNumberFormat="1" applyFont="1" applyAlignment="1">
      <alignment horizontal="center" vertical="center" wrapText="1"/>
    </xf>
    <xf numFmtId="1" fontId="53" fillId="7" borderId="7" xfId="0" applyNumberFormat="1" applyFont="1" applyFill="1" applyBorder="1" applyAlignment="1">
      <alignment horizontal="center" vertical="center" wrapText="1"/>
    </xf>
    <xf numFmtId="1" fontId="89" fillId="22" borderId="7" xfId="0" applyNumberFormat="1" applyFont="1" applyFill="1" applyBorder="1" applyAlignment="1">
      <alignment horizontal="center" vertical="center" wrapText="1"/>
    </xf>
    <xf numFmtId="1" fontId="89" fillId="22" borderId="4" xfId="0" applyNumberFormat="1" applyFont="1" applyFill="1" applyBorder="1" applyAlignment="1">
      <alignment horizontal="center" vertical="center" wrapText="1"/>
    </xf>
    <xf numFmtId="1" fontId="53" fillId="7" borderId="4" xfId="0" applyNumberFormat="1" applyFont="1" applyFill="1" applyBorder="1" applyAlignment="1">
      <alignment horizontal="center" vertical="center" wrapText="1"/>
    </xf>
    <xf numFmtId="3" fontId="89" fillId="22" borderId="7" xfId="0" applyNumberFormat="1" applyFont="1" applyFill="1" applyBorder="1" applyAlignment="1">
      <alignment horizontal="center" vertical="center" wrapText="1"/>
    </xf>
    <xf numFmtId="3" fontId="89" fillId="22" borderId="4" xfId="0" applyNumberFormat="1" applyFont="1" applyFill="1" applyBorder="1" applyAlignment="1">
      <alignment horizontal="center" vertical="center" wrapText="1"/>
    </xf>
    <xf numFmtId="3" fontId="53" fillId="7" borderId="7" xfId="0" applyNumberFormat="1" applyFont="1" applyFill="1" applyBorder="1" applyAlignment="1">
      <alignment horizontal="center" vertical="center" wrapText="1"/>
    </xf>
    <xf numFmtId="3" fontId="53" fillId="7" borderId="4" xfId="0" applyNumberFormat="1" applyFont="1" applyFill="1" applyBorder="1" applyAlignment="1">
      <alignment horizontal="center" vertical="center" wrapText="1"/>
    </xf>
    <xf numFmtId="3" fontId="89" fillId="10" borderId="4" xfId="0" applyNumberFormat="1" applyFont="1" applyFill="1" applyBorder="1" applyAlignment="1">
      <alignment horizontal="center" vertical="center" wrapText="1"/>
    </xf>
    <xf numFmtId="1" fontId="53" fillId="14" borderId="7" xfId="0" applyNumberFormat="1" applyFont="1" applyFill="1" applyBorder="1" applyAlignment="1">
      <alignment horizontal="center" vertical="center" wrapText="1"/>
    </xf>
    <xf numFmtId="1" fontId="53" fillId="14" borderId="4" xfId="0" applyNumberFormat="1" applyFont="1" applyFill="1" applyBorder="1" applyAlignment="1">
      <alignment horizontal="center" vertical="center" wrapText="1"/>
    </xf>
    <xf numFmtId="0" fontId="49" fillId="4" borderId="0" xfId="0" applyFont="1" applyFill="1" applyAlignment="1">
      <alignment vertical="center"/>
    </xf>
    <xf numFmtId="0" fontId="129" fillId="0" borderId="0" xfId="0" applyFont="1"/>
    <xf numFmtId="0" fontId="129" fillId="0" borderId="42" xfId="0" applyFont="1" applyBorder="1"/>
    <xf numFmtId="0" fontId="118" fillId="0" borderId="43" xfId="0" applyFont="1" applyBorder="1" applyAlignment="1">
      <alignment horizontal="center" vertical="center" wrapText="1"/>
    </xf>
    <xf numFmtId="0" fontId="118" fillId="0" borderId="0" xfId="0" applyFont="1" applyAlignment="1">
      <alignment horizontal="center" vertical="center" wrapText="1"/>
    </xf>
    <xf numFmtId="2" fontId="89" fillId="4" borderId="0" xfId="0" applyNumberFormat="1" applyFont="1" applyFill="1" applyAlignment="1">
      <alignment horizontal="center" vertical="center" wrapText="1"/>
    </xf>
    <xf numFmtId="0" fontId="35" fillId="0" borderId="43" xfId="0" applyFont="1" applyBorder="1"/>
    <xf numFmtId="175" fontId="89" fillId="4" borderId="0" xfId="0" applyNumberFormat="1" applyFont="1" applyFill="1" applyAlignment="1">
      <alignment horizontal="center" vertical="center" wrapText="1"/>
    </xf>
    <xf numFmtId="0" fontId="84" fillId="24" borderId="0" xfId="0" applyFont="1" applyFill="1" applyAlignment="1">
      <alignment vertical="center"/>
    </xf>
    <xf numFmtId="0" fontId="81" fillId="0" borderId="46" xfId="0" applyFont="1" applyBorder="1" applyAlignment="1">
      <alignment horizontal="left" vertical="center" wrapText="1"/>
    </xf>
    <xf numFmtId="0" fontId="80" fillId="0" borderId="78" xfId="0" applyFont="1" applyBorder="1" applyAlignment="1">
      <alignment horizontal="center" vertical="center" wrapText="1"/>
    </xf>
    <xf numFmtId="0" fontId="79" fillId="7" borderId="29" xfId="0" applyFont="1" applyFill="1" applyBorder="1" applyAlignment="1">
      <alignment horizontal="center" vertical="center" wrapText="1"/>
    </xf>
    <xf numFmtId="0" fontId="79" fillId="7" borderId="21" xfId="0" applyFont="1" applyFill="1" applyBorder="1" applyAlignment="1">
      <alignment horizontal="center" vertical="center" wrapText="1"/>
    </xf>
    <xf numFmtId="0" fontId="79" fillId="7" borderId="39" xfId="0" applyFont="1" applyFill="1" applyBorder="1" applyAlignment="1">
      <alignment horizontal="center" vertical="center" wrapText="1"/>
    </xf>
    <xf numFmtId="0" fontId="81" fillId="0" borderId="0" xfId="0" applyFont="1" applyAlignment="1">
      <alignment horizontal="left" vertical="center" wrapText="1"/>
    </xf>
    <xf numFmtId="0" fontId="23" fillId="0" borderId="0" xfId="0" applyFont="1" applyAlignment="1">
      <alignment horizontal="center"/>
    </xf>
    <xf numFmtId="165" fontId="23" fillId="0" borderId="0" xfId="0" applyNumberFormat="1" applyFont="1" applyAlignment="1">
      <alignment horizontal="center" vertical="center"/>
    </xf>
    <xf numFmtId="1" fontId="23" fillId="0" borderId="18" xfId="0" applyNumberFormat="1" applyFont="1" applyBorder="1" applyAlignment="1">
      <alignment horizontal="center" vertical="center" wrapText="1"/>
    </xf>
    <xf numFmtId="0" fontId="23" fillId="28" borderId="19" xfId="0" applyFont="1" applyFill="1" applyBorder="1" applyAlignment="1">
      <alignment horizontal="center" vertical="center" wrapText="1"/>
    </xf>
    <xf numFmtId="1" fontId="23" fillId="0" borderId="0" xfId="0" applyNumberFormat="1" applyFont="1" applyAlignment="1">
      <alignment horizontal="center" vertical="center" wrapText="1"/>
    </xf>
    <xf numFmtId="0" fontId="79" fillId="37" borderId="20" xfId="0" applyFont="1" applyFill="1" applyBorder="1" applyAlignment="1">
      <alignment horizontal="center" vertical="center" wrapText="1"/>
    </xf>
    <xf numFmtId="0" fontId="89" fillId="0" borderId="0" xfId="0" applyFont="1" applyAlignment="1">
      <alignment horizontal="center" vertical="center"/>
    </xf>
    <xf numFmtId="0" fontId="107" fillId="28" borderId="5" xfId="0" applyFont="1" applyFill="1" applyBorder="1" applyAlignment="1">
      <alignment horizontal="left" vertical="center" wrapText="1"/>
    </xf>
    <xf numFmtId="0" fontId="107" fillId="28" borderId="0" xfId="0" applyFont="1" applyFill="1" applyAlignment="1">
      <alignment horizontal="left" vertical="center" wrapText="1"/>
    </xf>
    <xf numFmtId="0" fontId="118" fillId="0" borderId="0" xfId="0" applyFont="1" applyAlignment="1">
      <alignment horizontal="left" vertical="center" wrapText="1"/>
    </xf>
    <xf numFmtId="0" fontId="49" fillId="31" borderId="0" xfId="0" applyFont="1" applyFill="1" applyAlignment="1">
      <alignment vertical="center"/>
    </xf>
    <xf numFmtId="0" fontId="45" fillId="38" borderId="0" xfId="0" applyFont="1" applyFill="1" applyAlignment="1">
      <alignment vertical="center"/>
    </xf>
    <xf numFmtId="0" fontId="50" fillId="38" borderId="0" xfId="0" applyFont="1" applyFill="1" applyAlignment="1">
      <alignment vertical="center"/>
    </xf>
    <xf numFmtId="0" fontId="0" fillId="38" borderId="0" xfId="0" applyFill="1"/>
    <xf numFmtId="0" fontId="45" fillId="38" borderId="0" xfId="0" applyFont="1" applyFill="1" applyAlignment="1">
      <alignment horizontal="center" vertical="center"/>
    </xf>
    <xf numFmtId="0" fontId="45" fillId="38" borderId="0" xfId="0" applyFont="1" applyFill="1" applyAlignment="1">
      <alignment horizontal="left" vertical="center"/>
    </xf>
    <xf numFmtId="0" fontId="46" fillId="0" borderId="0" xfId="0" applyFont="1"/>
    <xf numFmtId="0" fontId="46" fillId="0" borderId="0" xfId="0" applyFont="1" applyAlignment="1">
      <alignment horizontal="center"/>
    </xf>
    <xf numFmtId="0" fontId="138" fillId="0" borderId="0" xfId="2" applyFont="1" applyFill="1" applyBorder="1" applyAlignment="1">
      <alignment horizontal="left" vertical="center" wrapText="1"/>
    </xf>
    <xf numFmtId="0" fontId="46" fillId="0" borderId="29" xfId="0" applyFont="1" applyBorder="1" applyAlignment="1">
      <alignment horizontal="center" vertical="center"/>
    </xf>
    <xf numFmtId="0" fontId="46" fillId="0" borderId="21" xfId="0" applyFont="1" applyBorder="1" applyAlignment="1">
      <alignment horizontal="center" vertical="center"/>
    </xf>
    <xf numFmtId="0" fontId="46" fillId="0" borderId="21" xfId="0" applyFont="1" applyBorder="1"/>
    <xf numFmtId="0" fontId="46" fillId="0" borderId="39" xfId="0" applyFont="1" applyBorder="1" applyAlignment="1">
      <alignment horizontal="center" vertical="center"/>
    </xf>
    <xf numFmtId="0" fontId="138" fillId="0" borderId="0" xfId="2" applyFont="1" applyBorder="1" applyAlignment="1">
      <alignment horizontal="left" vertical="center" wrapText="1"/>
    </xf>
    <xf numFmtId="0" fontId="46" fillId="0" borderId="17" xfId="0" applyFont="1" applyBorder="1" applyAlignment="1">
      <alignment horizontal="center" vertical="center"/>
    </xf>
    <xf numFmtId="0" fontId="46" fillId="0" borderId="17" xfId="0" applyFont="1" applyBorder="1"/>
    <xf numFmtId="0" fontId="46" fillId="0" borderId="20" xfId="0" applyFont="1" applyBorder="1" applyAlignment="1">
      <alignment horizontal="center" vertical="center"/>
    </xf>
    <xf numFmtId="0" fontId="46" fillId="0" borderId="38" xfId="0" applyFont="1" applyBorder="1" applyAlignment="1">
      <alignment horizontal="center" vertical="center"/>
    </xf>
    <xf numFmtId="0" fontId="46" fillId="0" borderId="0" xfId="0" applyFont="1" applyAlignment="1">
      <alignment horizontal="left" vertical="center"/>
    </xf>
    <xf numFmtId="0" fontId="46" fillId="7" borderId="37" xfId="0" applyFont="1" applyFill="1" applyBorder="1" applyAlignment="1">
      <alignment vertical="center" wrapText="1"/>
    </xf>
    <xf numFmtId="0" fontId="46" fillId="7" borderId="17" xfId="0" applyFont="1" applyFill="1" applyBorder="1" applyAlignment="1">
      <alignment horizontal="center" vertical="center"/>
    </xf>
    <xf numFmtId="9" fontId="46" fillId="7" borderId="17" xfId="0" applyNumberFormat="1" applyFont="1" applyFill="1" applyBorder="1" applyAlignment="1">
      <alignment horizontal="center" vertical="center"/>
    </xf>
    <xf numFmtId="0" fontId="46" fillId="7" borderId="38" xfId="0" applyFont="1" applyFill="1" applyBorder="1" applyAlignment="1">
      <alignment vertical="center" wrapText="1"/>
    </xf>
    <xf numFmtId="0" fontId="46" fillId="7" borderId="0" xfId="0" applyFont="1" applyFill="1" applyAlignment="1">
      <alignment vertical="center" wrapText="1"/>
    </xf>
    <xf numFmtId="0" fontId="39" fillId="0" borderId="0" xfId="0" applyFont="1" applyAlignment="1">
      <alignment horizontal="left" wrapText="1"/>
    </xf>
    <xf numFmtId="0" fontId="46" fillId="7" borderId="0" xfId="0" applyFont="1" applyFill="1"/>
    <xf numFmtId="0" fontId="138" fillId="0" borderId="0" xfId="2" applyFont="1" applyBorder="1" applyAlignment="1">
      <alignment horizontal="left" wrapText="1"/>
    </xf>
    <xf numFmtId="0" fontId="46" fillId="7" borderId="38" xfId="0" applyFont="1" applyFill="1" applyBorder="1" applyAlignment="1">
      <alignment horizontal="center" vertical="center" wrapText="1"/>
    </xf>
    <xf numFmtId="0" fontId="46" fillId="7" borderId="17" xfId="0" applyFont="1" applyFill="1" applyBorder="1" applyAlignment="1">
      <alignment horizontal="center" vertical="center" wrapText="1"/>
    </xf>
    <xf numFmtId="0" fontId="46" fillId="14" borderId="37" xfId="0" applyFont="1" applyFill="1" applyBorder="1" applyAlignment="1">
      <alignment horizontal="center" vertical="center" wrapText="1"/>
    </xf>
    <xf numFmtId="0" fontId="46" fillId="14" borderId="17" xfId="0" applyFont="1" applyFill="1" applyBorder="1" applyAlignment="1">
      <alignment horizontal="center" vertical="center"/>
    </xf>
    <xf numFmtId="9" fontId="46" fillId="14" borderId="17" xfId="0" applyNumberFormat="1" applyFont="1" applyFill="1" applyBorder="1" applyAlignment="1">
      <alignment horizontal="center" vertical="center"/>
    </xf>
    <xf numFmtId="11" fontId="138" fillId="0" borderId="0" xfId="2" applyNumberFormat="1" applyFont="1" applyBorder="1" applyAlignment="1">
      <alignment horizontal="left" vertical="center" wrapText="1"/>
    </xf>
    <xf numFmtId="11" fontId="141" fillId="0" borderId="0" xfId="0" applyNumberFormat="1" applyFont="1" applyAlignment="1">
      <alignment horizontal="left" vertical="center" wrapText="1"/>
    </xf>
    <xf numFmtId="0" fontId="46" fillId="7" borderId="37" xfId="0" applyFont="1" applyFill="1" applyBorder="1" applyAlignment="1">
      <alignment horizontal="center" vertical="center" wrapText="1"/>
    </xf>
    <xf numFmtId="173" fontId="46" fillId="7" borderId="17" xfId="0" applyNumberFormat="1" applyFont="1" applyFill="1" applyBorder="1" applyAlignment="1">
      <alignment horizontal="center" vertical="center"/>
    </xf>
    <xf numFmtId="0" fontId="46" fillId="7" borderId="18" xfId="0" applyFont="1" applyFill="1" applyBorder="1" applyAlignment="1">
      <alignment vertical="center" wrapText="1"/>
    </xf>
    <xf numFmtId="0" fontId="46" fillId="0" borderId="18" xfId="0" applyFont="1" applyBorder="1" applyAlignment="1">
      <alignment vertical="center" wrapText="1"/>
    </xf>
    <xf numFmtId="0" fontId="46" fillId="0" borderId="18" xfId="0" applyFont="1" applyBorder="1" applyAlignment="1">
      <alignment horizontal="center" vertical="center" wrapText="1"/>
    </xf>
    <xf numFmtId="0" fontId="89" fillId="0" borderId="0" xfId="0" applyFont="1" applyAlignment="1">
      <alignment vertical="center"/>
    </xf>
    <xf numFmtId="0" fontId="51" fillId="0" borderId="15" xfId="0" applyFont="1" applyBorder="1"/>
    <xf numFmtId="0" fontId="46" fillId="0" borderId="0" xfId="0" applyFont="1" applyAlignment="1">
      <alignment vertical="center"/>
    </xf>
    <xf numFmtId="0" fontId="46" fillId="10" borderId="0" xfId="0" applyFont="1" applyFill="1" applyAlignment="1">
      <alignment vertical="center"/>
    </xf>
    <xf numFmtId="0" fontId="46" fillId="10" borderId="0" xfId="0" applyFont="1" applyFill="1"/>
    <xf numFmtId="0" fontId="51" fillId="0" borderId="0" xfId="0" applyFont="1"/>
    <xf numFmtId="0" fontId="51" fillId="0" borderId="0" xfId="0" applyFont="1" applyAlignment="1">
      <alignment horizontal="center"/>
    </xf>
    <xf numFmtId="0" fontId="87" fillId="0" borderId="0" xfId="0" applyFont="1" applyAlignment="1">
      <alignment vertical="center"/>
    </xf>
    <xf numFmtId="0" fontId="17" fillId="0" borderId="0" xfId="0" applyFont="1" applyAlignment="1">
      <alignment horizontal="center" vertical="center"/>
    </xf>
    <xf numFmtId="0" fontId="89" fillId="0" borderId="0" xfId="0" applyFont="1"/>
    <xf numFmtId="0" fontId="89" fillId="0" borderId="42" xfId="0" applyFont="1" applyBorder="1"/>
    <xf numFmtId="2" fontId="89" fillId="21" borderId="7" xfId="0" applyNumberFormat="1" applyFont="1" applyFill="1" applyBorder="1" applyAlignment="1">
      <alignment horizontal="center" vertical="center" wrapText="1"/>
    </xf>
    <xf numFmtId="2" fontId="53" fillId="14" borderId="7" xfId="0" applyNumberFormat="1" applyFont="1" applyFill="1" applyBorder="1" applyAlignment="1">
      <alignment horizontal="center" vertical="center" wrapText="1"/>
    </xf>
    <xf numFmtId="2" fontId="53" fillId="14" borderId="4" xfId="0" applyNumberFormat="1" applyFont="1" applyFill="1" applyBorder="1" applyAlignment="1">
      <alignment horizontal="center" vertical="center" wrapText="1"/>
    </xf>
    <xf numFmtId="0" fontId="55" fillId="22" borderId="5" xfId="0" applyFont="1" applyFill="1" applyBorder="1" applyAlignment="1">
      <alignment horizontal="left" vertical="center" wrapText="1"/>
    </xf>
    <xf numFmtId="0" fontId="55" fillId="14" borderId="5" xfId="0" applyFont="1" applyFill="1" applyBorder="1" applyAlignment="1">
      <alignment horizontal="left" vertical="center" wrapText="1"/>
    </xf>
    <xf numFmtId="0" fontId="55" fillId="7" borderId="5" xfId="0" applyFont="1" applyFill="1" applyBorder="1" applyAlignment="1">
      <alignment horizontal="left" vertical="center" wrapText="1"/>
    </xf>
    <xf numFmtId="165" fontId="23" fillId="0" borderId="19" xfId="0" applyNumberFormat="1" applyFont="1" applyBorder="1" applyAlignment="1">
      <alignment horizontal="center" vertical="center" wrapText="1"/>
    </xf>
    <xf numFmtId="2" fontId="12" fillId="29" borderId="0" xfId="0" applyNumberFormat="1" applyFont="1" applyFill="1" applyAlignment="1">
      <alignment horizontal="center" vertical="center"/>
    </xf>
    <xf numFmtId="2" fontId="12" fillId="7" borderId="0" xfId="0" applyNumberFormat="1" applyFont="1" applyFill="1" applyAlignment="1">
      <alignment horizontal="center" vertical="center"/>
    </xf>
    <xf numFmtId="0" fontId="147" fillId="31" borderId="0" xfId="0" applyFont="1" applyFill="1" applyAlignment="1">
      <alignment horizontal="left" vertical="center" wrapText="1"/>
    </xf>
    <xf numFmtId="0" fontId="148" fillId="0" borderId="0" xfId="0" applyFont="1"/>
    <xf numFmtId="0" fontId="150" fillId="38" borderId="0" xfId="0" applyFont="1" applyFill="1" applyAlignment="1">
      <alignment vertical="center"/>
    </xf>
    <xf numFmtId="0" fontId="45" fillId="32" borderId="0" xfId="0" applyFont="1" applyFill="1" applyAlignment="1">
      <alignment vertical="center"/>
    </xf>
    <xf numFmtId="0" fontId="0" fillId="32" borderId="0" xfId="0" applyFill="1"/>
    <xf numFmtId="0" fontId="41" fillId="0" borderId="0" xfId="0" applyFont="1" applyAlignment="1">
      <alignment horizontal="left" vertical="center"/>
    </xf>
    <xf numFmtId="0" fontId="44" fillId="0" borderId="0" xfId="0" applyFont="1" applyAlignment="1">
      <alignment vertical="center"/>
    </xf>
    <xf numFmtId="0" fontId="49" fillId="0" borderId="0" xfId="0" applyFont="1" applyAlignment="1">
      <alignment horizontal="left" vertical="center"/>
    </xf>
    <xf numFmtId="0" fontId="0" fillId="0" borderId="82" xfId="0" applyBorder="1"/>
    <xf numFmtId="0" fontId="49" fillId="0" borderId="75" xfId="0" applyFont="1" applyBorder="1" applyAlignment="1">
      <alignment horizontal="left" vertical="center"/>
    </xf>
    <xf numFmtId="0" fontId="0" fillId="0" borderId="84" xfId="0" applyBorder="1"/>
    <xf numFmtId="0" fontId="39" fillId="0" borderId="85" xfId="0" applyFont="1" applyBorder="1" applyAlignment="1">
      <alignment horizontal="left" vertical="center" wrapText="1"/>
    </xf>
    <xf numFmtId="0" fontId="39" fillId="0" borderId="85" xfId="0" applyFont="1" applyBorder="1" applyAlignment="1">
      <alignment horizontal="center" vertical="center"/>
    </xf>
    <xf numFmtId="0" fontId="48" fillId="0" borderId="85" xfId="0" applyFont="1" applyBorder="1" applyAlignment="1">
      <alignment horizontal="center" vertical="center"/>
    </xf>
    <xf numFmtId="0" fontId="44" fillId="35" borderId="73" xfId="0" applyFont="1" applyFill="1" applyBorder="1" applyAlignment="1">
      <alignment vertical="center"/>
    </xf>
    <xf numFmtId="0" fontId="44" fillId="35" borderId="74" xfId="0" applyFont="1" applyFill="1" applyBorder="1" applyAlignment="1">
      <alignment vertical="center"/>
    </xf>
    <xf numFmtId="0" fontId="44" fillId="0" borderId="76" xfId="0" applyFont="1" applyBorder="1" applyAlignment="1">
      <alignment vertical="center"/>
    </xf>
    <xf numFmtId="0" fontId="41" fillId="0" borderId="76" xfId="0" applyFont="1" applyBorder="1" applyAlignment="1">
      <alignment horizontal="left" vertical="center"/>
    </xf>
    <xf numFmtId="0" fontId="39" fillId="0" borderId="76" xfId="0" applyFont="1" applyBorder="1" applyAlignment="1">
      <alignment vertical="center"/>
    </xf>
    <xf numFmtId="0" fontId="39" fillId="0" borderId="85" xfId="0" applyFont="1" applyBorder="1" applyAlignment="1">
      <alignment vertical="center"/>
    </xf>
    <xf numFmtId="0" fontId="39" fillId="0" borderId="86" xfId="0" applyFont="1" applyBorder="1" applyAlignment="1">
      <alignment vertical="center"/>
    </xf>
    <xf numFmtId="0" fontId="82" fillId="0" borderId="7" xfId="0" applyFont="1" applyBorder="1" applyAlignment="1">
      <alignment horizontal="center" vertical="center" wrapText="1"/>
    </xf>
    <xf numFmtId="0" fontId="39" fillId="28" borderId="36" xfId="0" applyFont="1" applyFill="1" applyBorder="1"/>
    <xf numFmtId="0" fontId="49" fillId="32" borderId="0" xfId="0" applyFont="1" applyFill="1" applyAlignment="1">
      <alignment vertical="center"/>
    </xf>
    <xf numFmtId="0" fontId="0" fillId="0" borderId="83" xfId="0" applyBorder="1"/>
    <xf numFmtId="0" fontId="41" fillId="0" borderId="83" xfId="0" applyFont="1" applyBorder="1" applyAlignment="1">
      <alignment horizontal="left" vertical="center"/>
    </xf>
    <xf numFmtId="0" fontId="39" fillId="0" borderId="83" xfId="0" applyFont="1" applyBorder="1" applyAlignment="1">
      <alignment vertical="center"/>
    </xf>
    <xf numFmtId="0" fontId="107" fillId="28" borderId="5" xfId="0" applyFont="1" applyFill="1" applyBorder="1" applyAlignment="1">
      <alignment vertical="center" wrapText="1"/>
    </xf>
    <xf numFmtId="0" fontId="0" fillId="0" borderId="0" xfId="0" applyAlignment="1">
      <alignment horizontal="left" vertical="center"/>
    </xf>
    <xf numFmtId="0" fontId="59" fillId="4" borderId="42" xfId="0" applyFont="1" applyFill="1" applyBorder="1" applyAlignment="1">
      <alignment vertical="center"/>
    </xf>
    <xf numFmtId="4" fontId="89" fillId="22" borderId="7" xfId="0" applyNumberFormat="1" applyFont="1" applyFill="1" applyBorder="1" applyAlignment="1">
      <alignment horizontal="center" vertical="center" wrapText="1"/>
    </xf>
    <xf numFmtId="4" fontId="89" fillId="21" borderId="7" xfId="0" applyNumberFormat="1" applyFont="1" applyFill="1" applyBorder="1" applyAlignment="1">
      <alignment horizontal="center" vertical="center" wrapText="1"/>
    </xf>
    <xf numFmtId="4" fontId="89" fillId="14" borderId="7" xfId="0" applyNumberFormat="1" applyFont="1" applyFill="1" applyBorder="1" applyAlignment="1">
      <alignment horizontal="center" vertical="center" wrapText="1"/>
    </xf>
    <xf numFmtId="4" fontId="53" fillId="7" borderId="7" xfId="0" applyNumberFormat="1" applyFont="1" applyFill="1" applyBorder="1" applyAlignment="1">
      <alignment horizontal="center" vertical="center" wrapText="1"/>
    </xf>
    <xf numFmtId="0" fontId="55" fillId="0" borderId="67" xfId="0" applyFont="1" applyBorder="1" applyAlignment="1">
      <alignment horizontal="left" vertical="center" wrapText="1"/>
    </xf>
    <xf numFmtId="4" fontId="89" fillId="22" borderId="4" xfId="0" applyNumberFormat="1" applyFont="1" applyFill="1" applyBorder="1" applyAlignment="1">
      <alignment horizontal="center" vertical="center" wrapText="1"/>
    </xf>
    <xf numFmtId="4" fontId="89" fillId="14" borderId="4" xfId="0" applyNumberFormat="1" applyFont="1" applyFill="1" applyBorder="1" applyAlignment="1">
      <alignment horizontal="center" vertical="center" wrapText="1"/>
    </xf>
    <xf numFmtId="4" fontId="53" fillId="7" borderId="4" xfId="0" applyNumberFormat="1" applyFont="1" applyFill="1" applyBorder="1" applyAlignment="1">
      <alignment horizontal="center" vertical="center" wrapText="1"/>
    </xf>
    <xf numFmtId="4" fontId="89" fillId="10" borderId="4" xfId="0" applyNumberFormat="1" applyFont="1" applyFill="1" applyBorder="1" applyAlignment="1">
      <alignment horizontal="center" vertical="center" wrapText="1"/>
    </xf>
    <xf numFmtId="4" fontId="89" fillId="21" borderId="4" xfId="0" applyNumberFormat="1" applyFont="1" applyFill="1" applyBorder="1" applyAlignment="1">
      <alignment horizontal="center" vertical="center" wrapText="1"/>
    </xf>
    <xf numFmtId="0" fontId="154" fillId="4" borderId="0" xfId="0" applyFont="1" applyFill="1" applyAlignment="1">
      <alignment horizontal="center" vertical="center" wrapText="1"/>
    </xf>
    <xf numFmtId="3" fontId="53" fillId="14" borderId="7" xfId="0" applyNumberFormat="1" applyFont="1" applyFill="1" applyBorder="1" applyAlignment="1">
      <alignment horizontal="center" vertical="center" wrapText="1"/>
    </xf>
    <xf numFmtId="3" fontId="53" fillId="14" borderId="4" xfId="0" applyNumberFormat="1" applyFont="1" applyFill="1" applyBorder="1" applyAlignment="1">
      <alignment horizontal="center" vertical="center" wrapText="1"/>
    </xf>
    <xf numFmtId="0" fontId="52" fillId="2" borderId="0" xfId="0" applyFont="1" applyFill="1"/>
    <xf numFmtId="0" fontId="51" fillId="2" borderId="0" xfId="0" applyFont="1" applyFill="1"/>
    <xf numFmtId="0" fontId="155" fillId="2" borderId="0" xfId="0" applyFont="1" applyFill="1"/>
    <xf numFmtId="4" fontId="89" fillId="0" borderId="0" xfId="0" applyNumberFormat="1" applyFont="1" applyAlignment="1">
      <alignment horizontal="center" vertical="center" wrapText="1"/>
    </xf>
    <xf numFmtId="14" fontId="125" fillId="0" borderId="0" xfId="7" applyNumberFormat="1" applyFont="1" applyFill="1" applyBorder="1" applyAlignment="1" applyProtection="1">
      <alignment horizontal="left" vertical="center"/>
      <protection locked="0"/>
    </xf>
    <xf numFmtId="0" fontId="125" fillId="0" borderId="0" xfId="7" applyFont="1" applyFill="1" applyBorder="1" applyAlignment="1" applyProtection="1">
      <alignment vertical="center"/>
      <protection locked="0"/>
    </xf>
    <xf numFmtId="0" fontId="125" fillId="0" borderId="0" xfId="7" applyFont="1" applyFill="1" applyBorder="1" applyAlignment="1" applyProtection="1">
      <alignment horizontal="left" vertical="center"/>
      <protection locked="0"/>
    </xf>
    <xf numFmtId="0" fontId="112" fillId="0" borderId="0" xfId="0" applyFont="1" applyAlignment="1">
      <alignment vertical="center" wrapText="1"/>
    </xf>
    <xf numFmtId="0" fontId="124" fillId="0" borderId="0" xfId="0" applyFont="1" applyAlignment="1">
      <alignment horizontal="left" vertical="center" wrapText="1"/>
    </xf>
    <xf numFmtId="0" fontId="156" fillId="28" borderId="5" xfId="0" applyFont="1" applyFill="1" applyBorder="1" applyAlignment="1">
      <alignment horizontal="center" vertical="center" wrapText="1"/>
    </xf>
    <xf numFmtId="2" fontId="156" fillId="28" borderId="5" xfId="0" applyNumberFormat="1" applyFont="1" applyFill="1" applyBorder="1" applyAlignment="1">
      <alignment horizontal="center" vertical="center" wrapText="1"/>
    </xf>
    <xf numFmtId="0" fontId="50" fillId="0" borderId="43" xfId="0" applyFont="1" applyBorder="1" applyAlignment="1">
      <alignment vertical="center"/>
    </xf>
    <xf numFmtId="0" fontId="50" fillId="0" borderId="42" xfId="0" applyFont="1" applyBorder="1" applyAlignment="1">
      <alignment vertical="center"/>
    </xf>
    <xf numFmtId="0" fontId="113" fillId="0" borderId="0" xfId="0" applyFont="1" applyAlignment="1">
      <alignment vertical="center" wrapText="1"/>
    </xf>
    <xf numFmtId="165" fontId="80" fillId="0" borderId="20" xfId="0" applyNumberFormat="1" applyFont="1" applyBorder="1" applyAlignment="1">
      <alignment horizontal="center" vertical="center" wrapText="1"/>
    </xf>
    <xf numFmtId="171" fontId="80" fillId="0" borderId="20" xfId="0" applyNumberFormat="1" applyFont="1" applyBorder="1" applyAlignment="1">
      <alignment horizontal="center" vertical="center" wrapText="1"/>
    </xf>
    <xf numFmtId="174" fontId="80" fillId="0" borderId="17" xfId="0" applyNumberFormat="1" applyFont="1" applyBorder="1" applyAlignment="1">
      <alignment horizontal="center" vertical="center" wrapText="1"/>
    </xf>
    <xf numFmtId="2" fontId="99" fillId="31" borderId="0" xfId="0" applyNumberFormat="1" applyFont="1" applyFill="1" applyAlignment="1">
      <alignment horizontal="left" vertical="center" wrapText="1"/>
    </xf>
    <xf numFmtId="4" fontId="53" fillId="14" borderId="7" xfId="0" applyNumberFormat="1" applyFont="1" applyFill="1" applyBorder="1" applyAlignment="1">
      <alignment horizontal="center" vertical="center" wrapText="1"/>
    </xf>
    <xf numFmtId="4" fontId="53" fillId="14" borderId="4" xfId="0" applyNumberFormat="1" applyFont="1" applyFill="1" applyBorder="1" applyAlignment="1">
      <alignment horizontal="center" vertical="center" wrapText="1"/>
    </xf>
    <xf numFmtId="2" fontId="89" fillId="22" borderId="7" xfId="0" applyNumberFormat="1" applyFont="1" applyFill="1" applyBorder="1" applyAlignment="1">
      <alignment horizontal="center" vertical="center" wrapText="1"/>
    </xf>
    <xf numFmtId="2" fontId="89" fillId="22" borderId="4" xfId="0" applyNumberFormat="1" applyFont="1" applyFill="1" applyBorder="1" applyAlignment="1">
      <alignment horizontal="center" vertical="center" wrapText="1"/>
    </xf>
    <xf numFmtId="166" fontId="89" fillId="22" borderId="7" xfId="0" applyNumberFormat="1" applyFont="1" applyFill="1" applyBorder="1" applyAlignment="1">
      <alignment horizontal="center" vertical="center" wrapText="1"/>
    </xf>
    <xf numFmtId="166" fontId="89" fillId="22" borderId="4" xfId="0" applyNumberFormat="1" applyFont="1" applyFill="1" applyBorder="1" applyAlignment="1">
      <alignment horizontal="center" vertical="center" wrapText="1"/>
    </xf>
    <xf numFmtId="166" fontId="89" fillId="14" borderId="7" xfId="0" applyNumberFormat="1" applyFont="1" applyFill="1" applyBorder="1" applyAlignment="1">
      <alignment horizontal="center" vertical="center" wrapText="1"/>
    </xf>
    <xf numFmtId="166" fontId="89" fillId="14" borderId="4" xfId="0" applyNumberFormat="1" applyFont="1" applyFill="1" applyBorder="1" applyAlignment="1">
      <alignment horizontal="center" vertical="center" wrapText="1"/>
    </xf>
    <xf numFmtId="166" fontId="53" fillId="7" borderId="7" xfId="0" applyNumberFormat="1" applyFont="1" applyFill="1" applyBorder="1" applyAlignment="1">
      <alignment horizontal="center" vertical="center" wrapText="1"/>
    </xf>
    <xf numFmtId="166" fontId="53" fillId="7" borderId="4" xfId="0" applyNumberFormat="1" applyFont="1" applyFill="1" applyBorder="1" applyAlignment="1">
      <alignment horizontal="center" vertical="center" wrapText="1"/>
    </xf>
    <xf numFmtId="166" fontId="89" fillId="21" borderId="7" xfId="0" applyNumberFormat="1" applyFont="1" applyFill="1" applyBorder="1" applyAlignment="1">
      <alignment horizontal="center" vertical="center" wrapText="1"/>
    </xf>
    <xf numFmtId="166" fontId="89" fillId="10" borderId="4" xfId="0" applyNumberFormat="1" applyFont="1" applyFill="1" applyBorder="1" applyAlignment="1">
      <alignment horizontal="center" vertical="center" wrapText="1"/>
    </xf>
    <xf numFmtId="175" fontId="23" fillId="0" borderId="0" xfId="0" applyNumberFormat="1" applyFont="1" applyAlignment="1">
      <alignment horizontal="center" vertical="center" wrapText="1"/>
    </xf>
    <xf numFmtId="179" fontId="80" fillId="0" borderId="20" xfId="0" applyNumberFormat="1" applyFont="1" applyBorder="1" applyAlignment="1">
      <alignment horizontal="center" vertical="center" wrapText="1"/>
    </xf>
    <xf numFmtId="174" fontId="80" fillId="0" borderId="0" xfId="0" applyNumberFormat="1" applyFont="1" applyAlignment="1">
      <alignment horizontal="center" vertical="center" wrapText="1"/>
    </xf>
    <xf numFmtId="0" fontId="59" fillId="0" borderId="0" xfId="0" applyFont="1" applyAlignment="1">
      <alignment vertical="center"/>
    </xf>
    <xf numFmtId="14" fontId="125" fillId="0" borderId="0" xfId="7" applyNumberFormat="1" applyFont="1" applyFill="1" applyBorder="1" applyAlignment="1" applyProtection="1">
      <alignment vertical="center"/>
      <protection locked="0"/>
    </xf>
    <xf numFmtId="0" fontId="160" fillId="10" borderId="0" xfId="6" applyFont="1" applyFill="1"/>
    <xf numFmtId="0" fontId="161" fillId="10" borderId="0" xfId="6" applyFont="1" applyFill="1"/>
    <xf numFmtId="0" fontId="160" fillId="10" borderId="0" xfId="6" applyFont="1" applyFill="1" applyAlignment="1">
      <alignment horizontal="center"/>
    </xf>
    <xf numFmtId="0" fontId="161" fillId="10" borderId="0" xfId="6" applyFont="1" applyFill="1" applyAlignment="1">
      <alignment horizontal="center"/>
    </xf>
    <xf numFmtId="0" fontId="163" fillId="10" borderId="0" xfId="6" applyFont="1" applyFill="1" applyAlignment="1">
      <alignment vertical="center"/>
    </xf>
    <xf numFmtId="0" fontId="165" fillId="10" borderId="0" xfId="6" applyFont="1" applyFill="1"/>
    <xf numFmtId="0" fontId="168" fillId="10" borderId="0" xfId="6" applyFont="1" applyFill="1"/>
    <xf numFmtId="0" fontId="168" fillId="10" borderId="0" xfId="6" applyFont="1" applyFill="1" applyAlignment="1">
      <alignment vertical="center"/>
    </xf>
    <xf numFmtId="0" fontId="165" fillId="0" borderId="0" xfId="6" applyFont="1"/>
    <xf numFmtId="0" fontId="51" fillId="10" borderId="0" xfId="6" applyFont="1" applyFill="1"/>
    <xf numFmtId="0" fontId="51" fillId="10" borderId="0" xfId="6" applyFont="1" applyFill="1" applyAlignment="1">
      <alignment horizontal="left" vertical="center" wrapText="1"/>
    </xf>
    <xf numFmtId="0" fontId="155" fillId="10" borderId="0" xfId="6" applyFont="1" applyFill="1" applyAlignment="1">
      <alignment horizontal="right" vertical="top" wrapText="1"/>
    </xf>
    <xf numFmtId="0" fontId="51" fillId="10" borderId="0" xfId="6" applyFont="1" applyFill="1" applyAlignment="1">
      <alignment horizontal="left" vertical="top" wrapText="1"/>
    </xf>
    <xf numFmtId="0" fontId="155" fillId="10" borderId="0" xfId="6" applyFont="1" applyFill="1" applyAlignment="1">
      <alignment horizontal="right" vertical="center" indent="1"/>
    </xf>
    <xf numFmtId="0" fontId="169" fillId="0" borderId="0" xfId="0" applyFont="1"/>
    <xf numFmtId="0" fontId="169" fillId="0" borderId="0" xfId="0" applyFont="1" applyAlignment="1">
      <alignment horizontal="left" vertical="center"/>
    </xf>
    <xf numFmtId="0" fontId="46" fillId="0" borderId="50" xfId="0" applyFont="1" applyBorder="1" applyAlignment="1">
      <alignment horizontal="left" vertical="center" wrapText="1"/>
    </xf>
    <xf numFmtId="0" fontId="50" fillId="4" borderId="32" xfId="0" applyFont="1" applyFill="1" applyBorder="1" applyAlignment="1">
      <alignment horizontal="center" vertical="center"/>
    </xf>
    <xf numFmtId="0" fontId="51" fillId="10" borderId="0" xfId="6" applyFont="1" applyFill="1" applyAlignment="1">
      <alignment vertical="center" wrapText="1"/>
    </xf>
    <xf numFmtId="0" fontId="51" fillId="10" borderId="0" xfId="6" applyFont="1" applyFill="1" applyAlignment="1">
      <alignment vertical="top" wrapText="1"/>
    </xf>
    <xf numFmtId="0" fontId="160" fillId="10" borderId="0" xfId="6" applyFont="1" applyFill="1" applyAlignment="1">
      <alignment vertical="center"/>
    </xf>
    <xf numFmtId="0" fontId="161" fillId="10" borderId="0" xfId="6" applyFont="1" applyFill="1" applyAlignment="1">
      <alignment vertical="center"/>
    </xf>
    <xf numFmtId="0" fontId="89" fillId="0" borderId="0" xfId="0" applyFont="1" applyAlignment="1">
      <alignment horizontal="left" vertical="top"/>
    </xf>
    <xf numFmtId="0" fontId="89" fillId="0" borderId="0" xfId="0" applyFont="1" applyAlignment="1">
      <alignment vertical="top" wrapText="1"/>
    </xf>
    <xf numFmtId="0" fontId="89" fillId="0" borderId="0" xfId="0" applyFont="1" applyAlignment="1">
      <alignment vertical="top"/>
    </xf>
    <xf numFmtId="0" fontId="155" fillId="10" borderId="0" xfId="6" applyFont="1" applyFill="1" applyAlignment="1">
      <alignment vertical="top"/>
    </xf>
    <xf numFmtId="0" fontId="46" fillId="10" borderId="0" xfId="6" applyFont="1" applyFill="1" applyAlignment="1">
      <alignment vertical="center" wrapText="1"/>
    </xf>
    <xf numFmtId="0" fontId="169" fillId="45" borderId="104" xfId="0" applyFont="1" applyFill="1" applyBorder="1" applyAlignment="1">
      <alignment vertical="center" wrapText="1"/>
    </xf>
    <xf numFmtId="0" fontId="90" fillId="0" borderId="0" xfId="0" applyFont="1" applyAlignment="1">
      <alignment horizontal="left" vertical="center"/>
    </xf>
    <xf numFmtId="0" fontId="178" fillId="0" borderId="111" xfId="0" applyFont="1" applyBorder="1" applyAlignment="1">
      <alignment horizontal="right" vertical="top" wrapText="1"/>
    </xf>
    <xf numFmtId="0" fontId="55" fillId="0" borderId="0" xfId="0" applyFont="1" applyAlignment="1">
      <alignment vertical="center"/>
    </xf>
    <xf numFmtId="0" fontId="61" fillId="0" borderId="0" xfId="0" applyFont="1" applyAlignment="1">
      <alignment vertical="center"/>
    </xf>
    <xf numFmtId="3" fontId="46" fillId="0" borderId="0" xfId="0" applyNumberFormat="1" applyFont="1" applyAlignment="1">
      <alignment horizontal="center" vertical="center" wrapText="1"/>
    </xf>
    <xf numFmtId="0" fontId="53" fillId="0" borderId="115" xfId="0" applyFont="1" applyBorder="1" applyAlignment="1">
      <alignment vertical="top" wrapText="1"/>
    </xf>
    <xf numFmtId="0" fontId="53" fillId="0" borderId="116" xfId="0" applyFont="1" applyBorder="1" applyAlignment="1">
      <alignment vertical="top" wrapText="1"/>
    </xf>
    <xf numFmtId="0" fontId="53" fillId="0" borderId="114" xfId="0" applyFont="1" applyBorder="1" applyAlignment="1">
      <alignment horizontal="left" vertical="top" wrapText="1"/>
    </xf>
    <xf numFmtId="0" fontId="107" fillId="28" borderId="66" xfId="0" applyFont="1" applyFill="1" applyBorder="1" applyAlignment="1">
      <alignment vertical="center" wrapText="1"/>
    </xf>
    <xf numFmtId="0" fontId="107" fillId="28" borderId="66" xfId="0" applyFont="1" applyFill="1" applyBorder="1" applyAlignment="1">
      <alignment horizontal="center" vertical="center" wrapText="1"/>
    </xf>
    <xf numFmtId="0" fontId="107" fillId="28" borderId="0" xfId="0" applyFont="1" applyFill="1" applyAlignment="1">
      <alignment horizontal="center" vertical="center" wrapText="1"/>
    </xf>
    <xf numFmtId="0" fontId="107" fillId="28" borderId="9" xfId="0" applyFont="1" applyFill="1" applyBorder="1" applyAlignment="1">
      <alignment horizontal="center" vertical="center" wrapText="1"/>
    </xf>
    <xf numFmtId="0" fontId="107" fillId="28" borderId="6" xfId="0" applyFont="1" applyFill="1" applyBorder="1" applyAlignment="1">
      <alignment vertical="center" wrapText="1"/>
    </xf>
    <xf numFmtId="14" fontId="128" fillId="0" borderId="0" xfId="7" applyNumberFormat="1" applyFont="1" applyFill="1" applyBorder="1" applyAlignment="1" applyProtection="1">
      <alignment horizontal="left" vertical="center"/>
      <protection locked="0"/>
    </xf>
    <xf numFmtId="0" fontId="128" fillId="0" borderId="0" xfId="7" applyFont="1" applyFill="1" applyBorder="1" applyAlignment="1" applyProtection="1">
      <alignment horizontal="left" vertical="center"/>
      <protection locked="0"/>
    </xf>
    <xf numFmtId="0" fontId="129" fillId="0" borderId="0" xfId="0" applyFont="1" applyAlignment="1">
      <alignment horizontal="left"/>
    </xf>
    <xf numFmtId="0" fontId="118" fillId="0" borderId="0" xfId="0" applyFont="1" applyAlignment="1">
      <alignment vertical="center" wrapText="1"/>
    </xf>
    <xf numFmtId="0" fontId="184" fillId="28" borderId="5" xfId="0" applyFont="1" applyFill="1" applyBorder="1" applyAlignment="1">
      <alignment horizontal="center" vertical="center" wrapText="1"/>
    </xf>
    <xf numFmtId="0" fontId="107" fillId="28" borderId="11" xfId="0" applyFont="1" applyFill="1" applyBorder="1" applyAlignment="1">
      <alignment horizontal="center" vertical="center" wrapText="1"/>
    </xf>
    <xf numFmtId="0" fontId="107" fillId="28" borderId="11" xfId="0" applyFont="1" applyFill="1" applyBorder="1" applyAlignment="1">
      <alignment vertical="center" wrapText="1"/>
    </xf>
    <xf numFmtId="0" fontId="107" fillId="28" borderId="68" xfId="0" applyFont="1" applyFill="1" applyBorder="1" applyAlignment="1">
      <alignment vertical="center" wrapText="1"/>
    </xf>
    <xf numFmtId="0" fontId="107" fillId="28" borderId="67" xfId="0" applyFont="1" applyFill="1" applyBorder="1" applyAlignment="1">
      <alignment vertical="center" wrapText="1"/>
    </xf>
    <xf numFmtId="0" fontId="53" fillId="10" borderId="0" xfId="6" applyFont="1" applyFill="1" applyAlignment="1">
      <alignment vertical="center"/>
    </xf>
    <xf numFmtId="0" fontId="52" fillId="10" borderId="0" xfId="6" applyFont="1" applyFill="1" applyAlignment="1">
      <alignment horizontal="right" vertical="center" indent="1"/>
    </xf>
    <xf numFmtId="0" fontId="53" fillId="10" borderId="0" xfId="6" applyFont="1" applyFill="1" applyAlignment="1">
      <alignment horizontal="left" vertical="center" wrapText="1"/>
    </xf>
    <xf numFmtId="0" fontId="53" fillId="0" borderId="0" xfId="6" applyFont="1" applyAlignment="1">
      <alignment horizontal="left" vertical="center"/>
    </xf>
    <xf numFmtId="0" fontId="178" fillId="10" borderId="0" xfId="6" applyFont="1" applyFill="1" applyAlignment="1">
      <alignment vertical="top" wrapText="1"/>
    </xf>
    <xf numFmtId="0" fontId="53" fillId="10" borderId="0" xfId="6" applyFont="1" applyFill="1" applyAlignment="1">
      <alignment horizontal="left" vertical="top" wrapText="1"/>
    </xf>
    <xf numFmtId="0" fontId="107" fillId="28" borderId="7" xfId="0" applyFont="1" applyFill="1" applyBorder="1" applyAlignment="1">
      <alignment horizontal="center" vertical="center" wrapText="1"/>
    </xf>
    <xf numFmtId="0" fontId="149" fillId="28" borderId="67" xfId="0" applyFont="1" applyFill="1" applyBorder="1" applyAlignment="1">
      <alignment horizontal="left" vertical="center"/>
    </xf>
    <xf numFmtId="0" fontId="54" fillId="28" borderId="67" xfId="0" applyFont="1" applyFill="1" applyBorder="1" applyAlignment="1">
      <alignment horizontal="center" vertical="center"/>
    </xf>
    <xf numFmtId="0" fontId="149" fillId="28" borderId="0" xfId="0" applyFont="1" applyFill="1" applyAlignment="1">
      <alignment horizontal="left" vertical="center"/>
    </xf>
    <xf numFmtId="0" fontId="89" fillId="0" borderId="13" xfId="0" applyFont="1" applyBorder="1" applyAlignment="1">
      <alignment horizontal="center" vertical="center" wrapText="1"/>
    </xf>
    <xf numFmtId="0" fontId="55" fillId="0" borderId="0" xfId="0" applyFont="1" applyAlignment="1">
      <alignment horizontal="left" vertical="center" wrapText="1"/>
    </xf>
    <xf numFmtId="0" fontId="142" fillId="0" borderId="110" xfId="0" applyFont="1" applyBorder="1" applyAlignment="1">
      <alignment horizontal="right" vertical="top" wrapText="1"/>
    </xf>
    <xf numFmtId="0" fontId="52" fillId="46" borderId="5" xfId="0" applyFont="1" applyFill="1" applyBorder="1" applyAlignment="1">
      <alignment horizontal="left" vertical="center" wrapText="1"/>
    </xf>
    <xf numFmtId="0" fontId="53" fillId="46" borderId="6" xfId="0" applyFont="1" applyFill="1" applyBorder="1" applyAlignment="1">
      <alignment horizontal="center" vertical="center"/>
    </xf>
    <xf numFmtId="166" fontId="53" fillId="46" borderId="7" xfId="0" applyNumberFormat="1" applyFont="1" applyFill="1" applyBorder="1" applyAlignment="1">
      <alignment horizontal="center" vertical="center" wrapText="1"/>
    </xf>
    <xf numFmtId="166" fontId="53" fillId="46" borderId="4" xfId="0" applyNumberFormat="1" applyFont="1" applyFill="1" applyBorder="1" applyAlignment="1">
      <alignment horizontal="center" vertical="center" wrapText="1"/>
    </xf>
    <xf numFmtId="166" fontId="89" fillId="0" borderId="0" xfId="0" applyNumberFormat="1" applyFont="1" applyAlignment="1">
      <alignment horizontal="center" vertical="center" wrapText="1"/>
    </xf>
    <xf numFmtId="0" fontId="53" fillId="0" borderId="0" xfId="0" applyFont="1" applyAlignment="1">
      <alignment horizontal="left" vertical="center" wrapText="1"/>
    </xf>
    <xf numFmtId="0" fontId="197" fillId="4" borderId="0" xfId="2" applyFont="1" applyFill="1" applyAlignment="1">
      <alignment horizontal="center" vertical="center" wrapText="1"/>
    </xf>
    <xf numFmtId="0" fontId="89" fillId="41" borderId="5" xfId="0" applyFont="1" applyFill="1" applyBorder="1" applyAlignment="1">
      <alignment horizontal="left" vertical="center" wrapText="1"/>
    </xf>
    <xf numFmtId="166" fontId="89" fillId="41" borderId="7" xfId="0" applyNumberFormat="1" applyFont="1" applyFill="1" applyBorder="1" applyAlignment="1">
      <alignment horizontal="center" vertical="center" wrapText="1"/>
    </xf>
    <xf numFmtId="166" fontId="89" fillId="41" borderId="4" xfId="0" applyNumberFormat="1" applyFont="1" applyFill="1" applyBorder="1" applyAlignment="1">
      <alignment horizontal="center" vertical="center" wrapText="1"/>
    </xf>
    <xf numFmtId="0" fontId="79" fillId="28" borderId="7" xfId="0" applyFont="1" applyFill="1" applyBorder="1" applyAlignment="1">
      <alignment horizontal="center" vertical="center" wrapText="1"/>
    </xf>
    <xf numFmtId="0" fontId="80" fillId="28" borderId="7" xfId="0" applyFont="1" applyFill="1" applyBorder="1" applyAlignment="1">
      <alignment horizontal="center" vertical="center" wrapText="1"/>
    </xf>
    <xf numFmtId="0" fontId="86" fillId="28" borderId="7" xfId="0" applyFont="1" applyFill="1" applyBorder="1" applyAlignment="1">
      <alignment horizontal="center" vertical="center" wrapText="1"/>
    </xf>
    <xf numFmtId="2" fontId="80" fillId="28" borderId="7" xfId="0" applyNumberFormat="1" applyFont="1" applyFill="1" applyBorder="1" applyAlignment="1">
      <alignment horizontal="center" vertical="center" wrapText="1"/>
    </xf>
    <xf numFmtId="175" fontId="80" fillId="28" borderId="7" xfId="0" applyNumberFormat="1" applyFont="1" applyFill="1" applyBorder="1" applyAlignment="1">
      <alignment horizontal="center" vertical="center" wrapText="1"/>
    </xf>
    <xf numFmtId="2" fontId="111" fillId="28" borderId="7" xfId="0" applyNumberFormat="1" applyFont="1" applyFill="1" applyBorder="1" applyAlignment="1">
      <alignment horizontal="center" vertical="center" wrapText="1"/>
    </xf>
    <xf numFmtId="1" fontId="80" fillId="28" borderId="7" xfId="0" applyNumberFormat="1" applyFont="1" applyFill="1" applyBorder="1" applyAlignment="1">
      <alignment horizontal="center" vertical="center" wrapText="1"/>
    </xf>
    <xf numFmtId="165" fontId="80" fillId="28" borderId="7" xfId="0" applyNumberFormat="1" applyFont="1" applyFill="1" applyBorder="1" applyAlignment="1">
      <alignment horizontal="center" vertical="center" wrapText="1"/>
    </xf>
    <xf numFmtId="0" fontId="80" fillId="28" borderId="14" xfId="0" applyFont="1" applyFill="1" applyBorder="1" applyAlignment="1">
      <alignment horizontal="center" vertical="center" wrapText="1"/>
    </xf>
    <xf numFmtId="175" fontId="80" fillId="0" borderId="39" xfId="0" applyNumberFormat="1" applyFont="1" applyBorder="1" applyAlignment="1">
      <alignment horizontal="center" vertical="center" wrapText="1"/>
    </xf>
    <xf numFmtId="2" fontId="80" fillId="28" borderId="14" xfId="0" applyNumberFormat="1" applyFont="1" applyFill="1" applyBorder="1" applyAlignment="1">
      <alignment horizontal="center" vertical="center" wrapText="1"/>
    </xf>
    <xf numFmtId="165" fontId="80" fillId="0" borderId="29" xfId="0" applyNumberFormat="1" applyFont="1" applyBorder="1" applyAlignment="1">
      <alignment horizontal="center" vertical="center" wrapText="1"/>
    </xf>
    <xf numFmtId="1" fontId="80" fillId="28" borderId="14" xfId="0" applyNumberFormat="1" applyFont="1" applyFill="1" applyBorder="1" applyAlignment="1">
      <alignment horizontal="center" vertical="center" wrapText="1"/>
    </xf>
    <xf numFmtId="0" fontId="79" fillId="7" borderId="7" xfId="0" applyFont="1" applyFill="1" applyBorder="1" applyAlignment="1">
      <alignment horizontal="center" vertical="center" wrapText="1"/>
    </xf>
    <xf numFmtId="0" fontId="86" fillId="27" borderId="7" xfId="0" applyFont="1" applyFill="1" applyBorder="1" applyAlignment="1">
      <alignment horizontal="center" vertical="center" wrapText="1"/>
    </xf>
    <xf numFmtId="0" fontId="79" fillId="0" borderId="7" xfId="0" applyFont="1" applyBorder="1" applyAlignment="1">
      <alignment horizontal="center" vertical="center" wrapText="1"/>
    </xf>
    <xf numFmtId="0" fontId="80" fillId="0" borderId="7" xfId="0" applyFont="1" applyBorder="1" applyAlignment="1">
      <alignment horizontal="center" vertical="center" wrapText="1"/>
    </xf>
    <xf numFmtId="2" fontId="80" fillId="0" borderId="7" xfId="0" applyNumberFormat="1" applyFont="1" applyBorder="1" applyAlignment="1">
      <alignment horizontal="center" vertical="center" wrapText="1"/>
    </xf>
    <xf numFmtId="165" fontId="80" fillId="0" borderId="7" xfId="0" applyNumberFormat="1" applyFont="1" applyBorder="1" applyAlignment="1">
      <alignment horizontal="center" vertical="center" wrapText="1"/>
    </xf>
    <xf numFmtId="1" fontId="80" fillId="0" borderId="7" xfId="0" applyNumberFormat="1" applyFont="1" applyBorder="1" applyAlignment="1">
      <alignment horizontal="center" vertical="center" wrapText="1"/>
    </xf>
    <xf numFmtId="0" fontId="79" fillId="0" borderId="7" xfId="0" applyFont="1" applyBorder="1" applyAlignment="1">
      <alignment horizontal="center" vertical="center"/>
    </xf>
    <xf numFmtId="175" fontId="80" fillId="0" borderId="7" xfId="0" applyNumberFormat="1" applyFont="1" applyBorder="1" applyAlignment="1">
      <alignment horizontal="center" vertical="center" wrapText="1"/>
    </xf>
    <xf numFmtId="174" fontId="80" fillId="0" borderId="7" xfId="0" applyNumberFormat="1" applyFont="1" applyBorder="1" applyAlignment="1">
      <alignment horizontal="center" vertical="center" wrapText="1"/>
    </xf>
    <xf numFmtId="3" fontId="80" fillId="0" borderId="17" xfId="0" applyNumberFormat="1" applyFont="1" applyBorder="1" applyAlignment="1">
      <alignment horizontal="center" vertical="center" wrapText="1"/>
    </xf>
    <xf numFmtId="0" fontId="58" fillId="0" borderId="64" xfId="0" applyFont="1" applyBorder="1" applyAlignment="1">
      <alignment horizontal="left" vertical="center" wrapText="1"/>
    </xf>
    <xf numFmtId="165" fontId="80" fillId="0" borderId="38" xfId="0" applyNumberFormat="1" applyFont="1" applyBorder="1" applyAlignment="1">
      <alignment horizontal="center" vertical="center" wrapText="1"/>
    </xf>
    <xf numFmtId="4" fontId="111" fillId="29" borderId="0" xfId="0" applyNumberFormat="1" applyFont="1" applyFill="1" applyAlignment="1">
      <alignment horizontal="center" vertical="center" wrapText="1"/>
    </xf>
    <xf numFmtId="0" fontId="0" fillId="28" borderId="0" xfId="0" applyFill="1"/>
    <xf numFmtId="0" fontId="89" fillId="0" borderId="5" xfId="0" applyFont="1" applyBorder="1" applyAlignment="1">
      <alignment horizontal="center" vertical="center" wrapText="1"/>
      <extLst>
        <ext xmlns:xfpb="http://schemas.microsoft.com/office/spreadsheetml/2022/featurepropertybag" uri="{C7286773-470A-42A8-94C5-96B5CB345126}">
          <xfpb:xfComplement i="0"/>
        </ext>
      </extLst>
    </xf>
    <xf numFmtId="0" fontId="152" fillId="0" borderId="82" xfId="0" applyFont="1" applyBorder="1" applyAlignment="1">
      <alignment horizontal="left" vertical="center"/>
    </xf>
    <xf numFmtId="0" fontId="152" fillId="0" borderId="83" xfId="0" applyFont="1" applyBorder="1" applyAlignment="1">
      <alignment horizontal="left" vertical="center"/>
    </xf>
    <xf numFmtId="0" fontId="178" fillId="0" borderId="111" xfId="0" applyFont="1" applyBorder="1" applyAlignment="1">
      <alignment vertical="top" wrapText="1"/>
    </xf>
    <xf numFmtId="0" fontId="178" fillId="0" borderId="112" xfId="0" applyFont="1" applyBorder="1" applyAlignment="1">
      <alignment vertical="top" wrapText="1"/>
    </xf>
    <xf numFmtId="0" fontId="178" fillId="0" borderId="113" xfId="0" applyFont="1" applyBorder="1" applyAlignment="1">
      <alignment vertical="top" wrapText="1"/>
    </xf>
    <xf numFmtId="0" fontId="15" fillId="28" borderId="0" xfId="0" applyFont="1" applyFill="1"/>
    <xf numFmtId="0" fontId="49" fillId="28" borderId="0" xfId="0" applyFont="1" applyFill="1" applyAlignment="1">
      <alignment vertical="center"/>
    </xf>
    <xf numFmtId="0" fontId="45" fillId="28" borderId="0" xfId="0" applyFont="1" applyFill="1" applyAlignment="1">
      <alignment vertical="center"/>
    </xf>
    <xf numFmtId="0" fontId="15" fillId="0" borderId="0" xfId="0" applyFont="1"/>
    <xf numFmtId="0" fontId="107" fillId="0" borderId="0" xfId="0" applyFont="1" applyAlignment="1">
      <alignment horizontal="center" vertical="center" wrapText="1"/>
    </xf>
    <xf numFmtId="174" fontId="95" fillId="0" borderId="0" xfId="0" applyNumberFormat="1" applyFont="1" applyAlignment="1">
      <alignment horizontal="center" vertical="center"/>
    </xf>
    <xf numFmtId="4" fontId="18" fillId="31" borderId="0" xfId="0" applyNumberFormat="1" applyFont="1" applyFill="1" applyAlignment="1">
      <alignment horizontal="center" vertical="center" wrapText="1"/>
    </xf>
    <xf numFmtId="4" fontId="118" fillId="0" borderId="0" xfId="0" applyNumberFormat="1" applyFont="1" applyAlignment="1">
      <alignment horizontal="center" vertical="center" wrapText="1"/>
    </xf>
    <xf numFmtId="4" fontId="53" fillId="0" borderId="0" xfId="0" applyNumberFormat="1" applyFont="1" applyAlignment="1">
      <alignment horizontal="center" vertical="center" wrapText="1"/>
    </xf>
    <xf numFmtId="165" fontId="89" fillId="0" borderId="0" xfId="0" applyNumberFormat="1" applyFont="1" applyAlignment="1">
      <alignment horizontal="center" vertical="center" wrapText="1"/>
    </xf>
    <xf numFmtId="165" fontId="53" fillId="0" borderId="0" xfId="0" applyNumberFormat="1" applyFont="1" applyAlignment="1">
      <alignment horizontal="center" vertical="center" wrapText="1"/>
    </xf>
    <xf numFmtId="177" fontId="89" fillId="0" borderId="0" xfId="0" applyNumberFormat="1" applyFont="1" applyAlignment="1">
      <alignment horizontal="center" vertical="center" wrapText="1"/>
    </xf>
    <xf numFmtId="11" fontId="39" fillId="0" borderId="0" xfId="0" applyNumberFormat="1" applyFont="1" applyAlignment="1">
      <alignment horizontal="center" vertical="center" wrapText="1"/>
    </xf>
    <xf numFmtId="2" fontId="39" fillId="0" borderId="0" xfId="0" applyNumberFormat="1" applyFont="1" applyAlignment="1">
      <alignment horizontal="center" vertical="center" wrapText="1"/>
    </xf>
    <xf numFmtId="0" fontId="52" fillId="10" borderId="110" xfId="6" applyFont="1" applyFill="1" applyBorder="1" applyAlignment="1">
      <alignment horizontal="right" vertical="center" indent="1"/>
    </xf>
    <xf numFmtId="0" fontId="178" fillId="10" borderId="110" xfId="6" applyFont="1" applyFill="1" applyBorder="1" applyAlignment="1">
      <alignment horizontal="right" vertical="top" indent="1"/>
    </xf>
    <xf numFmtId="0" fontId="178" fillId="0" borderId="0" xfId="0" applyFont="1" applyAlignment="1">
      <alignment horizontal="right" vertical="top" wrapText="1"/>
    </xf>
    <xf numFmtId="0" fontId="162" fillId="16" borderId="88" xfId="6" applyFont="1" applyFill="1" applyBorder="1" applyAlignment="1">
      <alignment horizontal="right" vertical="center"/>
    </xf>
    <xf numFmtId="0" fontId="163" fillId="16" borderId="89" xfId="6" applyFont="1" applyFill="1" applyBorder="1" applyAlignment="1">
      <alignment horizontal="center" vertical="center" wrapText="1"/>
    </xf>
    <xf numFmtId="0" fontId="162" fillId="16" borderId="89" xfId="6" applyFont="1" applyFill="1" applyBorder="1" applyAlignment="1">
      <alignment horizontal="right" vertical="center"/>
    </xf>
    <xf numFmtId="0" fontId="161" fillId="16" borderId="89" xfId="6" applyFont="1" applyFill="1" applyBorder="1"/>
    <xf numFmtId="0" fontId="160" fillId="16" borderId="90" xfId="6" applyFont="1" applyFill="1" applyBorder="1"/>
    <xf numFmtId="0" fontId="164" fillId="16" borderId="91" xfId="20" applyFont="1" applyFill="1" applyBorder="1" applyAlignment="1" applyProtection="1">
      <alignment vertical="center"/>
    </xf>
    <xf numFmtId="0" fontId="165" fillId="16" borderId="0" xfId="6" applyFont="1" applyFill="1" applyAlignment="1">
      <alignment vertical="center"/>
    </xf>
    <xf numFmtId="0" fontId="161" fillId="16" borderId="0" xfId="6" applyFont="1" applyFill="1" applyAlignment="1">
      <alignment vertical="center"/>
    </xf>
    <xf numFmtId="0" fontId="160" fillId="16" borderId="92" xfId="6" applyFont="1" applyFill="1" applyBorder="1" applyAlignment="1">
      <alignment vertical="center"/>
    </xf>
    <xf numFmtId="0" fontId="16" fillId="16" borderId="0" xfId="2" applyFill="1" applyBorder="1" applyAlignment="1" applyProtection="1">
      <alignment horizontal="left" vertical="center" wrapText="1"/>
    </xf>
    <xf numFmtId="0" fontId="166" fillId="16" borderId="0" xfId="20" applyFont="1" applyFill="1" applyBorder="1" applyAlignment="1" applyProtection="1">
      <alignment vertical="center"/>
    </xf>
    <xf numFmtId="0" fontId="160" fillId="16" borderId="93" xfId="6" applyFont="1" applyFill="1" applyBorder="1" applyAlignment="1">
      <alignment horizontal="center"/>
    </xf>
    <xf numFmtId="0" fontId="167" fillId="16" borderId="94" xfId="20" applyFont="1" applyFill="1" applyBorder="1" applyAlignment="1" applyProtection="1">
      <alignment horizontal="center" vertical="center"/>
    </xf>
    <xf numFmtId="0" fontId="167" fillId="16" borderId="94" xfId="6" applyFont="1" applyFill="1" applyBorder="1" applyAlignment="1">
      <alignment horizontal="center" vertical="center"/>
    </xf>
    <xf numFmtId="0" fontId="167" fillId="16" borderId="94" xfId="20" applyFont="1" applyFill="1" applyBorder="1" applyAlignment="1" applyProtection="1">
      <alignment horizontal="left" vertical="center" indent="10"/>
    </xf>
    <xf numFmtId="0" fontId="161" fillId="16" borderId="94" xfId="6" applyFont="1" applyFill="1" applyBorder="1" applyAlignment="1">
      <alignment horizontal="center"/>
    </xf>
    <xf numFmtId="0" fontId="160" fillId="16" borderId="95" xfId="6" applyFont="1" applyFill="1" applyBorder="1" applyAlignment="1">
      <alignment horizontal="center"/>
    </xf>
    <xf numFmtId="0" fontId="178" fillId="10" borderId="0" xfId="6" applyFont="1" applyFill="1" applyAlignment="1">
      <alignment horizontal="right" vertical="center" indent="1"/>
    </xf>
    <xf numFmtId="0" fontId="53" fillId="10" borderId="0" xfId="6" applyFont="1" applyFill="1" applyAlignment="1">
      <alignment horizontal="left" vertical="center"/>
    </xf>
    <xf numFmtId="0" fontId="171" fillId="0" borderId="0" xfId="0" applyFont="1" applyAlignment="1">
      <alignment horizontal="left" vertical="center" wrapText="1"/>
    </xf>
    <xf numFmtId="166" fontId="53" fillId="0" borderId="0" xfId="0" applyNumberFormat="1" applyFont="1" applyAlignment="1">
      <alignment horizontal="center" vertical="center" wrapText="1"/>
    </xf>
    <xf numFmtId="166" fontId="0" fillId="0" borderId="0" xfId="0" applyNumberFormat="1" applyAlignment="1">
      <alignment horizontal="center" vertical="center"/>
    </xf>
    <xf numFmtId="166" fontId="46" fillId="0" borderId="0" xfId="0" applyNumberFormat="1" applyFont="1" applyAlignment="1">
      <alignment horizontal="center" vertical="center" wrapText="1"/>
    </xf>
    <xf numFmtId="0" fontId="199" fillId="4" borderId="0" xfId="2" applyFont="1" applyFill="1" applyAlignment="1">
      <alignment horizontal="center" vertical="center" wrapText="1"/>
    </xf>
    <xf numFmtId="0" fontId="170" fillId="0" borderId="0" xfId="0" applyFont="1" applyAlignment="1">
      <alignment horizontal="left" vertical="center"/>
    </xf>
    <xf numFmtId="0" fontId="178" fillId="0" borderId="112" xfId="0" applyFont="1" applyBorder="1" applyAlignment="1">
      <alignment horizontal="right" vertical="top" wrapText="1"/>
    </xf>
    <xf numFmtId="0" fontId="178" fillId="0" borderId="113" xfId="0" applyFont="1" applyBorder="1" applyAlignment="1">
      <alignment horizontal="right" vertical="top" wrapText="1"/>
    </xf>
    <xf numFmtId="0" fontId="171" fillId="45" borderId="133" xfId="0" applyFont="1" applyFill="1" applyBorder="1" applyAlignment="1">
      <alignment vertical="center" wrapText="1"/>
    </xf>
    <xf numFmtId="0" fontId="171" fillId="45" borderId="118" xfId="0" applyFont="1" applyFill="1" applyBorder="1" applyAlignment="1">
      <alignment vertical="center" wrapText="1"/>
    </xf>
    <xf numFmtId="0" fontId="178" fillId="0" borderId="0" xfId="0" applyFont="1" applyAlignment="1">
      <alignment horizontal="center" vertical="top" wrapText="1"/>
    </xf>
    <xf numFmtId="0" fontId="49" fillId="0" borderId="148" xfId="0" applyFont="1" applyBorder="1" applyAlignment="1">
      <alignment horizontal="left" vertical="center"/>
    </xf>
    <xf numFmtId="0" fontId="44" fillId="0" borderId="149" xfId="0" applyFont="1" applyBorder="1" applyAlignment="1">
      <alignment vertical="center"/>
    </xf>
    <xf numFmtId="0" fontId="0" fillId="0" borderId="148" xfId="0" applyBorder="1"/>
    <xf numFmtId="0" fontId="0" fillId="0" borderId="149" xfId="0" applyBorder="1"/>
    <xf numFmtId="0" fontId="41" fillId="0" borderId="149" xfId="0" applyFont="1" applyBorder="1" applyAlignment="1">
      <alignment horizontal="left" vertical="center"/>
    </xf>
    <xf numFmtId="0" fontId="39" fillId="0" borderId="149" xfId="0" applyFont="1" applyBorder="1" applyAlignment="1">
      <alignment vertical="center"/>
    </xf>
    <xf numFmtId="0" fontId="0" fillId="0" borderId="150" xfId="0" applyBorder="1"/>
    <xf numFmtId="0" fontId="39" fillId="0" borderId="151" xfId="0" applyFont="1" applyBorder="1" applyAlignment="1">
      <alignment horizontal="left" vertical="center" wrapText="1"/>
    </xf>
    <xf numFmtId="0" fontId="39" fillId="0" borderId="151" xfId="0" applyFont="1" applyBorder="1" applyAlignment="1">
      <alignment horizontal="center" vertical="center"/>
    </xf>
    <xf numFmtId="0" fontId="48" fillId="0" borderId="151" xfId="0" applyFont="1" applyBorder="1" applyAlignment="1">
      <alignment horizontal="center" vertical="center"/>
    </xf>
    <xf numFmtId="0" fontId="39" fillId="0" borderId="151" xfId="0" applyFont="1" applyBorder="1" applyAlignment="1">
      <alignment vertical="center"/>
    </xf>
    <xf numFmtId="0" fontId="39" fillId="0" borderId="152" xfId="0" applyFont="1" applyBorder="1" applyAlignment="1">
      <alignment vertical="center"/>
    </xf>
    <xf numFmtId="0" fontId="46" fillId="0" borderId="85" xfId="0" applyFont="1" applyBorder="1" applyAlignment="1">
      <alignment horizontal="center" vertical="center"/>
    </xf>
    <xf numFmtId="0" fontId="83" fillId="0" borderId="0" xfId="0" applyFont="1"/>
    <xf numFmtId="0" fontId="178" fillId="0" borderId="154" xfId="0" applyFont="1" applyBorder="1" applyAlignment="1">
      <alignment horizontal="right" vertical="top" wrapText="1"/>
    </xf>
    <xf numFmtId="0" fontId="142" fillId="0" borderId="156" xfId="0" applyFont="1" applyBorder="1" applyAlignment="1">
      <alignment horizontal="right" vertical="top" wrapText="1"/>
    </xf>
    <xf numFmtId="0" fontId="55" fillId="0" borderId="0" xfId="0" applyFont="1" applyAlignment="1">
      <alignment vertical="center" wrapText="1"/>
    </xf>
    <xf numFmtId="0" fontId="178" fillId="0" borderId="162" xfId="0" applyFont="1" applyBorder="1" applyAlignment="1">
      <alignment vertical="top" wrapText="1"/>
    </xf>
    <xf numFmtId="0" fontId="204" fillId="0" borderId="0" xfId="0" applyFont="1" applyAlignment="1">
      <alignment horizontal="left" vertical="center"/>
    </xf>
    <xf numFmtId="0" fontId="142" fillId="0" borderId="168" xfId="0" applyFont="1" applyBorder="1" applyAlignment="1">
      <alignment horizontal="right" vertical="top" wrapText="1"/>
    </xf>
    <xf numFmtId="0" fontId="53" fillId="41" borderId="5" xfId="0" applyFont="1" applyFill="1" applyBorder="1" applyAlignment="1">
      <alignment horizontal="left" vertical="center" wrapText="1"/>
    </xf>
    <xf numFmtId="0" fontId="44" fillId="47" borderId="146" xfId="0" applyFont="1" applyFill="1" applyBorder="1" applyAlignment="1">
      <alignment vertical="center"/>
    </xf>
    <xf numFmtId="0" fontId="152" fillId="28" borderId="170" xfId="0" applyFont="1" applyFill="1" applyBorder="1" applyAlignment="1">
      <alignment vertical="center"/>
    </xf>
    <xf numFmtId="0" fontId="39" fillId="28" borderId="171" xfId="0" applyFont="1" applyFill="1" applyBorder="1"/>
    <xf numFmtId="0" fontId="44" fillId="47" borderId="147" xfId="0" applyFont="1" applyFill="1" applyBorder="1" applyAlignment="1">
      <alignment vertical="center"/>
    </xf>
    <xf numFmtId="0" fontId="89" fillId="0" borderId="175" xfId="0" applyFont="1" applyBorder="1" applyAlignment="1">
      <alignment horizontal="left" vertical="center" wrapText="1"/>
    </xf>
    <xf numFmtId="0" fontId="60" fillId="28" borderId="173" xfId="0" applyFont="1" applyFill="1" applyBorder="1" applyAlignment="1">
      <alignment horizontal="left" vertical="center"/>
    </xf>
    <xf numFmtId="0" fontId="41" fillId="28" borderId="181" xfId="0" applyFont="1" applyFill="1" applyBorder="1" applyAlignment="1">
      <alignment horizontal="center" vertical="center"/>
    </xf>
    <xf numFmtId="0" fontId="89" fillId="0" borderId="180" xfId="0" applyFont="1" applyBorder="1" applyAlignment="1">
      <alignment horizontal="left" vertical="center" wrapText="1"/>
    </xf>
    <xf numFmtId="0" fontId="79" fillId="28" borderId="20" xfId="0" applyFont="1" applyFill="1" applyBorder="1" applyAlignment="1">
      <alignment horizontal="center" vertical="center" wrapText="1"/>
    </xf>
    <xf numFmtId="0" fontId="80" fillId="28" borderId="20" xfId="0" applyFont="1" applyFill="1" applyBorder="1" applyAlignment="1">
      <alignment horizontal="center" vertical="center" wrapText="1"/>
    </xf>
    <xf numFmtId="175" fontId="80" fillId="28" borderId="20" xfId="0" applyNumberFormat="1" applyFont="1" applyFill="1" applyBorder="1" applyAlignment="1">
      <alignment horizontal="center" vertical="center" wrapText="1"/>
    </xf>
    <xf numFmtId="2" fontId="80" fillId="28" borderId="20" xfId="0" applyNumberFormat="1" applyFont="1" applyFill="1" applyBorder="1" applyAlignment="1">
      <alignment horizontal="center" vertical="center" wrapText="1"/>
    </xf>
    <xf numFmtId="1" fontId="80" fillId="28" borderId="20" xfId="0" applyNumberFormat="1" applyFont="1" applyFill="1" applyBorder="1" applyAlignment="1">
      <alignment horizontal="center" vertical="center" wrapText="1"/>
    </xf>
    <xf numFmtId="11" fontId="80" fillId="28" borderId="20" xfId="0" applyNumberFormat="1" applyFont="1" applyFill="1" applyBorder="1" applyAlignment="1">
      <alignment horizontal="center" vertical="center" wrapText="1"/>
    </xf>
    <xf numFmtId="11" fontId="80" fillId="28" borderId="17" xfId="0" applyNumberFormat="1" applyFont="1" applyFill="1" applyBorder="1" applyAlignment="1">
      <alignment horizontal="center" vertical="center" wrapText="1"/>
    </xf>
    <xf numFmtId="2" fontId="31" fillId="31" borderId="0" xfId="0" applyNumberFormat="1" applyFont="1" applyFill="1" applyAlignment="1">
      <alignment horizontal="center" vertical="center"/>
    </xf>
    <xf numFmtId="11" fontId="23" fillId="0" borderId="0" xfId="0" applyNumberFormat="1" applyFont="1" applyAlignment="1">
      <alignment horizontal="center" vertical="center" wrapText="1"/>
    </xf>
    <xf numFmtId="171" fontId="18" fillId="0" borderId="0" xfId="0" applyNumberFormat="1" applyFont="1" applyAlignment="1">
      <alignment horizontal="center" vertical="center" wrapText="1"/>
    </xf>
    <xf numFmtId="178" fontId="18" fillId="0" borderId="0" xfId="0" applyNumberFormat="1" applyFont="1" applyAlignment="1">
      <alignment horizontal="center" vertical="center" wrapText="1"/>
    </xf>
    <xf numFmtId="0" fontId="153" fillId="0" borderId="0" xfId="0" applyFont="1"/>
    <xf numFmtId="2" fontId="89" fillId="0" borderId="0" xfId="0" applyNumberFormat="1" applyFont="1" applyAlignment="1">
      <alignment horizontal="center" vertical="center" wrapText="1"/>
    </xf>
    <xf numFmtId="1" fontId="89" fillId="0" borderId="0" xfId="0" applyNumberFormat="1" applyFont="1" applyAlignment="1">
      <alignment horizontal="center" vertical="center" wrapText="1"/>
    </xf>
    <xf numFmtId="171" fontId="89" fillId="0" borderId="0" xfId="0" applyNumberFormat="1" applyFont="1" applyAlignment="1">
      <alignment horizontal="center" vertical="center" wrapText="1"/>
    </xf>
    <xf numFmtId="178" fontId="89" fillId="0" borderId="0" xfId="0" applyNumberFormat="1" applyFont="1" applyAlignment="1">
      <alignment horizontal="center" vertical="center" wrapText="1"/>
    </xf>
    <xf numFmtId="2" fontId="53" fillId="0" borderId="0" xfId="0" applyNumberFormat="1" applyFont="1" applyAlignment="1">
      <alignment horizontal="center" vertical="center" wrapText="1"/>
    </xf>
    <xf numFmtId="178" fontId="53" fillId="0" borderId="0" xfId="0" applyNumberFormat="1" applyFont="1" applyAlignment="1">
      <alignment horizontal="center" vertical="center" wrapText="1"/>
    </xf>
    <xf numFmtId="0" fontId="0" fillId="0" borderId="42" xfId="0" applyBorder="1" applyAlignment="1">
      <alignment wrapText="1"/>
    </xf>
    <xf numFmtId="0" fontId="39" fillId="0" borderId="0" xfId="0" applyFont="1" applyAlignment="1">
      <alignment wrapText="1"/>
    </xf>
    <xf numFmtId="0" fontId="80" fillId="28" borderId="17" xfId="0" applyFont="1" applyFill="1" applyBorder="1" applyAlignment="1">
      <alignment horizontal="center" vertical="center" wrapText="1"/>
    </xf>
    <xf numFmtId="0" fontId="80" fillId="28" borderId="35" xfId="0" applyFont="1" applyFill="1" applyBorder="1" applyAlignment="1">
      <alignment horizontal="center" vertical="center" wrapText="1"/>
    </xf>
    <xf numFmtId="0" fontId="86" fillId="0" borderId="0" xfId="0" applyFont="1" applyAlignment="1">
      <alignment horizontal="center" vertical="center" wrapText="1"/>
    </xf>
    <xf numFmtId="2" fontId="111" fillId="28" borderId="0" xfId="0" applyNumberFormat="1" applyFont="1" applyFill="1" applyAlignment="1">
      <alignment horizontal="center" vertical="center" wrapText="1"/>
    </xf>
    <xf numFmtId="0" fontId="51" fillId="0" borderId="182" xfId="0" applyFont="1" applyBorder="1"/>
    <xf numFmtId="0" fontId="51" fillId="0" borderId="183" xfId="0" applyFont="1" applyBorder="1"/>
    <xf numFmtId="0" fontId="139" fillId="0" borderId="0" xfId="0" applyFont="1" applyAlignment="1">
      <alignment vertical="center" wrapText="1"/>
    </xf>
    <xf numFmtId="0" fontId="209" fillId="0" borderId="0" xfId="0" applyFont="1"/>
    <xf numFmtId="0" fontId="209" fillId="0" borderId="7" xfId="0" applyFont="1" applyBorder="1"/>
    <xf numFmtId="0" fontId="46" fillId="0" borderId="7" xfId="0" applyFont="1" applyBorder="1"/>
    <xf numFmtId="0" fontId="211" fillId="0" borderId="7" xfId="0" applyFont="1" applyBorder="1" applyAlignment="1">
      <alignment vertical="top"/>
    </xf>
    <xf numFmtId="1" fontId="212" fillId="0" borderId="7" xfId="0" applyNumberFormat="1" applyFont="1" applyBorder="1" applyAlignment="1">
      <alignment horizontal="right" vertical="top"/>
    </xf>
    <xf numFmtId="49" fontId="212" fillId="0" borderId="7" xfId="0" applyNumberFormat="1" applyFont="1" applyBorder="1" applyAlignment="1">
      <alignment horizontal="left" vertical="top"/>
    </xf>
    <xf numFmtId="0" fontId="212" fillId="0" borderId="7" xfId="0" applyFont="1" applyBorder="1" applyAlignment="1">
      <alignment horizontal="right" vertical="top"/>
    </xf>
    <xf numFmtId="10" fontId="209" fillId="0" borderId="7" xfId="0" applyNumberFormat="1" applyFont="1" applyBorder="1"/>
    <xf numFmtId="0" fontId="46" fillId="0" borderId="0" xfId="0" applyFont="1" applyAlignment="1">
      <alignment wrapText="1"/>
    </xf>
    <xf numFmtId="0" fontId="208" fillId="0" borderId="7" xfId="0" applyFont="1" applyBorder="1" applyAlignment="1">
      <alignment vertical="top" wrapText="1"/>
    </xf>
    <xf numFmtId="0" fontId="212" fillId="0" borderId="0" xfId="0" applyFont="1" applyAlignment="1">
      <alignment vertical="top" wrapText="1"/>
    </xf>
    <xf numFmtId="0" fontId="209" fillId="0" borderId="0" xfId="0" applyFont="1" applyAlignment="1">
      <alignment wrapText="1"/>
    </xf>
    <xf numFmtId="0" fontId="51" fillId="0" borderId="0" xfId="0" applyFont="1" applyAlignment="1">
      <alignment wrapText="1"/>
    </xf>
    <xf numFmtId="0" fontId="107" fillId="28" borderId="7" xfId="0" applyFont="1" applyFill="1" applyBorder="1" applyAlignment="1">
      <alignment vertical="center" wrapText="1"/>
    </xf>
    <xf numFmtId="0" fontId="107" fillId="28" borderId="4" xfId="0" applyFont="1" applyFill="1" applyBorder="1" applyAlignment="1">
      <alignment horizontal="center" vertical="center" wrapText="1"/>
    </xf>
    <xf numFmtId="0" fontId="107" fillId="0" borderId="43" xfId="0" applyFont="1" applyBorder="1" applyAlignment="1">
      <alignment vertical="center" wrapText="1"/>
    </xf>
    <xf numFmtId="0" fontId="107" fillId="0" borderId="0" xfId="0" applyFont="1" applyAlignment="1">
      <alignment vertical="center" wrapText="1"/>
    </xf>
    <xf numFmtId="2" fontId="156" fillId="0" borderId="0" xfId="0" applyNumberFormat="1" applyFont="1" applyAlignment="1">
      <alignment horizontal="center" vertical="center" wrapText="1"/>
    </xf>
    <xf numFmtId="0" fontId="105" fillId="0" borderId="0" xfId="0" applyFont="1" applyAlignment="1">
      <alignment horizontal="center" vertical="center" wrapText="1"/>
    </xf>
    <xf numFmtId="0" fontId="87" fillId="0" borderId="0" xfId="0" applyFont="1" applyAlignment="1">
      <alignment horizontal="center" vertical="center" wrapText="1"/>
    </xf>
    <xf numFmtId="0" fontId="176" fillId="0" borderId="0" xfId="2" applyFont="1" applyBorder="1" applyAlignment="1">
      <alignment horizontal="center" vertical="center" wrapText="1"/>
    </xf>
    <xf numFmtId="2" fontId="111" fillId="29" borderId="7" xfId="0" applyNumberFormat="1" applyFont="1" applyFill="1" applyBorder="1" applyAlignment="1">
      <alignment horizontal="center" vertical="center" wrapText="1"/>
    </xf>
    <xf numFmtId="165" fontId="111" fillId="29" borderId="7" xfId="0" applyNumberFormat="1" applyFont="1" applyFill="1" applyBorder="1" applyAlignment="1">
      <alignment horizontal="center" vertical="center" wrapText="1"/>
    </xf>
    <xf numFmtId="0" fontId="81" fillId="0" borderId="7" xfId="0" applyFont="1" applyBorder="1" applyAlignment="1">
      <alignment horizontal="left" vertical="center" wrapText="1"/>
    </xf>
    <xf numFmtId="0" fontId="81" fillId="0" borderId="7" xfId="0" applyFont="1" applyBorder="1" applyAlignment="1">
      <alignment horizontal="center" vertical="center" wrapText="1"/>
    </xf>
    <xf numFmtId="0" fontId="81" fillId="28" borderId="7" xfId="0" applyFont="1" applyFill="1" applyBorder="1" applyAlignment="1">
      <alignment horizontal="left" vertical="center" wrapText="1"/>
    </xf>
    <xf numFmtId="2" fontId="79" fillId="28" borderId="7" xfId="0" applyNumberFormat="1" applyFont="1" applyFill="1" applyBorder="1" applyAlignment="1">
      <alignment horizontal="center" vertical="center" wrapText="1"/>
    </xf>
    <xf numFmtId="0" fontId="23" fillId="0" borderId="28" xfId="0" applyFont="1" applyBorder="1" applyAlignment="1">
      <alignment horizontal="center" vertical="center" wrapText="1"/>
    </xf>
    <xf numFmtId="0" fontId="85" fillId="28" borderId="29" xfId="0" applyFont="1" applyFill="1" applyBorder="1" applyAlignment="1">
      <alignment horizontal="center" vertical="center" wrapText="1"/>
    </xf>
    <xf numFmtId="2" fontId="23" fillId="0" borderId="28" xfId="0" applyNumberFormat="1" applyFont="1" applyBorder="1" applyAlignment="1">
      <alignment horizontal="center" vertical="center" wrapText="1"/>
    </xf>
    <xf numFmtId="0" fontId="79" fillId="15" borderId="7" xfId="0" applyFont="1" applyFill="1" applyBorder="1" applyAlignment="1">
      <alignment horizontal="center" vertical="center" wrapText="1"/>
    </xf>
    <xf numFmtId="0" fontId="23" fillId="14" borderId="7" xfId="0" applyFont="1" applyFill="1" applyBorder="1" applyAlignment="1">
      <alignment horizontal="center" vertical="center" wrapText="1"/>
    </xf>
    <xf numFmtId="0" fontId="85" fillId="28" borderId="7" xfId="0" applyFont="1" applyFill="1" applyBorder="1" applyAlignment="1">
      <alignment horizontal="center" vertical="center" wrapText="1"/>
    </xf>
    <xf numFmtId="2" fontId="23" fillId="0" borderId="7" xfId="0" applyNumberFormat="1" applyFont="1" applyBorder="1" applyAlignment="1">
      <alignment horizontal="center" vertical="center" wrapText="1"/>
    </xf>
    <xf numFmtId="0" fontId="23" fillId="14" borderId="0" xfId="0" applyFont="1" applyFill="1" applyAlignment="1">
      <alignment horizontal="center" vertical="center" wrapText="1"/>
    </xf>
    <xf numFmtId="0" fontId="85" fillId="28" borderId="0" xfId="0" applyFont="1" applyFill="1" applyAlignment="1">
      <alignment horizontal="center" vertical="center" wrapText="1"/>
    </xf>
    <xf numFmtId="0" fontId="24" fillId="17" borderId="0" xfId="0" applyFont="1" applyFill="1"/>
    <xf numFmtId="0" fontId="23" fillId="17" borderId="0" xfId="0" applyFont="1" applyFill="1"/>
    <xf numFmtId="0" fontId="23" fillId="17" borderId="0" xfId="0" applyFont="1" applyFill="1" applyAlignment="1">
      <alignment horizontal="center" vertical="center"/>
    </xf>
    <xf numFmtId="165" fontId="96" fillId="17" borderId="0" xfId="0" applyNumberFormat="1" applyFont="1" applyFill="1" applyAlignment="1">
      <alignment horizontal="center" vertical="center"/>
    </xf>
    <xf numFmtId="0" fontId="12" fillId="17" borderId="0" xfId="0" applyFont="1" applyFill="1" applyAlignment="1">
      <alignment horizontal="center" vertical="center"/>
    </xf>
    <xf numFmtId="165" fontId="23" fillId="17" borderId="0" xfId="0" applyNumberFormat="1" applyFont="1" applyFill="1" applyAlignment="1">
      <alignment horizontal="center" vertical="center"/>
    </xf>
    <xf numFmtId="0" fontId="12" fillId="25" borderId="0" xfId="0" applyFont="1" applyFill="1"/>
    <xf numFmtId="0" fontId="84" fillId="31" borderId="0" xfId="0" applyFont="1" applyFill="1" applyAlignment="1">
      <alignment horizontal="left" vertical="center" wrapText="1"/>
    </xf>
    <xf numFmtId="174" fontId="96" fillId="5" borderId="0" xfId="0" applyNumberFormat="1" applyFont="1" applyFill="1" applyAlignment="1">
      <alignment horizontal="center"/>
    </xf>
    <xf numFmtId="0" fontId="52" fillId="48" borderId="5" xfId="0" applyFont="1" applyFill="1" applyBorder="1" applyAlignment="1">
      <alignment horizontal="left" vertical="center" wrapText="1"/>
    </xf>
    <xf numFmtId="0" fontId="53" fillId="48" borderId="6" xfId="0" applyFont="1" applyFill="1" applyBorder="1" applyAlignment="1">
      <alignment horizontal="center" vertical="center"/>
    </xf>
    <xf numFmtId="166" fontId="53" fillId="48" borderId="7" xfId="0" applyNumberFormat="1" applyFont="1" applyFill="1" applyBorder="1" applyAlignment="1">
      <alignment horizontal="center" vertical="center" wrapText="1"/>
    </xf>
    <xf numFmtId="166" fontId="53" fillId="48" borderId="4" xfId="0" applyNumberFormat="1" applyFont="1" applyFill="1" applyBorder="1" applyAlignment="1">
      <alignment horizontal="center" vertical="center" wrapText="1"/>
    </xf>
    <xf numFmtId="165" fontId="89" fillId="22" borderId="7" xfId="0" applyNumberFormat="1" applyFont="1" applyFill="1" applyBorder="1" applyAlignment="1">
      <alignment horizontal="center" vertical="center" wrapText="1"/>
    </xf>
    <xf numFmtId="165" fontId="89" fillId="22" borderId="4" xfId="0" applyNumberFormat="1" applyFont="1" applyFill="1" applyBorder="1" applyAlignment="1">
      <alignment horizontal="center" vertical="center" wrapText="1"/>
    </xf>
    <xf numFmtId="165" fontId="89" fillId="14" borderId="7" xfId="0" applyNumberFormat="1" applyFont="1" applyFill="1" applyBorder="1" applyAlignment="1">
      <alignment horizontal="center" vertical="center" wrapText="1"/>
    </xf>
    <xf numFmtId="165" fontId="89" fillId="14" borderId="4" xfId="0" applyNumberFormat="1" applyFont="1" applyFill="1" applyBorder="1" applyAlignment="1">
      <alignment horizontal="center" vertical="center" wrapText="1"/>
    </xf>
    <xf numFmtId="165" fontId="53" fillId="7" borderId="7" xfId="0" applyNumberFormat="1" applyFont="1" applyFill="1" applyBorder="1" applyAlignment="1">
      <alignment horizontal="center" vertical="center" wrapText="1"/>
    </xf>
    <xf numFmtId="165" fontId="53" fillId="7" borderId="4" xfId="0" applyNumberFormat="1" applyFont="1" applyFill="1" applyBorder="1" applyAlignment="1">
      <alignment horizontal="center" vertical="center" wrapText="1"/>
    </xf>
    <xf numFmtId="165" fontId="53" fillId="48" borderId="7" xfId="0" applyNumberFormat="1" applyFont="1" applyFill="1" applyBorder="1" applyAlignment="1">
      <alignment horizontal="center" vertical="center" wrapText="1"/>
    </xf>
    <xf numFmtId="165" fontId="53" fillId="48" borderId="4" xfId="0" applyNumberFormat="1" applyFont="1" applyFill="1" applyBorder="1" applyAlignment="1">
      <alignment horizontal="center" vertical="center" wrapText="1"/>
    </xf>
    <xf numFmtId="165" fontId="89" fillId="41" borderId="7" xfId="0" applyNumberFormat="1" applyFont="1" applyFill="1" applyBorder="1" applyAlignment="1">
      <alignment horizontal="center" vertical="center" wrapText="1"/>
    </xf>
    <xf numFmtId="166" fontId="89" fillId="21" borderId="4" xfId="0" applyNumberFormat="1" applyFont="1" applyFill="1" applyBorder="1" applyAlignment="1">
      <alignment horizontal="center" vertical="center" wrapText="1"/>
    </xf>
    <xf numFmtId="0" fontId="89" fillId="21" borderId="69" xfId="0" applyFont="1" applyFill="1" applyBorder="1" applyAlignment="1">
      <alignment horizontal="left" vertical="center" wrapText="1"/>
    </xf>
    <xf numFmtId="0" fontId="89" fillId="21" borderId="70" xfId="0" applyFont="1" applyFill="1" applyBorder="1" applyAlignment="1">
      <alignment horizontal="center" vertical="center" wrapText="1"/>
    </xf>
    <xf numFmtId="11" fontId="89" fillId="21" borderId="71" xfId="0" applyNumberFormat="1" applyFont="1" applyFill="1" applyBorder="1" applyAlignment="1">
      <alignment horizontal="center" vertical="center" wrapText="1"/>
    </xf>
    <xf numFmtId="11" fontId="89" fillId="21" borderId="72" xfId="0" applyNumberFormat="1" applyFont="1" applyFill="1" applyBorder="1" applyAlignment="1">
      <alignment horizontal="center" vertical="center" wrapText="1"/>
    </xf>
    <xf numFmtId="0" fontId="89" fillId="21" borderId="70" xfId="0" applyFont="1" applyFill="1" applyBorder="1" applyAlignment="1">
      <alignment horizontal="center" vertical="center"/>
    </xf>
    <xf numFmtId="169" fontId="89" fillId="21" borderId="71" xfId="0" applyNumberFormat="1" applyFont="1" applyFill="1" applyBorder="1" applyAlignment="1">
      <alignment horizontal="center" vertical="center" wrapText="1"/>
    </xf>
    <xf numFmtId="169" fontId="89" fillId="21" borderId="72" xfId="0" applyNumberFormat="1" applyFont="1" applyFill="1" applyBorder="1" applyAlignment="1">
      <alignment horizontal="center" vertical="center" wrapText="1"/>
    </xf>
    <xf numFmtId="0" fontId="199" fillId="0" borderId="0" xfId="2" applyFont="1" applyFill="1" applyAlignment="1">
      <alignment horizontal="center"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wrapText="1"/>
    </xf>
    <xf numFmtId="11" fontId="89" fillId="0" borderId="0" xfId="0" applyNumberFormat="1" applyFont="1" applyAlignment="1">
      <alignment horizontal="center" vertical="center" wrapText="1"/>
    </xf>
    <xf numFmtId="166" fontId="89" fillId="21" borderId="71" xfId="0" applyNumberFormat="1" applyFont="1" applyFill="1" applyBorder="1" applyAlignment="1">
      <alignment horizontal="center" vertical="center" wrapText="1"/>
    </xf>
    <xf numFmtId="166" fontId="89" fillId="21" borderId="72" xfId="0" applyNumberFormat="1" applyFont="1" applyFill="1" applyBorder="1" applyAlignment="1">
      <alignment horizontal="center" vertical="center" wrapText="1"/>
    </xf>
    <xf numFmtId="0" fontId="176" fillId="10" borderId="110" xfId="2" applyFont="1" applyFill="1" applyBorder="1" applyAlignment="1">
      <alignment horizontal="center" vertical="top" wrapText="1"/>
    </xf>
    <xf numFmtId="0" fontId="107" fillId="28" borderId="66" xfId="0" applyFont="1" applyFill="1" applyBorder="1" applyAlignment="1">
      <alignment horizontal="left" vertical="center" wrapText="1"/>
    </xf>
    <xf numFmtId="0" fontId="89" fillId="49" borderId="5" xfId="0" applyFont="1" applyFill="1" applyBorder="1" applyAlignment="1">
      <alignment horizontal="left" vertical="center" wrapText="1"/>
    </xf>
    <xf numFmtId="0" fontId="89" fillId="49" borderId="6" xfId="0" applyFont="1" applyFill="1" applyBorder="1" applyAlignment="1">
      <alignment horizontal="center" vertical="center" wrapText="1"/>
    </xf>
    <xf numFmtId="0" fontId="124" fillId="28" borderId="5" xfId="0" applyFont="1" applyFill="1" applyBorder="1" applyAlignment="1">
      <alignment vertical="center" wrapText="1"/>
    </xf>
    <xf numFmtId="0" fontId="124" fillId="28" borderId="0" xfId="0" applyFont="1" applyFill="1" applyAlignment="1">
      <alignment horizontal="center" vertical="center" wrapText="1"/>
    </xf>
    <xf numFmtId="0" fontId="124" fillId="28" borderId="66" xfId="0" applyFont="1" applyFill="1" applyBorder="1" applyAlignment="1">
      <alignment horizontal="center" vertical="center" wrapText="1"/>
    </xf>
    <xf numFmtId="0" fontId="80" fillId="0" borderId="7" xfId="0" applyFont="1" applyBorder="1" applyAlignment="1">
      <alignment horizontal="left" vertical="center" wrapText="1"/>
    </xf>
    <xf numFmtId="11" fontId="80" fillId="0" borderId="7" xfId="0" applyNumberFormat="1" applyFont="1" applyBorder="1" applyAlignment="1">
      <alignment horizontal="center" vertical="center" wrapText="1"/>
    </xf>
    <xf numFmtId="171" fontId="80" fillId="0" borderId="7" xfId="0" applyNumberFormat="1" applyFont="1" applyBorder="1" applyAlignment="1">
      <alignment horizontal="center" vertical="center" wrapText="1"/>
    </xf>
    <xf numFmtId="0" fontId="79" fillId="0" borderId="7" xfId="0" applyFont="1" applyBorder="1" applyAlignment="1">
      <alignment horizontal="left" vertical="center" wrapText="1"/>
    </xf>
    <xf numFmtId="2" fontId="80" fillId="49" borderId="7" xfId="0" applyNumberFormat="1" applyFont="1" applyFill="1" applyBorder="1" applyAlignment="1">
      <alignment horizontal="center" vertical="center" wrapText="1"/>
    </xf>
    <xf numFmtId="1" fontId="80" fillId="49" borderId="7" xfId="0" applyNumberFormat="1" applyFont="1" applyFill="1" applyBorder="1" applyAlignment="1">
      <alignment horizontal="center" vertical="center" wrapText="1"/>
    </xf>
    <xf numFmtId="2" fontId="17" fillId="50" borderId="0" xfId="0" applyNumberFormat="1" applyFont="1" applyFill="1" applyAlignment="1">
      <alignment horizontal="center" vertical="center" wrapText="1"/>
    </xf>
    <xf numFmtId="2" fontId="17" fillId="50" borderId="0" xfId="0" applyNumberFormat="1" applyFont="1" applyFill="1" applyAlignment="1">
      <alignment horizontal="center" vertical="top" wrapText="1"/>
    </xf>
    <xf numFmtId="2" fontId="23" fillId="28" borderId="0" xfId="0" applyNumberFormat="1" applyFont="1" applyFill="1" applyAlignment="1">
      <alignment horizontal="center" vertical="center" wrapText="1"/>
    </xf>
    <xf numFmtId="2" fontId="12" fillId="28" borderId="0" xfId="0" applyNumberFormat="1" applyFont="1" applyFill="1" applyAlignment="1">
      <alignment horizontal="center" vertical="center"/>
    </xf>
    <xf numFmtId="2" fontId="84" fillId="31" borderId="0" xfId="0" applyNumberFormat="1" applyFont="1" applyFill="1" applyAlignment="1">
      <alignment horizontal="center" vertical="center" wrapText="1"/>
    </xf>
    <xf numFmtId="0" fontId="79" fillId="7" borderId="19" xfId="0" applyFont="1" applyFill="1" applyBorder="1" applyAlignment="1">
      <alignment horizontal="center" vertical="center" wrapText="1"/>
    </xf>
    <xf numFmtId="2" fontId="23" fillId="28" borderId="7" xfId="0" applyNumberFormat="1" applyFont="1" applyFill="1" applyBorder="1" applyAlignment="1">
      <alignment horizontal="center" vertical="center" wrapText="1"/>
    </xf>
    <xf numFmtId="3" fontId="95" fillId="0" borderId="0" xfId="0" applyNumberFormat="1" applyFont="1" applyAlignment="1">
      <alignment horizontal="center"/>
    </xf>
    <xf numFmtId="0" fontId="23" fillId="14" borderId="19" xfId="0" applyFont="1" applyFill="1" applyBorder="1" applyAlignment="1">
      <alignment horizontal="center" vertical="center" wrapText="1"/>
    </xf>
    <xf numFmtId="0" fontId="86" fillId="28" borderId="19" xfId="0" applyFont="1" applyFill="1" applyBorder="1" applyAlignment="1">
      <alignment horizontal="center" vertical="center" wrapText="1"/>
    </xf>
    <xf numFmtId="0" fontId="55" fillId="0" borderId="5" xfId="0" applyFont="1" applyBorder="1" applyAlignment="1">
      <alignment horizontal="left" vertical="center" wrapText="1"/>
    </xf>
    <xf numFmtId="0" fontId="80" fillId="7" borderId="19" xfId="0" applyFont="1" applyFill="1" applyBorder="1" applyAlignment="1">
      <alignment horizontal="center" vertical="center" wrapText="1"/>
    </xf>
    <xf numFmtId="0" fontId="23" fillId="28" borderId="7" xfId="0" applyFont="1" applyFill="1" applyBorder="1" applyAlignment="1">
      <alignment horizontal="center" vertical="center" wrapText="1"/>
    </xf>
    <xf numFmtId="2" fontId="12" fillId="28" borderId="7" xfId="0" applyNumberFormat="1" applyFont="1" applyFill="1" applyBorder="1" applyAlignment="1">
      <alignment horizontal="center" vertical="center"/>
    </xf>
    <xf numFmtId="0" fontId="93" fillId="28" borderId="18" xfId="0" applyFont="1" applyFill="1" applyBorder="1" applyAlignment="1">
      <alignment vertical="center" wrapText="1"/>
    </xf>
    <xf numFmtId="0" fontId="93" fillId="30" borderId="35" xfId="0" applyFont="1" applyFill="1" applyBorder="1" applyAlignment="1">
      <alignment vertical="center" wrapText="1"/>
    </xf>
    <xf numFmtId="0" fontId="23" fillId="22" borderId="35" xfId="0" applyFont="1" applyFill="1" applyBorder="1" applyAlignment="1">
      <alignment horizontal="left" vertical="center" wrapText="1"/>
    </xf>
    <xf numFmtId="0" fontId="79" fillId="7" borderId="35" xfId="0" applyFont="1" applyFill="1" applyBorder="1" applyAlignment="1">
      <alignment horizontal="center" vertical="center" wrapText="1"/>
    </xf>
    <xf numFmtId="0" fontId="79" fillId="28" borderId="12" xfId="0" applyFont="1" applyFill="1" applyBorder="1" applyAlignment="1">
      <alignment horizontal="center" vertical="center" wrapText="1"/>
    </xf>
    <xf numFmtId="0" fontId="23" fillId="28" borderId="0" xfId="0" applyFont="1" applyFill="1" applyAlignment="1">
      <alignment horizontal="left" vertical="center" wrapText="1"/>
    </xf>
    <xf numFmtId="0" fontId="79" fillId="28" borderId="0" xfId="0" applyFont="1" applyFill="1" applyAlignment="1">
      <alignment horizontal="center" vertical="center" wrapText="1"/>
    </xf>
    <xf numFmtId="0" fontId="24" fillId="22" borderId="78" xfId="0" applyFont="1" applyFill="1" applyBorder="1" applyAlignment="1">
      <alignment horizontal="left" vertical="center" wrapText="1"/>
    </xf>
    <xf numFmtId="0" fontId="79" fillId="28" borderId="35" xfId="0" applyFont="1" applyFill="1" applyBorder="1" applyAlignment="1">
      <alignment horizontal="center" vertical="center" wrapText="1"/>
    </xf>
    <xf numFmtId="0" fontId="79" fillId="0" borderId="36" xfId="0" applyFont="1" applyBorder="1" applyAlignment="1">
      <alignment horizontal="center" vertical="center" wrapText="1"/>
    </xf>
    <xf numFmtId="0" fontId="79" fillId="0" borderId="35" xfId="0" applyFont="1" applyBorder="1" applyAlignment="1">
      <alignment horizontal="center" vertical="center" wrapText="1"/>
    </xf>
    <xf numFmtId="0" fontId="23" fillId="28" borderId="35" xfId="0" applyFont="1" applyFill="1" applyBorder="1" applyAlignment="1">
      <alignment horizontal="left" vertical="center" wrapText="1"/>
    </xf>
    <xf numFmtId="0" fontId="107" fillId="0" borderId="0" xfId="0" applyFont="1" applyAlignment="1">
      <alignment horizontal="left" vertical="center" wrapText="1"/>
    </xf>
    <xf numFmtId="0" fontId="54" fillId="0" borderId="0" xfId="0" applyFont="1" applyAlignment="1">
      <alignment horizontal="center" vertical="center"/>
    </xf>
    <xf numFmtId="0" fontId="199" fillId="4" borderId="0" xfId="2" applyFont="1" applyFill="1" applyBorder="1" applyAlignment="1">
      <alignment horizontal="center" vertical="center" wrapText="1"/>
    </xf>
    <xf numFmtId="0" fontId="46" fillId="0" borderId="31" xfId="0" applyFont="1" applyBorder="1" applyAlignment="1">
      <alignment horizontal="left" vertical="center" wrapText="1"/>
    </xf>
    <xf numFmtId="0" fontId="46" fillId="0" borderId="31" xfId="0" applyFont="1" applyBorder="1" applyAlignment="1">
      <alignment horizontal="center" vertical="center" wrapText="1"/>
    </xf>
    <xf numFmtId="0" fontId="114" fillId="0" borderId="0" xfId="0" applyFont="1" applyAlignment="1">
      <alignment horizontal="left" vertical="center" wrapText="1"/>
    </xf>
    <xf numFmtId="166" fontId="115" fillId="0" borderId="0" xfId="0" applyNumberFormat="1" applyFont="1" applyAlignment="1">
      <alignment horizontal="center" vertical="center" wrapText="1"/>
    </xf>
    <xf numFmtId="166" fontId="55" fillId="0" borderId="0" xfId="0" applyNumberFormat="1" applyFont="1" applyAlignment="1">
      <alignment horizontal="center" vertical="center" wrapText="1"/>
    </xf>
    <xf numFmtId="0" fontId="0" fillId="35" borderId="0" xfId="0" applyFill="1"/>
    <xf numFmtId="0" fontId="123" fillId="35" borderId="0" xfId="0" applyFont="1" applyFill="1" applyAlignment="1">
      <alignment horizontal="left" vertical="center"/>
    </xf>
    <xf numFmtId="0" fontId="124" fillId="0" borderId="0" xfId="0" applyFont="1" applyAlignment="1">
      <alignment horizontal="center" vertical="center" wrapText="1"/>
    </xf>
    <xf numFmtId="0" fontId="131" fillId="0" borderId="0" xfId="0" applyFont="1" applyAlignment="1">
      <alignment vertical="center" wrapText="1"/>
    </xf>
    <xf numFmtId="0" fontId="132" fillId="0" borderId="0" xfId="0" applyFont="1" applyAlignment="1">
      <alignment horizontal="center" vertical="center" wrapText="1"/>
    </xf>
    <xf numFmtId="0" fontId="133" fillId="0" borderId="0" xfId="0" applyFont="1" applyAlignment="1">
      <alignment horizontal="left" vertical="center" wrapText="1"/>
    </xf>
    <xf numFmtId="0" fontId="134" fillId="0" borderId="0" xfId="0" applyFont="1" applyAlignment="1">
      <alignment horizontal="center" vertical="center" wrapText="1"/>
    </xf>
    <xf numFmtId="0" fontId="135" fillId="0" borderId="0" xfId="0" applyFont="1" applyAlignment="1">
      <alignment horizontal="center"/>
    </xf>
    <xf numFmtId="0" fontId="121" fillId="0" borderId="0" xfId="0" applyFont="1" applyAlignment="1">
      <alignment horizontal="center" vertical="center"/>
    </xf>
    <xf numFmtId="0" fontId="120" fillId="0" borderId="0" xfId="0" applyFont="1" applyAlignment="1">
      <alignment vertical="center" wrapText="1"/>
    </xf>
    <xf numFmtId="0" fontId="0" fillId="0" borderId="153" xfId="0" applyBorder="1"/>
    <xf numFmtId="0" fontId="50" fillId="0" borderId="75" xfId="0" applyFont="1" applyBorder="1" applyAlignment="1">
      <alignment vertical="center"/>
    </xf>
    <xf numFmtId="0" fontId="114" fillId="0" borderId="85" xfId="0" applyFont="1" applyBorder="1" applyAlignment="1">
      <alignment horizontal="left" vertical="center" wrapText="1"/>
    </xf>
    <xf numFmtId="0" fontId="89" fillId="0" borderId="85" xfId="0" applyFont="1" applyBorder="1" applyAlignment="1">
      <alignment horizontal="center" vertical="center" wrapText="1"/>
    </xf>
    <xf numFmtId="166" fontId="115" fillId="0" borderId="85" xfId="0" applyNumberFormat="1" applyFont="1" applyBorder="1" applyAlignment="1">
      <alignment horizontal="center" vertical="center" wrapText="1"/>
    </xf>
    <xf numFmtId="166" fontId="55" fillId="0" borderId="85" xfId="0" applyNumberFormat="1" applyFont="1" applyBorder="1" applyAlignment="1">
      <alignment horizontal="center" vertical="center" wrapText="1"/>
    </xf>
    <xf numFmtId="0" fontId="0" fillId="0" borderId="85" xfId="0" applyBorder="1"/>
    <xf numFmtId="0" fontId="0" fillId="0" borderId="86" xfId="0" applyBorder="1"/>
    <xf numFmtId="0" fontId="112" fillId="0" borderId="0" xfId="0" applyFont="1" applyAlignment="1">
      <alignment horizontal="left" vertical="center" wrapText="1"/>
    </xf>
    <xf numFmtId="0" fontId="101" fillId="0" borderId="0" xfId="0" applyFont="1" applyAlignment="1">
      <alignment horizontal="center"/>
    </xf>
    <xf numFmtId="0" fontId="196" fillId="35" borderId="0" xfId="0" applyFont="1" applyFill="1" applyAlignment="1">
      <alignment horizontal="left" vertical="center"/>
    </xf>
    <xf numFmtId="166" fontId="121" fillId="0" borderId="0" xfId="0" applyNumberFormat="1" applyFont="1" applyAlignment="1">
      <alignment horizontal="center" vertical="center" wrapText="1"/>
    </xf>
    <xf numFmtId="0" fontId="122" fillId="0" borderId="76" xfId="0" applyFont="1" applyBorder="1" applyAlignment="1">
      <alignment horizontal="center" vertical="center"/>
    </xf>
    <xf numFmtId="0" fontId="121" fillId="0" borderId="76" xfId="0" applyFont="1" applyBorder="1" applyAlignment="1">
      <alignment horizontal="center" vertical="center"/>
    </xf>
    <xf numFmtId="4" fontId="0" fillId="0" borderId="85" xfId="0" applyNumberFormat="1" applyBorder="1"/>
    <xf numFmtId="4" fontId="115" fillId="0" borderId="85" xfId="0" applyNumberFormat="1" applyFont="1" applyBorder="1" applyAlignment="1">
      <alignment horizontal="center" vertical="center" wrapText="1"/>
    </xf>
    <xf numFmtId="0" fontId="55" fillId="0" borderId="85" xfId="0" applyFont="1" applyBorder="1" applyAlignment="1">
      <alignment horizontal="center" vertical="center" wrapText="1"/>
    </xf>
    <xf numFmtId="2" fontId="115" fillId="0" borderId="85" xfId="0" applyNumberFormat="1" applyFont="1" applyBorder="1" applyAlignment="1">
      <alignment horizontal="center" vertical="center" wrapText="1"/>
    </xf>
    <xf numFmtId="0" fontId="121" fillId="35" borderId="0" xfId="0" applyFont="1" applyFill="1" applyAlignment="1">
      <alignment horizontal="center" vertical="center"/>
    </xf>
    <xf numFmtId="0" fontId="114" fillId="35" borderId="189" xfId="0" applyFont="1" applyFill="1" applyBorder="1" applyAlignment="1">
      <alignment vertical="center" wrapText="1"/>
    </xf>
    <xf numFmtId="0" fontId="124" fillId="0" borderId="189" xfId="0" applyFont="1" applyBorder="1" applyAlignment="1">
      <alignment horizontal="center" vertical="center" wrapText="1"/>
    </xf>
    <xf numFmtId="0" fontId="124" fillId="0" borderId="189" xfId="0" applyFont="1" applyBorder="1" applyAlignment="1">
      <alignment horizontal="center" vertical="center"/>
    </xf>
    <xf numFmtId="0" fontId="89" fillId="0" borderId="189" xfId="0" applyFont="1" applyBorder="1" applyAlignment="1">
      <alignment horizontal="center" vertical="center" wrapText="1"/>
    </xf>
    <xf numFmtId="4" fontId="55" fillId="0" borderId="189" xfId="0" applyNumberFormat="1" applyFont="1" applyBorder="1" applyAlignment="1">
      <alignment horizontal="center" vertical="center"/>
    </xf>
    <xf numFmtId="4" fontId="55" fillId="0" borderId="189" xfId="0" applyNumberFormat="1" applyFont="1" applyBorder="1" applyAlignment="1">
      <alignment horizontal="center" vertical="center" wrapText="1"/>
    </xf>
    <xf numFmtId="166" fontId="115" fillId="32" borderId="189" xfId="0" applyNumberFormat="1" applyFont="1" applyFill="1" applyBorder="1" applyAlignment="1">
      <alignment horizontal="center" vertical="center" wrapText="1"/>
    </xf>
    <xf numFmtId="166" fontId="89" fillId="0" borderId="189" xfId="0" applyNumberFormat="1" applyFont="1" applyBorder="1" applyAlignment="1">
      <alignment horizontal="center" vertical="center" wrapText="1"/>
    </xf>
    <xf numFmtId="0" fontId="46" fillId="28" borderId="189" xfId="0" applyFont="1" applyFill="1" applyBorder="1" applyAlignment="1">
      <alignment horizontal="left" vertical="center" wrapText="1"/>
    </xf>
    <xf numFmtId="0" fontId="195" fillId="0" borderId="189" xfId="0" applyFont="1" applyBorder="1" applyAlignment="1">
      <alignment horizontal="left" vertical="center" wrapText="1"/>
    </xf>
    <xf numFmtId="166" fontId="115" fillId="33" borderId="189" xfId="0" applyNumberFormat="1" applyFont="1" applyFill="1" applyBorder="1" applyAlignment="1">
      <alignment horizontal="center" vertical="center" wrapText="1"/>
    </xf>
    <xf numFmtId="166" fontId="115" fillId="34" borderId="189" xfId="0" applyNumberFormat="1" applyFont="1" applyFill="1" applyBorder="1" applyAlignment="1">
      <alignment horizontal="center" vertical="center" wrapText="1"/>
    </xf>
    <xf numFmtId="0" fontId="114" fillId="28" borderId="189" xfId="0" applyFont="1" applyFill="1" applyBorder="1" applyAlignment="1">
      <alignment horizontal="left" vertical="center" wrapText="1"/>
    </xf>
    <xf numFmtId="0" fontId="82" fillId="4" borderId="4" xfId="0" applyFont="1" applyFill="1" applyBorder="1" applyAlignment="1">
      <alignment horizontal="center" vertical="center" wrapText="1"/>
    </xf>
    <xf numFmtId="0" fontId="82" fillId="0" borderId="0" xfId="0" applyFont="1" applyAlignment="1">
      <alignment horizontal="center" vertical="center" wrapText="1"/>
    </xf>
    <xf numFmtId="0" fontId="49" fillId="28" borderId="0" xfId="0" applyFont="1" applyFill="1" applyAlignment="1">
      <alignment horizontal="left" vertical="center"/>
    </xf>
    <xf numFmtId="0" fontId="55" fillId="0" borderId="0" xfId="0" applyFont="1" applyAlignment="1">
      <alignment vertical="top" wrapText="1"/>
    </xf>
    <xf numFmtId="0" fontId="151" fillId="0" borderId="0" xfId="0" applyFont="1" applyAlignment="1">
      <alignment vertical="top"/>
    </xf>
    <xf numFmtId="0" fontId="12" fillId="0" borderId="0" xfId="0" applyFont="1" applyAlignment="1">
      <alignment vertical="top"/>
    </xf>
    <xf numFmtId="0" fontId="218" fillId="18" borderId="0" xfId="0" applyFont="1" applyFill="1" applyAlignment="1">
      <alignment vertical="center"/>
    </xf>
    <xf numFmtId="0" fontId="46" fillId="18" borderId="0" xfId="0" applyFont="1" applyFill="1" applyAlignment="1">
      <alignment horizontal="center"/>
    </xf>
    <xf numFmtId="0" fontId="46" fillId="18" borderId="0" xfId="0" applyFont="1" applyFill="1"/>
    <xf numFmtId="0" fontId="45" fillId="0" borderId="0" xfId="0" applyFont="1" applyAlignment="1">
      <alignment horizontal="center" vertical="center"/>
    </xf>
    <xf numFmtId="0" fontId="45" fillId="0" borderId="0" xfId="0" applyFont="1" applyAlignment="1">
      <alignment vertical="center" wrapText="1"/>
    </xf>
    <xf numFmtId="0" fontId="138" fillId="0" borderId="0" xfId="2" applyFont="1" applyFill="1" applyBorder="1" applyAlignment="1">
      <alignment vertical="center" wrapText="1"/>
    </xf>
    <xf numFmtId="0" fontId="138" fillId="0" borderId="0" xfId="2" applyFont="1" applyFill="1" applyBorder="1" applyAlignment="1">
      <alignment wrapText="1"/>
    </xf>
    <xf numFmtId="11" fontId="138" fillId="0" borderId="0" xfId="2" applyNumberFormat="1" applyFont="1" applyFill="1" applyBorder="1" applyAlignment="1">
      <alignment vertical="center" wrapText="1"/>
    </xf>
    <xf numFmtId="11" fontId="141" fillId="0" borderId="0" xfId="0" applyNumberFormat="1" applyFont="1" applyAlignment="1">
      <alignment vertical="center" wrapText="1"/>
    </xf>
    <xf numFmtId="0" fontId="139" fillId="0" borderId="0" xfId="0" applyFont="1" applyAlignment="1">
      <alignment horizontal="center" vertical="center" wrapText="1"/>
    </xf>
    <xf numFmtId="0" fontId="45" fillId="38" borderId="0" xfId="0" applyFont="1" applyFill="1" applyAlignment="1">
      <alignment vertical="center" wrapText="1"/>
    </xf>
    <xf numFmtId="0" fontId="0" fillId="38" borderId="0" xfId="0" applyFill="1" applyAlignment="1">
      <alignment wrapText="1"/>
    </xf>
    <xf numFmtId="0" fontId="46" fillId="18" borderId="0" xfId="0" applyFont="1" applyFill="1" applyAlignment="1">
      <alignment wrapText="1"/>
    </xf>
    <xf numFmtId="0" fontId="139" fillId="18" borderId="193" xfId="0" applyFont="1" applyFill="1" applyBorder="1" applyAlignment="1">
      <alignment horizontal="center" vertical="center" wrapText="1"/>
    </xf>
    <xf numFmtId="0" fontId="46" fillId="0" borderId="193" xfId="0" applyFont="1" applyBorder="1" applyAlignment="1">
      <alignment horizontal="center" vertical="center"/>
    </xf>
    <xf numFmtId="0" fontId="51" fillId="0" borderId="193" xfId="0" applyFont="1" applyBorder="1" applyAlignment="1">
      <alignment horizontal="center" vertical="center" wrapText="1"/>
    </xf>
    <xf numFmtId="0" fontId="40" fillId="0" borderId="193" xfId="0" applyFont="1" applyBorder="1" applyAlignment="1">
      <alignment horizontal="center" vertical="center" wrapText="1"/>
    </xf>
    <xf numFmtId="0" fontId="46" fillId="0" borderId="193" xfId="0" applyFont="1" applyBorder="1" applyAlignment="1">
      <alignment vertical="center" wrapText="1"/>
    </xf>
    <xf numFmtId="0" fontId="46" fillId="0" borderId="78" xfId="0" applyFont="1" applyBorder="1" applyAlignment="1">
      <alignment horizontal="center" vertical="center"/>
    </xf>
    <xf numFmtId="0" fontId="46" fillId="0" borderId="35" xfId="0" applyFont="1" applyBorder="1" applyAlignment="1">
      <alignment horizontal="center" vertical="center"/>
    </xf>
    <xf numFmtId="0" fontId="209" fillId="0" borderId="12" xfId="0" applyFont="1" applyBorder="1"/>
    <xf numFmtId="0" fontId="210" fillId="4" borderId="12" xfId="0" applyFont="1" applyFill="1" applyBorder="1"/>
    <xf numFmtId="0" fontId="209" fillId="4" borderId="12" xfId="0" applyFont="1" applyFill="1" applyBorder="1"/>
    <xf numFmtId="0" fontId="46" fillId="0" borderId="12" xfId="0" applyFont="1" applyBorder="1"/>
    <xf numFmtId="0" fontId="144" fillId="0" borderId="197" xfId="0" applyFont="1" applyBorder="1" applyAlignment="1">
      <alignment vertical="center"/>
    </xf>
    <xf numFmtId="0" fontId="144" fillId="0" borderId="197" xfId="0" applyFont="1" applyBorder="1" applyAlignment="1">
      <alignment horizontal="center" vertical="center"/>
    </xf>
    <xf numFmtId="0" fontId="51" fillId="0" borderId="197" xfId="0" applyFont="1" applyBorder="1"/>
    <xf numFmtId="0" fontId="208" fillId="0" borderId="14" xfId="0" applyFont="1" applyBorder="1" applyAlignment="1">
      <alignment vertical="top" wrapText="1"/>
    </xf>
    <xf numFmtId="0" fontId="211" fillId="0" borderId="14" xfId="0" applyFont="1" applyBorder="1" applyAlignment="1">
      <alignment vertical="top"/>
    </xf>
    <xf numFmtId="1" fontId="212" fillId="0" borderId="14" xfId="0" applyNumberFormat="1" applyFont="1" applyBorder="1" applyAlignment="1">
      <alignment horizontal="right" vertical="top"/>
    </xf>
    <xf numFmtId="49" fontId="212" fillId="0" borderId="14" xfId="0" applyNumberFormat="1" applyFont="1" applyBorder="1" applyAlignment="1">
      <alignment horizontal="left" vertical="top"/>
    </xf>
    <xf numFmtId="0" fontId="212" fillId="0" borderId="14" xfId="0" applyFont="1" applyBorder="1" applyAlignment="1">
      <alignment horizontal="right" vertical="top"/>
    </xf>
    <xf numFmtId="0" fontId="209" fillId="0" borderId="14" xfId="0" applyFont="1" applyBorder="1"/>
    <xf numFmtId="10" fontId="209" fillId="0" borderId="14" xfId="0" applyNumberFormat="1" applyFont="1" applyBorder="1"/>
    <xf numFmtId="0" fontId="51" fillId="0" borderId="14" xfId="0" applyFont="1" applyBorder="1"/>
    <xf numFmtId="0" fontId="53" fillId="18" borderId="0" xfId="0" applyFont="1" applyFill="1" applyAlignment="1">
      <alignment vertical="center"/>
    </xf>
    <xf numFmtId="0" fontId="89" fillId="18" borderId="0" xfId="0" applyFont="1" applyFill="1" applyAlignment="1">
      <alignment vertical="center"/>
    </xf>
    <xf numFmtId="0" fontId="208" fillId="18" borderId="0" xfId="0" applyFont="1" applyFill="1" applyAlignment="1">
      <alignment vertical="top" wrapText="1"/>
    </xf>
    <xf numFmtId="0" fontId="211" fillId="18" borderId="0" xfId="0" applyFont="1" applyFill="1" applyAlignment="1">
      <alignment vertical="top"/>
    </xf>
    <xf numFmtId="1" fontId="212" fillId="18" borderId="0" xfId="0" applyNumberFormat="1" applyFont="1" applyFill="1" applyAlignment="1">
      <alignment horizontal="right" vertical="top"/>
    </xf>
    <xf numFmtId="49" fontId="212" fillId="18" borderId="0" xfId="0" applyNumberFormat="1" applyFont="1" applyFill="1" applyAlignment="1">
      <alignment horizontal="left" vertical="top"/>
    </xf>
    <xf numFmtId="0" fontId="212" fillId="18" borderId="0" xfId="0" applyFont="1" applyFill="1" applyAlignment="1">
      <alignment horizontal="right" vertical="top"/>
    </xf>
    <xf numFmtId="0" fontId="209" fillId="18" borderId="0" xfId="0" applyFont="1" applyFill="1"/>
    <xf numFmtId="10" fontId="209" fillId="18" borderId="0" xfId="0" applyNumberFormat="1" applyFont="1" applyFill="1"/>
    <xf numFmtId="0" fontId="218" fillId="0" borderId="0" xfId="0" applyFont="1" applyAlignment="1">
      <alignment vertical="center"/>
    </xf>
    <xf numFmtId="165" fontId="41" fillId="26" borderId="193" xfId="0" applyNumberFormat="1" applyFont="1" applyFill="1" applyBorder="1" applyAlignment="1">
      <alignment horizontal="center" vertical="center"/>
    </xf>
    <xf numFmtId="165" fontId="51" fillId="0" borderId="193" xfId="0" applyNumberFormat="1" applyFont="1" applyBorder="1" applyAlignment="1">
      <alignment horizontal="center" vertical="center" wrapText="1"/>
    </xf>
    <xf numFmtId="0" fontId="51" fillId="0" borderId="193" xfId="0" applyFont="1" applyBorder="1" applyAlignment="1">
      <alignment horizontal="center" vertical="center"/>
    </xf>
    <xf numFmtId="165" fontId="46" fillId="26" borderId="193" xfId="0" applyNumberFormat="1" applyFont="1" applyFill="1" applyBorder="1" applyAlignment="1">
      <alignment horizontal="center" vertical="center"/>
    </xf>
    <xf numFmtId="171" fontId="51" fillId="0" borderId="193" xfId="0" applyNumberFormat="1" applyFont="1" applyBorder="1" applyAlignment="1">
      <alignment horizontal="center" vertical="center" wrapText="1"/>
    </xf>
    <xf numFmtId="0" fontId="46" fillId="10" borderId="193" xfId="0" applyFont="1" applyFill="1" applyBorder="1" applyAlignment="1">
      <alignment horizontal="center" vertical="center"/>
    </xf>
    <xf numFmtId="0" fontId="46" fillId="10" borderId="193" xfId="0" applyFont="1" applyFill="1" applyBorder="1" applyAlignment="1">
      <alignment vertical="center" wrapText="1"/>
    </xf>
    <xf numFmtId="2" fontId="46" fillId="26" borderId="193" xfId="0" applyNumberFormat="1" applyFont="1" applyFill="1" applyBorder="1" applyAlignment="1">
      <alignment horizontal="center" vertical="center"/>
    </xf>
    <xf numFmtId="2" fontId="46" fillId="0" borderId="193" xfId="0" applyNumberFormat="1" applyFont="1" applyBorder="1" applyAlignment="1">
      <alignment horizontal="center" vertical="center"/>
    </xf>
    <xf numFmtId="171" fontId="40" fillId="0" borderId="193" xfId="0" applyNumberFormat="1" applyFont="1" applyBorder="1" applyAlignment="1">
      <alignment horizontal="center" vertical="center" wrapText="1"/>
    </xf>
    <xf numFmtId="165" fontId="41" fillId="0" borderId="193" xfId="0" applyNumberFormat="1" applyFont="1" applyBorder="1" applyAlignment="1">
      <alignment horizontal="center" vertical="center"/>
    </xf>
    <xf numFmtId="11" fontId="51" fillId="0" borderId="193" xfId="0" applyNumberFormat="1" applyFont="1" applyBorder="1" applyAlignment="1">
      <alignment horizontal="center" vertical="center" wrapText="1"/>
    </xf>
    <xf numFmtId="165" fontId="40" fillId="0" borderId="193" xfId="0" applyNumberFormat="1" applyFont="1" applyBorder="1" applyAlignment="1">
      <alignment horizontal="center" vertical="center" wrapText="1"/>
    </xf>
    <xf numFmtId="2" fontId="51" fillId="0" borderId="193" xfId="0" applyNumberFormat="1" applyFont="1" applyBorder="1" applyAlignment="1">
      <alignment horizontal="center" vertical="center" wrapText="1"/>
    </xf>
    <xf numFmtId="2" fontId="40" fillId="0" borderId="193" xfId="0" applyNumberFormat="1" applyFont="1" applyBorder="1" applyAlignment="1">
      <alignment horizontal="center" vertical="center" wrapText="1"/>
    </xf>
    <xf numFmtId="0" fontId="51" fillId="10" borderId="193" xfId="0" applyFont="1" applyFill="1" applyBorder="1" applyAlignment="1">
      <alignment horizontal="center" vertical="center" wrapText="1"/>
    </xf>
    <xf numFmtId="2" fontId="41" fillId="26" borderId="193" xfId="0" applyNumberFormat="1" applyFont="1" applyFill="1" applyBorder="1" applyAlignment="1">
      <alignment horizontal="center" vertical="center"/>
    </xf>
    <xf numFmtId="0" fontId="51" fillId="0" borderId="193" xfId="0" applyFont="1" applyBorder="1" applyAlignment="1">
      <alignment horizontal="left" vertical="center" wrapText="1"/>
    </xf>
    <xf numFmtId="174" fontId="51" fillId="0" borderId="193" xfId="0" applyNumberFormat="1" applyFont="1" applyBorder="1" applyAlignment="1">
      <alignment horizontal="center" vertical="center" wrapText="1"/>
    </xf>
    <xf numFmtId="175" fontId="51" fillId="0" borderId="193" xfId="0" applyNumberFormat="1" applyFont="1" applyBorder="1" applyAlignment="1">
      <alignment horizontal="center" vertical="center" wrapText="1"/>
    </xf>
    <xf numFmtId="171" fontId="51" fillId="28" borderId="198" xfId="0" applyNumberFormat="1" applyFont="1" applyFill="1" applyBorder="1" applyAlignment="1">
      <alignment vertical="center" wrapText="1"/>
    </xf>
    <xf numFmtId="171" fontId="51" fillId="28" borderId="77" xfId="0" applyNumberFormat="1" applyFont="1" applyFill="1" applyBorder="1" applyAlignment="1">
      <alignment vertical="center" wrapText="1"/>
    </xf>
    <xf numFmtId="171" fontId="51" fillId="28" borderId="199" xfId="0" applyNumberFormat="1" applyFont="1" applyFill="1" applyBorder="1" applyAlignment="1">
      <alignment vertical="center" wrapText="1"/>
    </xf>
    <xf numFmtId="175" fontId="40" fillId="0" borderId="193" xfId="0" applyNumberFormat="1" applyFont="1" applyBorder="1" applyAlignment="1">
      <alignment horizontal="center" vertical="center" wrapText="1"/>
    </xf>
    <xf numFmtId="165" fontId="46" fillId="0" borderId="193" xfId="0" applyNumberFormat="1" applyFont="1" applyBorder="1" applyAlignment="1">
      <alignment horizontal="center" vertical="center"/>
    </xf>
    <xf numFmtId="165" fontId="51" fillId="0" borderId="193" xfId="0" applyNumberFormat="1" applyFont="1" applyBorder="1" applyAlignment="1">
      <alignment horizontal="center" vertical="center"/>
    </xf>
    <xf numFmtId="11" fontId="46" fillId="0" borderId="193" xfId="0" applyNumberFormat="1" applyFont="1" applyBorder="1" applyAlignment="1">
      <alignment horizontal="center" vertical="center"/>
    </xf>
    <xf numFmtId="11" fontId="51" fillId="0" borderId="193" xfId="0" applyNumberFormat="1" applyFont="1" applyBorder="1" applyAlignment="1">
      <alignment horizontal="center" vertical="center"/>
    </xf>
    <xf numFmtId="165" fontId="40" fillId="26" borderId="193" xfId="0" applyNumberFormat="1" applyFont="1" applyFill="1" applyBorder="1" applyAlignment="1">
      <alignment horizontal="center" vertical="center" wrapText="1"/>
    </xf>
    <xf numFmtId="1" fontId="51" fillId="0" borderId="193" xfId="0" applyNumberFormat="1" applyFont="1" applyBorder="1" applyAlignment="1">
      <alignment horizontal="center" vertical="center" wrapText="1"/>
    </xf>
    <xf numFmtId="165" fontId="40" fillId="26" borderId="193" xfId="0" applyNumberFormat="1" applyFont="1" applyFill="1" applyBorder="1" applyAlignment="1">
      <alignment horizontal="center" vertical="center"/>
    </xf>
    <xf numFmtId="165" fontId="51" fillId="26" borderId="193" xfId="0" applyNumberFormat="1" applyFont="1" applyFill="1" applyBorder="1" applyAlignment="1">
      <alignment horizontal="center" vertical="center"/>
    </xf>
    <xf numFmtId="165" fontId="40" fillId="0" borderId="193" xfId="0" applyNumberFormat="1" applyFont="1" applyBorder="1" applyAlignment="1">
      <alignment horizontal="center" vertical="center"/>
    </xf>
    <xf numFmtId="2" fontId="51" fillId="28" borderId="198" xfId="0" applyNumberFormat="1" applyFont="1" applyFill="1" applyBorder="1" applyAlignment="1">
      <alignment vertical="center" wrapText="1"/>
    </xf>
    <xf numFmtId="165" fontId="51" fillId="0" borderId="199" xfId="0" applyNumberFormat="1" applyFont="1" applyBorder="1" applyAlignment="1">
      <alignment horizontal="center" vertical="center" wrapText="1"/>
    </xf>
    <xf numFmtId="175" fontId="51" fillId="28" borderId="193" xfId="0" applyNumberFormat="1" applyFont="1" applyFill="1" applyBorder="1" applyAlignment="1">
      <alignment horizontal="center" vertical="center" wrapText="1"/>
    </xf>
    <xf numFmtId="175" fontId="51" fillId="0" borderId="193" xfId="0" applyNumberFormat="1" applyFont="1" applyBorder="1" applyAlignment="1">
      <alignment vertical="center" wrapText="1"/>
    </xf>
    <xf numFmtId="0" fontId="139" fillId="18" borderId="200" xfId="0" applyFont="1" applyFill="1" applyBorder="1" applyAlignment="1">
      <alignment horizontal="center" vertical="center"/>
    </xf>
    <xf numFmtId="0" fontId="139" fillId="18" borderId="200" xfId="0" applyFont="1" applyFill="1" applyBorder="1" applyAlignment="1">
      <alignment horizontal="center" vertical="center" wrapText="1"/>
    </xf>
    <xf numFmtId="0" fontId="150" fillId="0" borderId="0" xfId="0" applyFont="1" applyAlignment="1">
      <alignment vertical="center"/>
    </xf>
    <xf numFmtId="0" fontId="51" fillId="2" borderId="200" xfId="0" applyFont="1" applyFill="1" applyBorder="1" applyAlignment="1">
      <alignment horizontal="left" vertical="center" indent="1"/>
    </xf>
    <xf numFmtId="0" fontId="51" fillId="2" borderId="200" xfId="0" applyFont="1" applyFill="1" applyBorder="1" applyAlignment="1">
      <alignment horizontal="right" vertical="center" indent="1"/>
    </xf>
    <xf numFmtId="3" fontId="51" fillId="2" borderId="200" xfId="0" applyNumberFormat="1" applyFont="1" applyFill="1" applyBorder="1" applyAlignment="1">
      <alignment horizontal="right" vertical="center" indent="1"/>
    </xf>
    <xf numFmtId="0" fontId="51" fillId="28" borderId="200" xfId="0" applyFont="1" applyFill="1" applyBorder="1" applyAlignment="1">
      <alignment horizontal="right" vertical="center" indent="1"/>
    </xf>
    <xf numFmtId="0" fontId="51" fillId="28" borderId="201" xfId="0" applyFont="1" applyFill="1" applyBorder="1" applyAlignment="1">
      <alignment horizontal="right" vertical="center" indent="1"/>
    </xf>
    <xf numFmtId="0" fontId="51" fillId="28" borderId="202" xfId="0" applyFont="1" applyFill="1" applyBorder="1" applyAlignment="1">
      <alignment horizontal="right"/>
    </xf>
    <xf numFmtId="0" fontId="51" fillId="28" borderId="203" xfId="0" applyFont="1" applyFill="1" applyBorder="1" applyAlignment="1">
      <alignment horizontal="right"/>
    </xf>
    <xf numFmtId="0" fontId="51" fillId="28" borderId="204" xfId="0" applyFont="1" applyFill="1" applyBorder="1" applyAlignment="1">
      <alignment horizontal="right"/>
    </xf>
    <xf numFmtId="0" fontId="51" fillId="28" borderId="205" xfId="0" applyFont="1" applyFill="1" applyBorder="1" applyAlignment="1">
      <alignment horizontal="right"/>
    </xf>
    <xf numFmtId="0" fontId="51" fillId="28" borderId="206" xfId="0" applyFont="1" applyFill="1" applyBorder="1" applyAlignment="1">
      <alignment horizontal="right" vertical="center" indent="1"/>
    </xf>
    <xf numFmtId="0" fontId="51" fillId="28" borderId="207" xfId="0" applyFont="1" applyFill="1" applyBorder="1" applyAlignment="1">
      <alignment horizontal="right" vertical="center" indent="1"/>
    </xf>
    <xf numFmtId="0" fontId="51" fillId="28" borderId="208" xfId="0" applyFont="1" applyFill="1" applyBorder="1" applyAlignment="1">
      <alignment horizontal="right" vertical="center" indent="1"/>
    </xf>
    <xf numFmtId="0" fontId="51" fillId="28" borderId="203" xfId="0" applyFont="1" applyFill="1" applyBorder="1" applyAlignment="1">
      <alignment horizontal="right" vertical="center" indent="1"/>
    </xf>
    <xf numFmtId="0" fontId="53" fillId="2" borderId="0" xfId="0" applyFont="1" applyFill="1"/>
    <xf numFmtId="0" fontId="53" fillId="0" borderId="0" xfId="0" applyFont="1"/>
    <xf numFmtId="0" fontId="178" fillId="2" borderId="0" xfId="0" applyFont="1" applyFill="1"/>
    <xf numFmtId="0" fontId="55" fillId="0" borderId="16" xfId="0" applyFont="1" applyBorder="1" applyAlignment="1">
      <alignment horizontal="justify" vertical="center" wrapText="1"/>
    </xf>
    <xf numFmtId="0" fontId="53" fillId="0" borderId="16" xfId="0" applyFont="1" applyBorder="1"/>
    <xf numFmtId="0" fontId="89" fillId="0" borderId="16" xfId="0" applyFont="1" applyBorder="1"/>
    <xf numFmtId="0" fontId="54" fillId="4" borderId="87" xfId="0" applyFont="1" applyFill="1" applyBorder="1"/>
    <xf numFmtId="0" fontId="15" fillId="32" borderId="0" xfId="0" applyFont="1" applyFill="1"/>
    <xf numFmtId="166" fontId="89" fillId="0" borderId="177" xfId="0" applyNumberFormat="1" applyFont="1" applyBorder="1" applyAlignment="1">
      <alignment horizontal="center" vertical="center"/>
    </xf>
    <xf numFmtId="166" fontId="89" fillId="0" borderId="178" xfId="0" applyNumberFormat="1" applyFont="1" applyBorder="1" applyAlignment="1">
      <alignment horizontal="center" vertical="center"/>
    </xf>
    <xf numFmtId="166" fontId="89" fillId="0" borderId="179" xfId="0" applyNumberFormat="1" applyFont="1" applyBorder="1" applyAlignment="1">
      <alignment horizontal="center" vertical="center"/>
    </xf>
    <xf numFmtId="166" fontId="89" fillId="0" borderId="176" xfId="0" applyNumberFormat="1" applyFont="1" applyBorder="1" applyAlignment="1">
      <alignment horizontal="center" vertical="center"/>
    </xf>
    <xf numFmtId="0" fontId="222" fillId="0" borderId="0" xfId="0" applyFont="1"/>
    <xf numFmtId="2" fontId="222" fillId="0" borderId="0" xfId="0" applyNumberFormat="1" applyFont="1"/>
    <xf numFmtId="0" fontId="129" fillId="0" borderId="0" xfId="0" applyFont="1" applyAlignment="1">
      <alignment vertical="center"/>
    </xf>
    <xf numFmtId="0" fontId="222" fillId="0" borderId="0" xfId="0" applyFont="1" applyAlignment="1">
      <alignment vertical="center"/>
    </xf>
    <xf numFmtId="0" fontId="15" fillId="0" borderId="0" xfId="0" applyFont="1" applyAlignment="1">
      <alignment vertical="center"/>
    </xf>
    <xf numFmtId="2" fontId="15" fillId="0" borderId="0" xfId="0" applyNumberFormat="1" applyFont="1" applyAlignment="1">
      <alignment vertical="center"/>
    </xf>
    <xf numFmtId="0" fontId="88" fillId="28" borderId="209" xfId="0" applyFont="1" applyFill="1" applyBorder="1" applyAlignment="1">
      <alignment horizontal="left" vertical="center"/>
    </xf>
    <xf numFmtId="0" fontId="49" fillId="28" borderId="212" xfId="0" applyFont="1" applyFill="1" applyBorder="1" applyAlignment="1">
      <alignment horizontal="left" vertical="center"/>
    </xf>
    <xf numFmtId="0" fontId="224" fillId="28" borderId="211" xfId="0" applyFont="1" applyFill="1" applyBorder="1" applyAlignment="1">
      <alignment vertical="center"/>
    </xf>
    <xf numFmtId="0" fontId="44" fillId="28" borderId="0" xfId="0" applyFont="1" applyFill="1" applyAlignment="1">
      <alignment vertical="center"/>
    </xf>
    <xf numFmtId="0" fontId="89" fillId="0" borderId="222" xfId="0" applyFont="1" applyBorder="1" applyAlignment="1">
      <alignment horizontal="left" vertical="center" wrapText="1"/>
    </xf>
    <xf numFmtId="0" fontId="55" fillId="0" borderId="221" xfId="0" applyFont="1" applyBorder="1" applyAlignment="1">
      <alignment horizontal="left" vertical="center" wrapText="1"/>
    </xf>
    <xf numFmtId="0" fontId="41" fillId="28" borderId="59" xfId="0" applyFont="1" applyFill="1" applyBorder="1" applyAlignment="1">
      <alignment horizontal="center" vertical="center" wrapText="1"/>
    </xf>
    <xf numFmtId="0" fontId="124" fillId="7" borderId="221" xfId="0" applyFont="1" applyFill="1" applyBorder="1" applyAlignment="1">
      <alignment horizontal="left" vertical="center" wrapText="1"/>
    </xf>
    <xf numFmtId="0" fontId="118" fillId="7" borderId="222" xfId="0" applyFont="1" applyFill="1" applyBorder="1" applyAlignment="1">
      <alignment horizontal="left" vertical="center" wrapText="1"/>
    </xf>
    <xf numFmtId="166" fontId="124" fillId="7" borderId="225" xfId="0" applyNumberFormat="1" applyFont="1" applyFill="1" applyBorder="1" applyAlignment="1">
      <alignment horizontal="center" vertical="center" wrapText="1"/>
    </xf>
    <xf numFmtId="166" fontId="118" fillId="7" borderId="225" xfId="0" applyNumberFormat="1" applyFont="1" applyFill="1" applyBorder="1" applyAlignment="1">
      <alignment horizontal="center" vertical="center" wrapText="1"/>
    </xf>
    <xf numFmtId="0" fontId="41" fillId="10" borderId="231" xfId="0" applyFont="1" applyFill="1" applyBorder="1" applyAlignment="1">
      <alignment horizontal="center" vertical="center" wrapText="1"/>
    </xf>
    <xf numFmtId="0" fontId="41" fillId="10" borderId="213" xfId="0" applyFont="1" applyFill="1" applyBorder="1" applyAlignment="1">
      <alignment horizontal="center" vertical="center" wrapText="1"/>
    </xf>
    <xf numFmtId="0" fontId="55" fillId="10" borderId="224" xfId="0" applyFont="1" applyFill="1" applyBorder="1" applyAlignment="1">
      <alignment horizontal="center" vertical="center" wrapText="1"/>
    </xf>
    <xf numFmtId="0" fontId="55" fillId="10" borderId="223" xfId="0" applyFont="1" applyFill="1" applyBorder="1" applyAlignment="1">
      <alignment horizontal="center" vertical="center" wrapText="1"/>
    </xf>
    <xf numFmtId="0" fontId="94" fillId="0" borderId="213" xfId="0" applyFont="1" applyBorder="1" applyAlignment="1">
      <alignment horizontal="left" vertical="center" wrapText="1"/>
    </xf>
    <xf numFmtId="0" fontId="89" fillId="0" borderId="61" xfId="0" applyFont="1" applyBorder="1" applyAlignment="1">
      <alignment horizontal="center" vertical="center"/>
    </xf>
    <xf numFmtId="0" fontId="55" fillId="10" borderId="179" xfId="0" applyFont="1" applyFill="1" applyBorder="1" applyAlignment="1">
      <alignment horizontal="center" vertical="center" wrapText="1"/>
    </xf>
    <xf numFmtId="0" fontId="41" fillId="0" borderId="237" xfId="0" applyFont="1" applyBorder="1" applyAlignment="1">
      <alignment horizontal="center" vertical="center"/>
    </xf>
    <xf numFmtId="0" fontId="55" fillId="10" borderId="178" xfId="0" applyFont="1" applyFill="1" applyBorder="1" applyAlignment="1">
      <alignment horizontal="center" vertical="center" wrapText="1"/>
    </xf>
    <xf numFmtId="0" fontId="55" fillId="10" borderId="236" xfId="0" applyFont="1" applyFill="1" applyBorder="1" applyAlignment="1">
      <alignment horizontal="center" vertical="center" wrapText="1"/>
    </xf>
    <xf numFmtId="166" fontId="89" fillId="0" borderId="236" xfId="0" applyNumberFormat="1" applyFont="1" applyBorder="1" applyAlignment="1">
      <alignment horizontal="center" vertical="center"/>
    </xf>
    <xf numFmtId="0" fontId="152" fillId="0" borderId="0" xfId="0" applyFont="1" applyAlignment="1">
      <alignment horizontal="left" vertical="center"/>
    </xf>
    <xf numFmtId="2" fontId="89" fillId="0" borderId="0" xfId="0" applyNumberFormat="1" applyFont="1" applyAlignment="1">
      <alignment horizontal="center" vertical="center"/>
    </xf>
    <xf numFmtId="165" fontId="89" fillId="0" borderId="0" xfId="0" applyNumberFormat="1" applyFont="1" applyAlignment="1">
      <alignment horizontal="center" vertical="center"/>
    </xf>
    <xf numFmtId="177" fontId="89" fillId="0" borderId="0" xfId="0" applyNumberFormat="1" applyFont="1" applyAlignment="1">
      <alignment horizontal="center" vertical="center"/>
    </xf>
    <xf numFmtId="0" fontId="0" fillId="0" borderId="238" xfId="0" applyBorder="1"/>
    <xf numFmtId="0" fontId="0" fillId="0" borderId="239" xfId="0" applyBorder="1"/>
    <xf numFmtId="0" fontId="0" fillId="0" borderId="240" xfId="0" applyBorder="1"/>
    <xf numFmtId="0" fontId="89" fillId="0" borderId="62" xfId="0" applyFont="1" applyBorder="1" applyAlignment="1">
      <alignment horizontal="center" vertical="center"/>
    </xf>
    <xf numFmtId="0" fontId="55" fillId="0" borderId="60" xfId="0" applyFont="1" applyBorder="1" applyAlignment="1">
      <alignment horizontal="center" vertical="center"/>
    </xf>
    <xf numFmtId="0" fontId="89" fillId="0" borderId="175" xfId="0" applyFont="1" applyBorder="1" applyAlignment="1">
      <alignment horizontal="center" vertical="center"/>
    </xf>
    <xf numFmtId="166" fontId="55" fillId="7" borderId="213" xfId="0" applyNumberFormat="1" applyFont="1" applyFill="1" applyBorder="1" applyAlignment="1">
      <alignment horizontal="center" vertical="center" wrapText="1"/>
    </xf>
    <xf numFmtId="0" fontId="55" fillId="7" borderId="213" xfId="0" applyFont="1" applyFill="1" applyBorder="1" applyAlignment="1">
      <alignment horizontal="center" vertical="center"/>
    </xf>
    <xf numFmtId="0" fontId="152" fillId="28" borderId="243" xfId="0" applyFont="1" applyFill="1" applyBorder="1" applyAlignment="1">
      <alignment horizontal="left" vertical="center"/>
    </xf>
    <xf numFmtId="0" fontId="149" fillId="27" borderId="228" xfId="0" applyFont="1" applyFill="1" applyBorder="1" applyAlignment="1">
      <alignment horizontal="left" vertical="center" wrapText="1"/>
    </xf>
    <xf numFmtId="166" fontId="89" fillId="0" borderId="231" xfId="0" applyNumberFormat="1" applyFont="1" applyBorder="1" applyAlignment="1">
      <alignment horizontal="center" vertical="center"/>
    </xf>
    <xf numFmtId="0" fontId="40" fillId="0" borderId="193" xfId="0" applyFont="1" applyBorder="1" applyAlignment="1">
      <alignment vertical="center" wrapText="1"/>
    </xf>
    <xf numFmtId="2" fontId="51" fillId="0" borderId="193" xfId="0" applyNumberFormat="1" applyFont="1" applyBorder="1" applyAlignment="1">
      <alignment horizontal="center" vertical="center"/>
    </xf>
    <xf numFmtId="176" fontId="51" fillId="0" borderId="193" xfId="0" applyNumberFormat="1" applyFont="1" applyBorder="1" applyAlignment="1">
      <alignment horizontal="center" vertical="center"/>
    </xf>
    <xf numFmtId="0" fontId="41" fillId="0" borderId="193" xfId="0" applyFont="1" applyBorder="1" applyAlignment="1">
      <alignment vertical="center"/>
    </xf>
    <xf numFmtId="165" fontId="51" fillId="26" borderId="193" xfId="0" applyNumberFormat="1" applyFont="1" applyFill="1" applyBorder="1" applyAlignment="1">
      <alignment horizontal="center" vertical="center" wrapText="1"/>
    </xf>
    <xf numFmtId="175" fontId="40" fillId="0" borderId="193" xfId="0" applyNumberFormat="1" applyFont="1" applyBorder="1" applyAlignment="1">
      <alignment vertical="center" wrapText="1"/>
    </xf>
    <xf numFmtId="165" fontId="40" fillId="26" borderId="200" xfId="0" applyNumberFormat="1" applyFont="1" applyFill="1" applyBorder="1" applyAlignment="1">
      <alignment horizontal="center" vertical="center" wrapText="1"/>
    </xf>
    <xf numFmtId="175" fontId="40" fillId="0" borderId="200" xfId="0" applyNumberFormat="1" applyFont="1" applyBorder="1" applyAlignment="1">
      <alignment horizontal="center" vertical="center" wrapText="1"/>
    </xf>
    <xf numFmtId="0" fontId="40" fillId="0" borderId="193" xfId="0" applyFont="1" applyBorder="1" applyAlignment="1">
      <alignment horizontal="left" vertical="center" wrapText="1"/>
    </xf>
    <xf numFmtId="171" fontId="40" fillId="28" borderId="198" xfId="0" applyNumberFormat="1" applyFont="1" applyFill="1" applyBorder="1" applyAlignment="1">
      <alignment vertical="center" wrapText="1"/>
    </xf>
    <xf numFmtId="171" fontId="40" fillId="28" borderId="77" xfId="0" applyNumberFormat="1" applyFont="1" applyFill="1" applyBorder="1" applyAlignment="1">
      <alignment vertical="center" wrapText="1"/>
    </xf>
    <xf numFmtId="2" fontId="46" fillId="28" borderId="198" xfId="0" applyNumberFormat="1" applyFont="1" applyFill="1" applyBorder="1" applyAlignment="1">
      <alignment vertical="center"/>
    </xf>
    <xf numFmtId="2" fontId="46" fillId="28" borderId="77" xfId="0" applyNumberFormat="1" applyFont="1" applyFill="1" applyBorder="1" applyAlignment="1">
      <alignment vertical="center"/>
    </xf>
    <xf numFmtId="165" fontId="46" fillId="28" borderId="198" xfId="0" applyNumberFormat="1" applyFont="1" applyFill="1" applyBorder="1" applyAlignment="1">
      <alignment vertical="center"/>
    </xf>
    <xf numFmtId="165" fontId="46" fillId="28" borderId="77" xfId="0" applyNumberFormat="1" applyFont="1" applyFill="1" applyBorder="1" applyAlignment="1">
      <alignment vertical="center"/>
    </xf>
    <xf numFmtId="0" fontId="161" fillId="0" borderId="0" xfId="6" applyFont="1"/>
    <xf numFmtId="0" fontId="161" fillId="0" borderId="0" xfId="6" applyFont="1" applyAlignment="1">
      <alignment vertical="center"/>
    </xf>
    <xf numFmtId="0" fontId="161" fillId="0" borderId="0" xfId="6" applyFont="1" applyAlignment="1">
      <alignment horizontal="center"/>
    </xf>
    <xf numFmtId="0" fontId="160" fillId="0" borderId="0" xfId="6" applyFont="1"/>
    <xf numFmtId="0" fontId="160" fillId="0" borderId="91" xfId="6" applyFont="1" applyBorder="1"/>
    <xf numFmtId="0" fontId="160" fillId="0" borderId="91" xfId="6" applyFont="1" applyBorder="1" applyAlignment="1">
      <alignment vertical="center"/>
    </xf>
    <xf numFmtId="0" fontId="160" fillId="0" borderId="0" xfId="6" applyFont="1" applyAlignment="1">
      <alignment vertical="center"/>
    </xf>
    <xf numFmtId="0" fontId="160" fillId="0" borderId="91" xfId="6" applyFont="1" applyBorder="1" applyAlignment="1">
      <alignment horizontal="center"/>
    </xf>
    <xf numFmtId="0" fontId="160" fillId="0" borderId="0" xfId="6" applyFont="1" applyAlignment="1">
      <alignment horizontal="center"/>
    </xf>
    <xf numFmtId="0" fontId="155" fillId="10" borderId="0" xfId="6" applyFont="1" applyFill="1" applyAlignment="1">
      <alignment horizontal="right" vertical="top"/>
    </xf>
    <xf numFmtId="0" fontId="172" fillId="10" borderId="0" xfId="2" applyFont="1" applyFill="1" applyBorder="1" applyAlignment="1">
      <alignment horizontal="left" vertical="top" wrapText="1"/>
    </xf>
    <xf numFmtId="0" fontId="205" fillId="0" borderId="0" xfId="0" applyFont="1" applyAlignment="1">
      <alignment horizontal="left" vertical="center"/>
    </xf>
    <xf numFmtId="0" fontId="83" fillId="0" borderId="0" xfId="0" applyFont="1" applyAlignment="1">
      <alignment horizontal="center" vertical="center"/>
    </xf>
    <xf numFmtId="0" fontId="206" fillId="0" borderId="0" xfId="0" applyFont="1" applyAlignment="1">
      <alignment horizontal="left" vertical="center"/>
    </xf>
    <xf numFmtId="168" fontId="80" fillId="0" borderId="0" xfId="0" applyNumberFormat="1" applyFont="1" applyAlignment="1">
      <alignment horizontal="center" vertical="center"/>
    </xf>
    <xf numFmtId="1" fontId="80" fillId="0" borderId="0" xfId="0" applyNumberFormat="1" applyFont="1" applyAlignment="1">
      <alignment horizontal="center" vertical="center"/>
    </xf>
    <xf numFmtId="165" fontId="80" fillId="0" borderId="0" xfId="0" applyNumberFormat="1" applyFont="1" applyAlignment="1">
      <alignment horizontal="center" vertical="center"/>
    </xf>
    <xf numFmtId="0" fontId="79" fillId="5" borderId="0" xfId="0" applyFont="1" applyFill="1" applyAlignment="1">
      <alignment vertical="center"/>
    </xf>
    <xf numFmtId="0" fontId="80" fillId="5" borderId="0" xfId="0" applyFont="1" applyFill="1" applyAlignment="1">
      <alignment vertical="center"/>
    </xf>
    <xf numFmtId="0" fontId="80" fillId="5" borderId="0" xfId="0" applyFont="1" applyFill="1" applyAlignment="1">
      <alignment horizontal="center" vertical="center"/>
    </xf>
    <xf numFmtId="165" fontId="80" fillId="5" borderId="0" xfId="0" applyNumberFormat="1" applyFont="1" applyFill="1" applyAlignment="1">
      <alignment horizontal="center" vertical="center"/>
    </xf>
    <xf numFmtId="3" fontId="121" fillId="20" borderId="189" xfId="0" applyNumberFormat="1" applyFont="1" applyFill="1" applyBorder="1" applyAlignment="1" applyProtection="1">
      <alignment horizontal="center" vertical="center" wrapText="1"/>
      <protection locked="0"/>
    </xf>
    <xf numFmtId="0" fontId="121" fillId="0" borderId="189" xfId="0" applyFont="1" applyBorder="1" applyAlignment="1" applyProtection="1">
      <alignment horizontal="center" vertical="center" wrapText="1"/>
      <protection locked="0"/>
    </xf>
    <xf numFmtId="0" fontId="16" fillId="16" borderId="0" xfId="2" applyFill="1" applyAlignment="1" applyProtection="1">
      <alignment vertical="center" wrapText="1"/>
      <protection locked="0"/>
    </xf>
    <xf numFmtId="0" fontId="175" fillId="44" borderId="7" xfId="0" applyFont="1" applyFill="1" applyBorder="1" applyAlignment="1" applyProtection="1">
      <alignment horizontal="center" vertical="center" wrapText="1"/>
      <protection locked="0"/>
    </xf>
    <xf numFmtId="0" fontId="89" fillId="20" borderId="7" xfId="0" applyFont="1" applyFill="1" applyBorder="1" applyAlignment="1" applyProtection="1">
      <alignment horizontal="center" vertical="center" wrapText="1"/>
      <protection locked="0"/>
    </xf>
    <xf numFmtId="0" fontId="89" fillId="20" borderId="65" xfId="0" applyFont="1" applyFill="1" applyBorder="1" applyAlignment="1" applyProtection="1">
      <alignment horizontal="center" vertical="center" wrapText="1"/>
      <protection locked="0"/>
    </xf>
    <xf numFmtId="3" fontId="89" fillId="20" borderId="7" xfId="0" applyNumberFormat="1" applyFont="1" applyFill="1" applyBorder="1" applyAlignment="1" applyProtection="1">
      <alignment horizontal="center" vertical="center" wrapText="1"/>
      <protection locked="0"/>
    </xf>
    <xf numFmtId="0" fontId="176" fillId="0" borderId="167" xfId="2" applyFont="1" applyBorder="1" applyAlignment="1" applyProtection="1">
      <alignment horizontal="center" vertical="center" wrapText="1"/>
      <protection locked="0"/>
    </xf>
    <xf numFmtId="0" fontId="176" fillId="0" borderId="113" xfId="2" applyFont="1" applyBorder="1" applyAlignment="1" applyProtection="1">
      <alignment horizontal="center" vertical="center" wrapText="1"/>
      <protection locked="0"/>
    </xf>
    <xf numFmtId="1" fontId="89" fillId="20" borderId="7" xfId="0" applyNumberFormat="1" applyFont="1" applyFill="1" applyBorder="1" applyAlignment="1" applyProtection="1">
      <alignment horizontal="center" vertical="center" wrapText="1"/>
      <protection locked="0"/>
    </xf>
    <xf numFmtId="0" fontId="107" fillId="28" borderId="9" xfId="0" applyFont="1" applyFill="1" applyBorder="1" applyAlignment="1" applyProtection="1">
      <alignment horizontal="center" vertical="center" wrapText="1"/>
      <protection locked="0"/>
    </xf>
    <xf numFmtId="0" fontId="87" fillId="28" borderId="0" xfId="0" applyFont="1" applyFill="1" applyAlignment="1" applyProtection="1">
      <alignment horizontal="center" vertical="center" wrapText="1"/>
      <protection locked="0"/>
    </xf>
    <xf numFmtId="0" fontId="89" fillId="20" borderId="14" xfId="0" applyFont="1" applyFill="1" applyBorder="1" applyAlignment="1" applyProtection="1">
      <alignment horizontal="center" vertical="center" wrapText="1"/>
      <protection locked="0"/>
    </xf>
    <xf numFmtId="3" fontId="89" fillId="49" borderId="7" xfId="0" applyNumberFormat="1" applyFont="1" applyFill="1" applyBorder="1" applyAlignment="1" applyProtection="1">
      <alignment horizontal="center" vertical="center" wrapText="1"/>
      <protection locked="0"/>
    </xf>
    <xf numFmtId="0" fontId="0" fillId="0" borderId="0" xfId="0" applyProtection="1">
      <protection locked="0"/>
    </xf>
    <xf numFmtId="0" fontId="124" fillId="0" borderId="0" xfId="0" applyFont="1" applyAlignment="1" applyProtection="1">
      <alignment vertical="top" wrapText="1"/>
      <protection locked="0"/>
    </xf>
    <xf numFmtId="0" fontId="17" fillId="0" borderId="0" xfId="0" applyFont="1" applyAlignment="1" applyProtection="1">
      <alignment horizontal="center" vertical="center"/>
      <protection locked="0"/>
    </xf>
    <xf numFmtId="3" fontId="46" fillId="0" borderId="0" xfId="0" applyNumberFormat="1" applyFont="1" applyAlignment="1" applyProtection="1">
      <alignment horizontal="center" vertical="center" wrapText="1"/>
      <protection locked="0"/>
    </xf>
    <xf numFmtId="3" fontId="39" fillId="0" borderId="0" xfId="0" applyNumberFormat="1" applyFont="1" applyAlignment="1" applyProtection="1">
      <alignment horizontal="center" vertical="center"/>
      <protection locked="0"/>
    </xf>
    <xf numFmtId="0" fontId="89" fillId="0" borderId="0" xfId="0" applyFont="1" applyAlignment="1" applyProtection="1">
      <alignment vertical="center" wrapText="1"/>
      <protection locked="0"/>
    </xf>
    <xf numFmtId="0" fontId="17" fillId="43" borderId="97" xfId="0" applyFont="1" applyFill="1" applyBorder="1" applyAlignment="1">
      <alignment horizontal="center" vertical="center"/>
    </xf>
    <xf numFmtId="0" fontId="219" fillId="0" borderId="193" xfId="2" applyFont="1" applyBorder="1" applyAlignment="1" applyProtection="1">
      <alignment vertical="center" wrapText="1"/>
      <protection locked="0"/>
    </xf>
    <xf numFmtId="1" fontId="220" fillId="0" borderId="193" xfId="2" applyNumberFormat="1" applyFont="1" applyBorder="1" applyAlignment="1" applyProtection="1">
      <alignment vertical="center" wrapText="1"/>
      <protection locked="0"/>
    </xf>
    <xf numFmtId="11" fontId="220" fillId="0" borderId="193" xfId="2" applyNumberFormat="1" applyFont="1" applyBorder="1" applyAlignment="1" applyProtection="1">
      <alignment vertical="center" wrapText="1"/>
      <protection locked="0"/>
    </xf>
    <xf numFmtId="0" fontId="220" fillId="0" borderId="193" xfId="2" applyFont="1" applyBorder="1" applyAlignment="1" applyProtection="1">
      <alignment vertical="center" wrapText="1"/>
      <protection locked="0"/>
    </xf>
    <xf numFmtId="0" fontId="220" fillId="10" borderId="193" xfId="2" applyFont="1" applyFill="1" applyBorder="1" applyAlignment="1" applyProtection="1">
      <alignment vertical="center" wrapText="1"/>
      <protection locked="0"/>
    </xf>
    <xf numFmtId="0" fontId="182" fillId="0" borderId="87" xfId="0" applyFont="1" applyBorder="1" applyAlignment="1" applyProtection="1">
      <alignment horizontal="center"/>
      <protection locked="0"/>
    </xf>
    <xf numFmtId="0" fontId="89" fillId="0" borderId="87" xfId="0" applyFont="1" applyBorder="1" applyProtection="1">
      <protection locked="0"/>
    </xf>
    <xf numFmtId="0" fontId="27" fillId="0" borderId="0" xfId="0" applyFont="1" applyProtection="1">
      <protection locked="0"/>
    </xf>
    <xf numFmtId="0" fontId="16" fillId="0" borderId="193" xfId="2" applyFill="1" applyBorder="1" applyAlignment="1" applyProtection="1">
      <alignment vertical="center" wrapText="1"/>
      <protection locked="0"/>
    </xf>
    <xf numFmtId="11" fontId="232" fillId="0" borderId="193" xfId="0" applyNumberFormat="1" applyFont="1" applyBorder="1" applyAlignment="1">
      <alignment horizontal="center" vertical="center"/>
    </xf>
    <xf numFmtId="0" fontId="89" fillId="0" borderId="0" xfId="0" applyFont="1" applyAlignment="1">
      <alignment wrapText="1"/>
    </xf>
    <xf numFmtId="3" fontId="89" fillId="0" borderId="216" xfId="0" applyNumberFormat="1" applyFont="1" applyBorder="1" applyAlignment="1">
      <alignment horizontal="center" vertical="center"/>
    </xf>
    <xf numFmtId="2" fontId="51" fillId="26" borderId="193" xfId="0" applyNumberFormat="1" applyFont="1" applyFill="1" applyBorder="1" applyAlignment="1">
      <alignment horizontal="center" vertical="center"/>
    </xf>
    <xf numFmtId="0" fontId="234" fillId="52" borderId="0" xfId="0" applyFont="1" applyFill="1" applyAlignment="1">
      <alignment horizontal="center" vertical="center" wrapText="1"/>
    </xf>
    <xf numFmtId="0" fontId="234" fillId="52" borderId="249" xfId="0" applyFont="1" applyFill="1" applyBorder="1" applyAlignment="1">
      <alignment horizontal="center" vertical="center" wrapText="1"/>
    </xf>
    <xf numFmtId="0" fontId="234" fillId="54" borderId="248" xfId="0" applyFont="1" applyFill="1" applyBorder="1" applyAlignment="1">
      <alignment horizontal="left" vertical="center" wrapText="1"/>
    </xf>
    <xf numFmtId="0" fontId="235" fillId="54" borderId="0" xfId="0" applyFont="1" applyFill="1" applyAlignment="1">
      <alignment horizontal="right" vertical="center"/>
    </xf>
    <xf numFmtId="0" fontId="235" fillId="54" borderId="249" xfId="0" applyFont="1" applyFill="1" applyBorder="1" applyAlignment="1">
      <alignment horizontal="right" vertical="center"/>
    </xf>
    <xf numFmtId="0" fontId="234" fillId="54" borderId="0" xfId="0" applyFont="1" applyFill="1" applyAlignment="1">
      <alignment horizontal="left" vertical="center" wrapText="1"/>
    </xf>
    <xf numFmtId="0" fontId="234" fillId="55" borderId="248" xfId="0" applyFont="1" applyFill="1" applyBorder="1" applyAlignment="1">
      <alignment horizontal="left" vertical="center" wrapText="1" indent="1"/>
    </xf>
    <xf numFmtId="0" fontId="235" fillId="55" borderId="0" xfId="0" applyFont="1" applyFill="1" applyAlignment="1">
      <alignment horizontal="right" vertical="center"/>
    </xf>
    <xf numFmtId="4" fontId="235" fillId="55" borderId="0" xfId="0" applyNumberFormat="1" applyFont="1" applyFill="1" applyAlignment="1">
      <alignment horizontal="right" vertical="center"/>
    </xf>
    <xf numFmtId="4" fontId="235" fillId="55" borderId="249" xfId="0" applyNumberFormat="1" applyFont="1" applyFill="1" applyBorder="1" applyAlignment="1">
      <alignment horizontal="right" vertical="center"/>
    </xf>
    <xf numFmtId="0" fontId="234" fillId="55" borderId="0" xfId="0" applyFont="1" applyFill="1" applyAlignment="1">
      <alignment horizontal="left" vertical="center" wrapText="1" indent="1"/>
    </xf>
    <xf numFmtId="0" fontId="234" fillId="54" borderId="248" xfId="0" applyFont="1" applyFill="1" applyBorder="1" applyAlignment="1">
      <alignment horizontal="left" vertical="center" wrapText="1" indent="1"/>
    </xf>
    <xf numFmtId="0" fontId="235" fillId="55" borderId="249" xfId="0" applyFont="1" applyFill="1" applyBorder="1" applyAlignment="1">
      <alignment horizontal="right" vertical="center"/>
    </xf>
    <xf numFmtId="0" fontId="236" fillId="0" borderId="0" xfId="0" applyFont="1" applyAlignment="1">
      <alignment horizontal="center" vertical="center" wrapText="1"/>
    </xf>
    <xf numFmtId="2" fontId="23" fillId="0" borderId="0" xfId="0" applyNumberFormat="1" applyFont="1"/>
    <xf numFmtId="0" fontId="117" fillId="28" borderId="189" xfId="0" applyFont="1" applyFill="1" applyBorder="1" applyAlignment="1">
      <alignment horizontal="left" vertical="center" wrapText="1"/>
    </xf>
    <xf numFmtId="0" fontId="120" fillId="28" borderId="191" xfId="0" applyFont="1" applyFill="1" applyBorder="1" applyAlignment="1">
      <alignment horizontal="left" vertical="center" wrapText="1"/>
    </xf>
    <xf numFmtId="0" fontId="121" fillId="20" borderId="189" xfId="0" applyFont="1" applyFill="1" applyBorder="1" applyAlignment="1" applyProtection="1">
      <alignment horizontal="center" vertical="center" wrapText="1"/>
      <protection locked="0"/>
    </xf>
    <xf numFmtId="0" fontId="46" fillId="0" borderId="254" xfId="0" applyFont="1" applyBorder="1" applyAlignment="1">
      <alignment horizontal="center" vertical="center" wrapText="1"/>
    </xf>
    <xf numFmtId="0" fontId="0" fillId="0" borderId="97" xfId="0" applyBorder="1" applyAlignment="1">
      <alignment horizontal="center" vertical="center"/>
    </xf>
    <xf numFmtId="0" fontId="0" fillId="0" borderId="129" xfId="0" applyBorder="1" applyAlignment="1">
      <alignment horizontal="center" vertical="center"/>
    </xf>
    <xf numFmtId="0" fontId="46" fillId="0" borderId="257" xfId="0" applyFont="1" applyBorder="1" applyAlignment="1">
      <alignment horizontal="center" vertical="center" wrapText="1"/>
    </xf>
    <xf numFmtId="0" fontId="46" fillId="0" borderId="259" xfId="0" applyFont="1" applyBorder="1" applyAlignment="1">
      <alignment horizontal="center" vertical="center" wrapText="1"/>
    </xf>
    <xf numFmtId="0" fontId="46" fillId="29" borderId="53" xfId="0" applyFont="1" applyFill="1" applyBorder="1" applyAlignment="1">
      <alignment horizontal="center" vertical="center" wrapText="1"/>
    </xf>
    <xf numFmtId="0" fontId="46" fillId="0" borderId="54" xfId="0" applyFont="1" applyBorder="1" applyAlignment="1">
      <alignment horizontal="center" vertical="center" wrapText="1"/>
    </xf>
    <xf numFmtId="0" fontId="121" fillId="0" borderId="189" xfId="0" applyFont="1" applyBorder="1" applyAlignment="1">
      <alignment horizontal="center" vertical="center" wrapText="1"/>
    </xf>
    <xf numFmtId="0" fontId="195" fillId="0" borderId="189" xfId="0" applyFont="1" applyBorder="1" applyAlignment="1">
      <alignment horizontal="left" vertical="center"/>
    </xf>
    <xf numFmtId="4" fontId="124" fillId="0" borderId="189" xfId="0" applyNumberFormat="1" applyFont="1" applyBorder="1" applyAlignment="1">
      <alignment horizontal="center" vertical="center"/>
    </xf>
    <xf numFmtId="4" fontId="124" fillId="0" borderId="189" xfId="0" applyNumberFormat="1" applyFont="1" applyBorder="1" applyAlignment="1">
      <alignment horizontal="center" vertical="center" wrapText="1"/>
    </xf>
    <xf numFmtId="166" fontId="121" fillId="28" borderId="189" xfId="0" applyNumberFormat="1" applyFont="1" applyFill="1" applyBorder="1" applyAlignment="1">
      <alignment horizontal="center" vertical="center" wrapText="1"/>
    </xf>
    <xf numFmtId="4" fontId="121" fillId="0" borderId="0" xfId="0" applyNumberFormat="1" applyFont="1" applyAlignment="1">
      <alignment horizontal="center" vertical="center" wrapText="1"/>
    </xf>
    <xf numFmtId="166" fontId="115" fillId="28" borderId="190" xfId="0" applyNumberFormat="1" applyFont="1" applyFill="1" applyBorder="1" applyAlignment="1">
      <alignment horizontal="center" vertical="center" wrapText="1"/>
    </xf>
    <xf numFmtId="166" fontId="115" fillId="28" borderId="192" xfId="0" applyNumberFormat="1" applyFont="1" applyFill="1" applyBorder="1" applyAlignment="1">
      <alignment horizontal="center" vertical="center" wrapText="1"/>
    </xf>
    <xf numFmtId="166" fontId="115" fillId="28" borderId="191" xfId="0" applyNumberFormat="1" applyFont="1" applyFill="1" applyBorder="1" applyAlignment="1">
      <alignment horizontal="center" vertical="center" wrapText="1"/>
    </xf>
    <xf numFmtId="166" fontId="115" fillId="28" borderId="189" xfId="0" applyNumberFormat="1" applyFont="1" applyFill="1" applyBorder="1" applyAlignment="1">
      <alignment horizontal="center" vertical="center" wrapText="1"/>
    </xf>
    <xf numFmtId="0" fontId="114" fillId="28" borderId="0" xfId="0" applyFont="1" applyFill="1" applyAlignment="1">
      <alignment horizontal="center" vertical="center" wrapText="1"/>
    </xf>
    <xf numFmtId="0" fontId="120" fillId="0" borderId="0" xfId="0" applyFont="1" applyAlignment="1">
      <alignment horizontal="left" vertical="center" wrapText="1"/>
    </xf>
    <xf numFmtId="0" fontId="120" fillId="28" borderId="189" xfId="0" applyFont="1" applyFill="1" applyBorder="1" applyAlignment="1">
      <alignment vertical="center" wrapText="1"/>
    </xf>
    <xf numFmtId="0" fontId="117" fillId="28" borderId="189" xfId="0" applyFont="1" applyFill="1" applyBorder="1" applyAlignment="1">
      <alignment vertical="center" wrapText="1"/>
    </xf>
    <xf numFmtId="0" fontId="113" fillId="0" borderId="0" xfId="0" applyFont="1" applyAlignment="1">
      <alignment horizontal="left" vertical="center" wrapText="1"/>
    </xf>
    <xf numFmtId="166" fontId="55" fillId="28" borderId="214" xfId="0" applyNumberFormat="1" applyFont="1" applyFill="1" applyBorder="1" applyAlignment="1">
      <alignment horizontal="center" vertical="center"/>
    </xf>
    <xf numFmtId="166" fontId="55" fillId="28" borderId="215" xfId="0" applyNumberFormat="1" applyFont="1" applyFill="1" applyBorder="1" applyAlignment="1">
      <alignment horizontal="center" vertical="center"/>
    </xf>
    <xf numFmtId="166" fontId="89" fillId="28" borderId="216" xfId="0" applyNumberFormat="1" applyFont="1" applyFill="1" applyBorder="1" applyAlignment="1">
      <alignment horizontal="center" vertical="center"/>
    </xf>
    <xf numFmtId="166" fontId="89" fillId="28" borderId="217" xfId="0" applyNumberFormat="1" applyFont="1" applyFill="1" applyBorder="1" applyAlignment="1">
      <alignment horizontal="center" vertical="center"/>
    </xf>
    <xf numFmtId="166" fontId="89" fillId="28" borderId="230" xfId="0" applyNumberFormat="1" applyFont="1" applyFill="1" applyBorder="1" applyAlignment="1">
      <alignment horizontal="center" vertical="center"/>
    </xf>
    <xf numFmtId="4" fontId="55" fillId="28" borderId="215" xfId="0" applyNumberFormat="1" applyFont="1" applyFill="1" applyBorder="1" applyAlignment="1">
      <alignment horizontal="center" vertical="center"/>
    </xf>
    <xf numFmtId="4" fontId="124" fillId="7" borderId="225" xfId="0" applyNumberFormat="1" applyFont="1" applyFill="1" applyBorder="1" applyAlignment="1">
      <alignment horizontal="center" vertical="center" wrapText="1"/>
    </xf>
    <xf numFmtId="4" fontId="118" fillId="7" borderId="225" xfId="0" applyNumberFormat="1" applyFont="1" applyFill="1" applyBorder="1" applyAlignment="1">
      <alignment horizontal="center" vertical="center" wrapText="1"/>
    </xf>
    <xf numFmtId="4" fontId="55" fillId="28" borderId="214" xfId="0" applyNumberFormat="1" applyFont="1" applyFill="1" applyBorder="1" applyAlignment="1">
      <alignment horizontal="center" vertical="center"/>
    </xf>
    <xf numFmtId="4" fontId="89" fillId="28" borderId="216" xfId="0" applyNumberFormat="1" applyFont="1" applyFill="1" applyBorder="1" applyAlignment="1">
      <alignment horizontal="center" vertical="center"/>
    </xf>
    <xf numFmtId="4" fontId="89" fillId="28" borderId="244" xfId="0" applyNumberFormat="1" applyFont="1" applyFill="1" applyBorder="1" applyAlignment="1">
      <alignment horizontal="center" vertical="center"/>
    </xf>
    <xf numFmtId="166" fontId="89" fillId="28" borderId="241" xfId="0" applyNumberFormat="1" applyFont="1" applyFill="1" applyBorder="1" applyAlignment="1">
      <alignment horizontal="center" vertical="center"/>
    </xf>
    <xf numFmtId="166" fontId="89" fillId="28" borderId="242" xfId="0" applyNumberFormat="1" applyFont="1" applyFill="1" applyBorder="1" applyAlignment="1">
      <alignment horizontal="center" vertical="center"/>
    </xf>
    <xf numFmtId="166" fontId="89" fillId="28" borderId="232" xfId="0" applyNumberFormat="1" applyFont="1" applyFill="1" applyBorder="1" applyAlignment="1">
      <alignment horizontal="center" vertical="center"/>
    </xf>
    <xf numFmtId="166" fontId="89" fillId="28" borderId="233" xfId="0" applyNumberFormat="1" applyFont="1" applyFill="1" applyBorder="1" applyAlignment="1">
      <alignment horizontal="center" vertical="center"/>
    </xf>
    <xf numFmtId="166" fontId="89" fillId="28" borderId="227" xfId="0" applyNumberFormat="1" applyFont="1" applyFill="1" applyBorder="1" applyAlignment="1">
      <alignment horizontal="center" vertical="center"/>
    </xf>
    <xf numFmtId="166" fontId="89" fillId="28" borderId="226" xfId="0" applyNumberFormat="1" applyFont="1" applyFill="1" applyBorder="1" applyAlignment="1">
      <alignment horizontal="center" vertical="center"/>
    </xf>
    <xf numFmtId="0" fontId="138" fillId="0" borderId="42" xfId="2" applyFont="1" applyBorder="1" applyAlignment="1">
      <alignment horizontal="left" wrapText="1"/>
    </xf>
    <xf numFmtId="11" fontId="138" fillId="0" borderId="42" xfId="2" applyNumberFormat="1" applyFont="1" applyBorder="1" applyAlignment="1">
      <alignment horizontal="left" vertical="center" wrapText="1"/>
    </xf>
    <xf numFmtId="165" fontId="40" fillId="0" borderId="42" xfId="0" applyNumberFormat="1" applyFont="1" applyBorder="1" applyAlignment="1">
      <alignment horizontal="center" vertical="center" wrapText="1"/>
    </xf>
    <xf numFmtId="0" fontId="149" fillId="18" borderId="0" xfId="0" applyFont="1" applyFill="1" applyAlignment="1">
      <alignment horizontal="left" vertical="center"/>
    </xf>
    <xf numFmtId="0" fontId="53" fillId="0" borderId="124" xfId="0" applyFont="1" applyBorder="1" applyAlignment="1">
      <alignment horizontal="left" vertical="center" wrapText="1"/>
    </xf>
    <xf numFmtId="0" fontId="16" fillId="16" borderId="0" xfId="2" applyFill="1" applyAlignment="1" applyProtection="1">
      <alignment vertical="center" wrapText="1"/>
    </xf>
    <xf numFmtId="0" fontId="16" fillId="16" borderId="0" xfId="2" applyFill="1" applyBorder="1" applyAlignment="1" applyProtection="1">
      <alignment vertical="center" wrapText="1"/>
    </xf>
    <xf numFmtId="0" fontId="53" fillId="4" borderId="135" xfId="2" applyFont="1" applyFill="1" applyBorder="1" applyAlignment="1" applyProtection="1">
      <alignment horizontal="center" vertical="center" wrapText="1"/>
    </xf>
    <xf numFmtId="0" fontId="104" fillId="4" borderId="136" xfId="0" applyFont="1" applyFill="1" applyBorder="1" applyAlignment="1">
      <alignment vertical="center" wrapText="1"/>
    </xf>
    <xf numFmtId="0" fontId="137" fillId="10" borderId="0" xfId="0" applyFont="1" applyFill="1"/>
    <xf numFmtId="0" fontId="136" fillId="28" borderId="0" xfId="0" applyFont="1" applyFill="1" applyAlignment="1">
      <alignment vertical="center"/>
    </xf>
    <xf numFmtId="0" fontId="137" fillId="28" borderId="0" xfId="0" applyFont="1" applyFill="1"/>
    <xf numFmtId="0" fontId="171" fillId="45" borderId="119" xfId="0" applyFont="1" applyFill="1" applyBorder="1" applyAlignment="1">
      <alignment vertical="center" wrapText="1"/>
    </xf>
    <xf numFmtId="0" fontId="171" fillId="0" borderId="124" xfId="0" applyFont="1" applyBorder="1" applyAlignment="1">
      <alignment vertical="center" wrapText="1"/>
    </xf>
    <xf numFmtId="0" fontId="227" fillId="0" borderId="111" xfId="0" applyFont="1" applyBorder="1" applyAlignment="1">
      <alignment horizontal="right" vertical="top" wrapText="1"/>
    </xf>
    <xf numFmtId="0" fontId="227" fillId="0" borderId="110" xfId="0" applyFont="1" applyBorder="1" applyAlignment="1">
      <alignment horizontal="right" vertical="top" wrapText="1"/>
    </xf>
    <xf numFmtId="0" fontId="178" fillId="0" borderId="0" xfId="0" applyFont="1" applyAlignment="1">
      <alignment vertical="top" wrapText="1"/>
    </xf>
    <xf numFmtId="0" fontId="107" fillId="0" borderId="67" xfId="0" applyFont="1" applyBorder="1" applyAlignment="1">
      <alignment horizontal="center" vertical="center" wrapText="1"/>
    </xf>
    <xf numFmtId="0" fontId="107" fillId="0" borderId="138" xfId="0" applyFont="1" applyBorder="1" applyAlignment="1">
      <alignment horizontal="center" vertical="center" wrapText="1"/>
    </xf>
    <xf numFmtId="0" fontId="107" fillId="4" borderId="134" xfId="0" applyFont="1" applyFill="1" applyBorder="1" applyAlignment="1">
      <alignment horizontal="center" vertical="center" wrapText="1"/>
    </xf>
    <xf numFmtId="0" fontId="53" fillId="0" borderId="0" xfId="6" applyFont="1" applyAlignment="1">
      <alignment vertical="center" wrapText="1"/>
    </xf>
    <xf numFmtId="0" fontId="53" fillId="0" borderId="0" xfId="6" applyFont="1" applyAlignment="1">
      <alignment horizontal="left" vertical="center" wrapText="1"/>
    </xf>
    <xf numFmtId="0" fontId="191" fillId="0" borderId="0" xfId="0" applyFont="1" applyAlignment="1">
      <alignment horizontal="center" vertical="center"/>
    </xf>
    <xf numFmtId="0" fontId="107" fillId="28" borderId="27" xfId="0" applyFont="1" applyFill="1" applyBorder="1" applyAlignment="1">
      <alignment horizontal="center" vertical="center" wrapText="1"/>
    </xf>
    <xf numFmtId="0" fontId="54" fillId="0" borderId="0" xfId="0" applyFont="1" applyAlignment="1">
      <alignment vertical="center" wrapText="1"/>
    </xf>
    <xf numFmtId="0" fontId="191" fillId="0" borderId="0" xfId="0" applyFont="1"/>
    <xf numFmtId="49" fontId="53" fillId="10" borderId="7" xfId="6" applyNumberFormat="1" applyFont="1" applyFill="1" applyBorder="1" applyAlignment="1">
      <alignment horizontal="left" vertical="center" wrapText="1"/>
    </xf>
    <xf numFmtId="0" fontId="53" fillId="10" borderId="7" xfId="6" applyFont="1" applyFill="1" applyBorder="1" applyAlignment="1">
      <alignment horizontal="left" vertical="center" wrapText="1"/>
    </xf>
    <xf numFmtId="0" fontId="51" fillId="0" borderId="0" xfId="0" applyFont="1" applyAlignment="1">
      <alignment horizontal="center" vertical="center" wrapText="1"/>
    </xf>
    <xf numFmtId="0" fontId="53" fillId="10" borderId="98" xfId="6" applyFont="1" applyFill="1" applyBorder="1" applyAlignment="1">
      <alignment horizontal="left" vertical="center" wrapText="1"/>
    </xf>
    <xf numFmtId="0" fontId="176" fillId="0" borderId="0" xfId="2" applyFont="1" applyAlignment="1" applyProtection="1">
      <alignment vertical="top" wrapText="1"/>
    </xf>
    <xf numFmtId="0" fontId="176" fillId="0" borderId="0" xfId="2" applyFont="1" applyAlignment="1" applyProtection="1">
      <alignment vertical="top"/>
    </xf>
    <xf numFmtId="0" fontId="176" fillId="0" borderId="0" xfId="2" applyFont="1" applyFill="1" applyAlignment="1" applyProtection="1">
      <alignment horizontal="left" vertical="top" wrapText="1"/>
    </xf>
    <xf numFmtId="0" fontId="176" fillId="0" borderId="0" xfId="2" applyFont="1" applyFill="1" applyAlignment="1" applyProtection="1">
      <alignment vertical="top" wrapText="1"/>
    </xf>
    <xf numFmtId="166" fontId="46" fillId="20" borderId="97" xfId="0" applyNumberFormat="1" applyFont="1" applyFill="1" applyBorder="1" applyAlignment="1" applyProtection="1">
      <alignment horizontal="center" vertical="center" wrapText="1"/>
      <protection locked="0"/>
    </xf>
    <xf numFmtId="180" fontId="124" fillId="22" borderId="129" xfId="0" applyNumberFormat="1" applyFont="1" applyFill="1" applyBorder="1" applyAlignment="1">
      <alignment horizontal="center" vertical="center"/>
    </xf>
    <xf numFmtId="0" fontId="11" fillId="20" borderId="5" xfId="0" applyFont="1" applyFill="1" applyBorder="1" applyAlignment="1" applyProtection="1">
      <alignment horizontal="center" vertical="center" wrapText="1"/>
      <protection locked="0"/>
    </xf>
    <xf numFmtId="0" fontId="11" fillId="20" borderId="260" xfId="0" applyFont="1" applyFill="1" applyBorder="1" applyAlignment="1" applyProtection="1">
      <alignment horizontal="center" vertical="center" wrapText="1"/>
      <protection locked="0"/>
    </xf>
    <xf numFmtId="0" fontId="10" fillId="0" borderId="5" xfId="0" applyFont="1" applyBorder="1" applyAlignment="1">
      <alignment horizontal="left" vertical="center" wrapText="1"/>
    </xf>
    <xf numFmtId="0" fontId="9" fillId="20" borderId="5" xfId="0" applyFont="1" applyFill="1" applyBorder="1" applyAlignment="1" applyProtection="1">
      <alignment horizontal="center" vertical="center" wrapText="1"/>
      <protection locked="0"/>
    </xf>
    <xf numFmtId="0" fontId="207" fillId="28" borderId="140" xfId="2" applyFont="1" applyFill="1" applyBorder="1" applyAlignment="1" applyProtection="1">
      <alignment horizontal="center" vertical="center" wrapText="1"/>
      <protection locked="0"/>
    </xf>
    <xf numFmtId="0" fontId="213" fillId="10" borderId="139" xfId="2" applyFont="1" applyFill="1" applyBorder="1" applyAlignment="1" applyProtection="1">
      <alignment horizontal="center" vertical="center" wrapText="1"/>
      <protection locked="0"/>
    </xf>
    <xf numFmtId="0" fontId="8" fillId="21" borderId="69" xfId="0" applyFont="1" applyFill="1" applyBorder="1" applyAlignment="1">
      <alignment horizontal="left" vertical="center" wrapText="1"/>
    </xf>
    <xf numFmtId="0" fontId="7" fillId="0" borderId="6" xfId="0" applyFont="1" applyBorder="1" applyAlignment="1">
      <alignment horizontal="center" vertical="center" wrapText="1"/>
    </xf>
    <xf numFmtId="0" fontId="7" fillId="20" borderId="7" xfId="0" applyFont="1" applyFill="1" applyBorder="1" applyAlignment="1" applyProtection="1">
      <alignment horizontal="center" vertical="center" wrapText="1"/>
      <protection locked="0"/>
    </xf>
    <xf numFmtId="0" fontId="6" fillId="20" borderId="65" xfId="0" applyFont="1" applyFill="1" applyBorder="1" applyAlignment="1" applyProtection="1">
      <alignment horizontal="center" vertical="center" wrapText="1"/>
      <protection locked="0"/>
    </xf>
    <xf numFmtId="0" fontId="6" fillId="41" borderId="5" xfId="0" applyFont="1" applyFill="1" applyBorder="1" applyAlignment="1">
      <alignment horizontal="center" vertical="center" wrapText="1"/>
    </xf>
    <xf numFmtId="0" fontId="89" fillId="20" borderId="4" xfId="0" applyFont="1" applyFill="1" applyBorder="1" applyAlignment="1" applyProtection="1">
      <alignment horizontal="center" vertical="center" wrapText="1"/>
      <protection locked="0"/>
    </xf>
    <xf numFmtId="0" fontId="233" fillId="0" borderId="0" xfId="0" applyFont="1" applyAlignment="1">
      <alignment vertical="top" wrapText="1"/>
    </xf>
    <xf numFmtId="49" fontId="53" fillId="10" borderId="115" xfId="6" applyNumberFormat="1" applyFont="1" applyFill="1" applyBorder="1" applyAlignment="1">
      <alignment vertical="top"/>
    </xf>
    <xf numFmtId="49" fontId="53" fillId="10" borderId="116" xfId="6" applyNumberFormat="1" applyFont="1" applyFill="1" applyBorder="1" applyAlignment="1">
      <alignment vertical="top"/>
    </xf>
    <xf numFmtId="0" fontId="4" fillId="20" borderId="65" xfId="0"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20" borderId="4" xfId="0" applyFont="1" applyFill="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21" borderId="5" xfId="0" applyFont="1" applyFill="1" applyBorder="1" applyAlignment="1">
      <alignment horizontal="left" vertical="center" wrapText="1"/>
    </xf>
    <xf numFmtId="0" fontId="3" fillId="21" borderId="69" xfId="0" applyFont="1" applyFill="1" applyBorder="1" applyAlignment="1">
      <alignment horizontal="left" vertical="center" wrapText="1"/>
    </xf>
    <xf numFmtId="0" fontId="41" fillId="10" borderId="193" xfId="0" applyFont="1" applyFill="1" applyBorder="1" applyAlignment="1">
      <alignment vertical="center" wrapText="1"/>
    </xf>
    <xf numFmtId="0" fontId="3" fillId="21" borderId="5" xfId="0" applyFont="1" applyFill="1" applyBorder="1" applyAlignment="1">
      <alignment horizontal="left" vertical="center" wrapText="1"/>
    </xf>
    <xf numFmtId="0" fontId="3" fillId="0" borderId="67" xfId="0" applyFont="1" applyBorder="1" applyAlignment="1">
      <alignment horizontal="left" vertical="center" wrapText="1"/>
    </xf>
    <xf numFmtId="3" fontId="3" fillId="20" borderId="7" xfId="0" applyNumberFormat="1" applyFont="1" applyFill="1" applyBorder="1" applyAlignment="1" applyProtection="1">
      <alignment horizontal="center" vertical="center" wrapText="1"/>
      <protection locked="0"/>
    </xf>
    <xf numFmtId="0" fontId="3" fillId="20" borderId="4" xfId="0" applyFont="1" applyFill="1" applyBorder="1" applyAlignment="1">
      <alignment horizontal="center" vertical="center" wrapText="1"/>
    </xf>
    <xf numFmtId="2" fontId="12" fillId="17" borderId="0" xfId="0" applyNumberFormat="1" applyFont="1" applyFill="1" applyAlignment="1">
      <alignment horizontal="center" vertical="center"/>
    </xf>
    <xf numFmtId="168" fontId="80" fillId="0" borderId="7" xfId="0" applyNumberFormat="1" applyFont="1" applyBorder="1" applyAlignment="1">
      <alignment horizontal="center" vertical="center" wrapText="1"/>
    </xf>
    <xf numFmtId="0" fontId="60" fillId="0" borderId="0" xfId="0" applyFont="1" applyAlignment="1">
      <alignment horizontal="left" vertical="center" wrapText="1"/>
    </xf>
    <xf numFmtId="2" fontId="46" fillId="0" borderId="0" xfId="0" applyNumberFormat="1" applyFont="1" applyAlignment="1">
      <alignment horizontal="center" vertical="center" wrapText="1"/>
    </xf>
    <xf numFmtId="2" fontId="51" fillId="0" borderId="0" xfId="0" applyNumberFormat="1" applyFont="1" applyAlignment="1">
      <alignment horizontal="center" vertical="center" wrapText="1"/>
    </xf>
    <xf numFmtId="2" fontId="89" fillId="21" borderId="4" xfId="0" applyNumberFormat="1" applyFont="1" applyFill="1" applyBorder="1" applyAlignment="1">
      <alignment horizontal="center" vertical="center" wrapText="1"/>
    </xf>
    <xf numFmtId="1" fontId="51" fillId="0" borderId="193" xfId="0" applyNumberFormat="1" applyFont="1" applyBorder="1" applyAlignment="1">
      <alignment vertical="center" wrapText="1"/>
    </xf>
    <xf numFmtId="11" fontId="51" fillId="0" borderId="193" xfId="0" applyNumberFormat="1" applyFont="1" applyBorder="1" applyAlignment="1">
      <alignment vertical="center" wrapText="1"/>
    </xf>
    <xf numFmtId="0" fontId="2" fillId="20" borderId="7" xfId="0" applyFont="1" applyFill="1" applyBorder="1" applyAlignment="1" applyProtection="1">
      <alignment horizontal="center" vertical="center" wrapText="1"/>
      <protection locked="0"/>
    </xf>
    <xf numFmtId="0" fontId="35" fillId="0" borderId="0" xfId="0" applyFont="1" applyAlignment="1">
      <alignment horizontal="left" vertical="top" wrapText="1"/>
    </xf>
    <xf numFmtId="0" fontId="35" fillId="0" borderId="0" xfId="0" applyFont="1" applyAlignment="1">
      <alignment horizontal="left" wrapText="1"/>
    </xf>
    <xf numFmtId="0" fontId="27" fillId="13" borderId="0" xfId="0" applyFont="1" applyFill="1" applyAlignment="1">
      <alignment horizontal="left" vertical="center" wrapText="1"/>
    </xf>
    <xf numFmtId="0" fontId="29" fillId="13" borderId="0" xfId="0" quotePrefix="1" applyFont="1" applyFill="1" applyAlignment="1">
      <alignment horizontal="left" vertical="center" wrapText="1"/>
    </xf>
    <xf numFmtId="0" fontId="22" fillId="0" borderId="0" xfId="0" applyFont="1" applyAlignment="1">
      <alignment horizontal="center"/>
    </xf>
    <xf numFmtId="0" fontId="27" fillId="6" borderId="1" xfId="0" applyFont="1" applyFill="1" applyBorder="1" applyAlignment="1" applyProtection="1">
      <alignment horizontal="center" vertical="center"/>
      <protection locked="0"/>
    </xf>
    <xf numFmtId="0" fontId="27" fillId="6" borderId="2" xfId="0" applyFont="1" applyFill="1" applyBorder="1" applyAlignment="1" applyProtection="1">
      <alignment horizontal="center" vertical="center"/>
      <protection locked="0"/>
    </xf>
    <xf numFmtId="0" fontId="27" fillId="6" borderId="3" xfId="0" applyFont="1" applyFill="1" applyBorder="1" applyAlignment="1" applyProtection="1">
      <alignment horizontal="center" vertical="center"/>
      <protection locked="0"/>
    </xf>
    <xf numFmtId="0" fontId="79" fillId="0" borderId="0" xfId="0" applyFont="1" applyAlignment="1">
      <alignment horizontal="center" vertical="center" wrapText="1"/>
    </xf>
    <xf numFmtId="0" fontId="37" fillId="0" borderId="0" xfId="2" applyFont="1" applyBorder="1" applyAlignment="1">
      <alignment horizontal="left" vertical="top" wrapText="1"/>
    </xf>
    <xf numFmtId="0" fontId="169" fillId="45" borderId="110" xfId="0" applyFont="1" applyFill="1" applyBorder="1" applyAlignment="1">
      <alignment horizontal="left" vertical="center" wrapText="1"/>
    </xf>
    <xf numFmtId="0" fontId="53" fillId="10" borderId="114" xfId="6" applyFont="1" applyFill="1" applyBorder="1" applyAlignment="1">
      <alignment horizontal="left" vertical="center" wrapText="1"/>
    </xf>
    <xf numFmtId="0" fontId="53" fillId="10" borderId="115" xfId="6" applyFont="1" applyFill="1" applyBorder="1" applyAlignment="1">
      <alignment horizontal="left" vertical="center" wrapText="1"/>
    </xf>
    <xf numFmtId="0" fontId="53" fillId="10" borderId="116" xfId="6" applyFont="1" applyFill="1" applyBorder="1" applyAlignment="1">
      <alignment horizontal="left" vertical="center" wrapText="1"/>
    </xf>
    <xf numFmtId="0" fontId="53" fillId="10" borderId="110" xfId="6" applyFont="1" applyFill="1" applyBorder="1" applyAlignment="1">
      <alignment horizontal="left" vertical="center" wrapText="1"/>
    </xf>
    <xf numFmtId="0" fontId="178" fillId="10" borderId="110" xfId="6" applyFont="1" applyFill="1" applyBorder="1" applyAlignment="1">
      <alignment horizontal="right" vertical="top"/>
    </xf>
    <xf numFmtId="0" fontId="53" fillId="10" borderId="110" xfId="6" applyFont="1" applyFill="1" applyBorder="1" applyAlignment="1">
      <alignment horizontal="left" vertical="top" wrapText="1"/>
    </xf>
    <xf numFmtId="0" fontId="180" fillId="10" borderId="113" xfId="2" applyFont="1" applyFill="1" applyBorder="1" applyAlignment="1" applyProtection="1">
      <alignment horizontal="left" vertical="top" wrapText="1"/>
      <protection locked="0"/>
    </xf>
    <xf numFmtId="0" fontId="178" fillId="10" borderId="120" xfId="6" applyFont="1" applyFill="1" applyBorder="1" applyAlignment="1">
      <alignment horizontal="right" vertical="top"/>
    </xf>
    <xf numFmtId="0" fontId="178" fillId="10" borderId="122" xfId="6" applyFont="1" applyFill="1" applyBorder="1" applyAlignment="1">
      <alignment horizontal="right" vertical="top"/>
    </xf>
    <xf numFmtId="0" fontId="178" fillId="10" borderId="117" xfId="6" applyFont="1" applyFill="1" applyBorder="1" applyAlignment="1">
      <alignment horizontal="right" vertical="top"/>
    </xf>
    <xf numFmtId="0" fontId="178" fillId="10" borderId="119" xfId="6" applyFont="1" applyFill="1" applyBorder="1" applyAlignment="1">
      <alignment horizontal="right" vertical="top"/>
    </xf>
    <xf numFmtId="0" fontId="53" fillId="10" borderId="111" xfId="6" applyFont="1" applyFill="1" applyBorder="1" applyAlignment="1">
      <alignment horizontal="left" vertical="top" wrapText="1"/>
    </xf>
    <xf numFmtId="0" fontId="180" fillId="10" borderId="112" xfId="2" applyFont="1" applyFill="1" applyBorder="1" applyAlignment="1" applyProtection="1">
      <alignment horizontal="left" vertical="top" wrapText="1"/>
      <protection locked="0"/>
    </xf>
    <xf numFmtId="0" fontId="155" fillId="10" borderId="0" xfId="6" applyFont="1" applyFill="1" applyAlignment="1">
      <alignment horizontal="right" vertical="top" wrapText="1"/>
    </xf>
    <xf numFmtId="0" fontId="158" fillId="45" borderId="0" xfId="6" applyFont="1" applyFill="1" applyAlignment="1">
      <alignment horizontal="left" vertical="center"/>
    </xf>
    <xf numFmtId="0" fontId="51" fillId="10" borderId="0" xfId="6" applyFont="1" applyFill="1" applyAlignment="1">
      <alignment horizontal="left" vertical="top" wrapText="1"/>
    </xf>
    <xf numFmtId="0" fontId="53" fillId="0" borderId="110" xfId="6" applyFont="1" applyBorder="1" applyAlignment="1">
      <alignment horizontal="left" vertical="top" wrapText="1"/>
    </xf>
    <xf numFmtId="0" fontId="178" fillId="10" borderId="110" xfId="6" applyFont="1" applyFill="1" applyBorder="1" applyAlignment="1">
      <alignment horizontal="right" vertical="top" wrapText="1"/>
    </xf>
    <xf numFmtId="0" fontId="178" fillId="10" borderId="114" xfId="6" applyFont="1" applyFill="1" applyBorder="1" applyAlignment="1">
      <alignment horizontal="right" vertical="top"/>
    </xf>
    <xf numFmtId="0" fontId="178" fillId="10" borderId="116" xfId="6" applyFont="1" applyFill="1" applyBorder="1" applyAlignment="1">
      <alignment horizontal="right" vertical="top"/>
    </xf>
    <xf numFmtId="0" fontId="53" fillId="0" borderId="110" xfId="6" applyFont="1" applyBorder="1" applyAlignment="1">
      <alignment horizontal="left" vertical="center" wrapText="1"/>
    </xf>
    <xf numFmtId="0" fontId="226" fillId="10" borderId="110" xfId="6" applyFont="1" applyFill="1" applyBorder="1" applyAlignment="1" applyProtection="1">
      <alignment horizontal="left" vertical="top" wrapText="1"/>
      <protection locked="0"/>
    </xf>
    <xf numFmtId="0" fontId="169" fillId="45" borderId="120" xfId="0" applyFont="1" applyFill="1" applyBorder="1" applyAlignment="1">
      <alignment horizontal="left" vertical="center" wrapText="1"/>
    </xf>
    <xf numFmtId="0" fontId="169" fillId="45" borderId="121" xfId="0" applyFont="1" applyFill="1" applyBorder="1" applyAlignment="1">
      <alignment horizontal="left" vertical="center" wrapText="1"/>
    </xf>
    <xf numFmtId="0" fontId="169" fillId="45" borderId="122" xfId="0" applyFont="1" applyFill="1" applyBorder="1" applyAlignment="1">
      <alignment horizontal="left" vertical="center" wrapText="1"/>
    </xf>
    <xf numFmtId="0" fontId="52" fillId="10" borderId="110" xfId="6" applyFont="1" applyFill="1" applyBorder="1" applyAlignment="1">
      <alignment horizontal="left" vertical="top" wrapText="1"/>
    </xf>
    <xf numFmtId="0" fontId="176" fillId="10" borderId="110" xfId="2" applyFont="1" applyFill="1" applyBorder="1" applyAlignment="1" applyProtection="1">
      <alignment horizontal="left" vertical="top" wrapText="1"/>
      <protection locked="0"/>
    </xf>
    <xf numFmtId="49" fontId="52" fillId="10" borderId="110" xfId="6" applyNumberFormat="1" applyFont="1" applyFill="1" applyBorder="1" applyAlignment="1">
      <alignment horizontal="left" vertical="top" wrapText="1"/>
    </xf>
    <xf numFmtId="49" fontId="53" fillId="10" borderId="110" xfId="6" applyNumberFormat="1" applyFont="1" applyFill="1" applyBorder="1" applyAlignment="1">
      <alignment horizontal="left" vertical="top" wrapText="1"/>
    </xf>
    <xf numFmtId="49" fontId="142" fillId="10" borderId="114" xfId="6" applyNumberFormat="1" applyFont="1" applyFill="1" applyBorder="1" applyAlignment="1">
      <alignment horizontal="left" vertical="top" wrapText="1"/>
    </xf>
    <xf numFmtId="49" fontId="142" fillId="10" borderId="115" xfId="6" applyNumberFormat="1" applyFont="1" applyFill="1" applyBorder="1" applyAlignment="1">
      <alignment horizontal="left" vertical="top" wrapText="1"/>
    </xf>
    <xf numFmtId="49" fontId="142" fillId="10" borderId="116" xfId="6" applyNumberFormat="1" applyFont="1" applyFill="1" applyBorder="1" applyAlignment="1">
      <alignment horizontal="left" vertical="top" wrapText="1"/>
    </xf>
    <xf numFmtId="49" fontId="53" fillId="10" borderId="114" xfId="6" applyNumberFormat="1" applyFont="1" applyFill="1" applyBorder="1" applyAlignment="1">
      <alignment horizontal="left" vertical="top" wrapText="1"/>
    </xf>
    <xf numFmtId="49" fontId="53" fillId="10" borderId="115" xfId="6" applyNumberFormat="1" applyFont="1" applyFill="1" applyBorder="1" applyAlignment="1">
      <alignment horizontal="left" vertical="top" wrapText="1"/>
    </xf>
    <xf numFmtId="49" fontId="53" fillId="10" borderId="116" xfId="6" applyNumberFormat="1" applyFont="1" applyFill="1" applyBorder="1" applyAlignment="1">
      <alignment horizontal="left" vertical="top" wrapText="1"/>
    </xf>
    <xf numFmtId="49" fontId="52" fillId="10" borderId="114" xfId="6" applyNumberFormat="1" applyFont="1" applyFill="1" applyBorder="1" applyAlignment="1">
      <alignment horizontal="left" vertical="top" wrapText="1"/>
    </xf>
    <xf numFmtId="49" fontId="52" fillId="10" borderId="115" xfId="6" applyNumberFormat="1" applyFont="1" applyFill="1" applyBorder="1" applyAlignment="1">
      <alignment horizontal="left" vertical="top" wrapText="1"/>
    </xf>
    <xf numFmtId="0" fontId="155" fillId="10" borderId="0" xfId="6" applyFont="1" applyFill="1" applyAlignment="1">
      <alignment horizontal="right" vertical="top"/>
    </xf>
    <xf numFmtId="0" fontId="51" fillId="10" borderId="0" xfId="6" applyFont="1" applyFill="1" applyAlignment="1">
      <alignment horizontal="left" vertical="center" wrapText="1"/>
    </xf>
    <xf numFmtId="0" fontId="172" fillId="10" borderId="0" xfId="2" applyFont="1" applyFill="1" applyBorder="1" applyAlignment="1">
      <alignment horizontal="left" vertical="top" wrapText="1"/>
    </xf>
    <xf numFmtId="0" fontId="53" fillId="10" borderId="114" xfId="6" applyFont="1" applyFill="1" applyBorder="1" applyAlignment="1">
      <alignment horizontal="left" vertical="top"/>
    </xf>
    <xf numFmtId="0" fontId="53" fillId="10" borderId="115" xfId="6" applyFont="1" applyFill="1" applyBorder="1" applyAlignment="1">
      <alignment horizontal="left" vertical="top"/>
    </xf>
    <xf numFmtId="0" fontId="53" fillId="10" borderId="116" xfId="6" applyFont="1" applyFill="1" applyBorder="1" applyAlignment="1">
      <alignment horizontal="left" vertical="top"/>
    </xf>
    <xf numFmtId="49" fontId="51" fillId="10" borderId="0" xfId="6" applyNumberFormat="1" applyFont="1" applyFill="1" applyAlignment="1">
      <alignment horizontal="left" vertical="top" wrapText="1"/>
    </xf>
    <xf numFmtId="49" fontId="40" fillId="10" borderId="0" xfId="6" applyNumberFormat="1" applyFont="1" applyFill="1" applyAlignment="1">
      <alignment horizontal="left" vertical="top" wrapText="1"/>
    </xf>
    <xf numFmtId="49" fontId="143" fillId="10" borderId="0" xfId="6" applyNumberFormat="1" applyFont="1" applyFill="1" applyAlignment="1">
      <alignment horizontal="left" vertical="top" wrapText="1"/>
    </xf>
    <xf numFmtId="0" fontId="82" fillId="42" borderId="0" xfId="6" applyFont="1" applyFill="1" applyAlignment="1">
      <alignment horizontal="left" vertical="center"/>
    </xf>
    <xf numFmtId="0" fontId="46" fillId="10" borderId="0" xfId="6" applyFont="1" applyFill="1" applyAlignment="1">
      <alignment horizontal="left" vertical="center" wrapText="1"/>
    </xf>
    <xf numFmtId="0" fontId="40" fillId="10" borderId="0" xfId="6" applyFont="1" applyFill="1" applyAlignment="1">
      <alignment horizontal="left" vertical="top" wrapText="1"/>
    </xf>
    <xf numFmtId="0" fontId="178" fillId="10" borderId="120" xfId="6" applyFont="1" applyFill="1" applyBorder="1" applyAlignment="1">
      <alignment horizontal="right" vertical="top" wrapText="1"/>
    </xf>
    <xf numFmtId="0" fontId="178" fillId="10" borderId="122" xfId="6" applyFont="1" applyFill="1" applyBorder="1" applyAlignment="1">
      <alignment horizontal="right" vertical="top" wrapText="1"/>
    </xf>
    <xf numFmtId="0" fontId="178" fillId="10" borderId="124" xfId="6" applyFont="1" applyFill="1" applyBorder="1" applyAlignment="1">
      <alignment horizontal="right" vertical="top" wrapText="1"/>
    </xf>
    <xf numFmtId="0" fontId="178" fillId="10" borderId="123" xfId="6" applyFont="1" applyFill="1" applyBorder="1" applyAlignment="1">
      <alignment horizontal="right" vertical="top" wrapText="1"/>
    </xf>
    <xf numFmtId="0" fontId="178" fillId="10" borderId="117" xfId="6" applyFont="1" applyFill="1" applyBorder="1" applyAlignment="1">
      <alignment horizontal="right" vertical="top" wrapText="1"/>
    </xf>
    <xf numFmtId="0" fontId="178" fillId="10" borderId="119" xfId="6" applyFont="1" applyFill="1" applyBorder="1" applyAlignment="1">
      <alignment horizontal="right" vertical="top" wrapText="1"/>
    </xf>
    <xf numFmtId="0" fontId="178" fillId="10" borderId="124" xfId="6" applyFont="1" applyFill="1" applyBorder="1" applyAlignment="1">
      <alignment horizontal="right" vertical="top"/>
    </xf>
    <xf numFmtId="0" fontId="178" fillId="10" borderId="123" xfId="6" applyFont="1" applyFill="1" applyBorder="1" applyAlignment="1">
      <alignment horizontal="right" vertical="top"/>
    </xf>
    <xf numFmtId="0" fontId="180" fillId="10" borderId="114" xfId="2" applyFont="1" applyFill="1" applyBorder="1" applyAlignment="1" applyProtection="1">
      <alignment horizontal="left" vertical="top" wrapText="1"/>
      <protection locked="0"/>
    </xf>
    <xf numFmtId="0" fontId="180" fillId="10" borderId="115" xfId="2" applyFont="1" applyFill="1" applyBorder="1" applyAlignment="1" applyProtection="1">
      <alignment horizontal="left" vertical="top" wrapText="1"/>
      <protection locked="0"/>
    </xf>
    <xf numFmtId="0" fontId="180" fillId="10" borderId="116" xfId="2" applyFont="1" applyFill="1" applyBorder="1" applyAlignment="1" applyProtection="1">
      <alignment horizontal="left" vertical="top" wrapText="1"/>
      <protection locked="0"/>
    </xf>
    <xf numFmtId="0" fontId="53" fillId="0" borderId="0" xfId="0" applyFont="1" applyAlignment="1">
      <alignment horizontal="left" vertical="center" wrapText="1"/>
    </xf>
    <xf numFmtId="0" fontId="171" fillId="0" borderId="0" xfId="0" applyFont="1" applyAlignment="1">
      <alignment horizontal="left" vertical="center" wrapText="1"/>
    </xf>
    <xf numFmtId="0" fontId="178" fillId="10" borderId="114" xfId="6" applyFont="1" applyFill="1" applyBorder="1" applyAlignment="1">
      <alignment horizontal="right" vertical="top" wrapText="1"/>
    </xf>
    <xf numFmtId="0" fontId="178" fillId="10" borderId="116" xfId="6" applyFont="1" applyFill="1" applyBorder="1" applyAlignment="1">
      <alignment horizontal="right" vertical="top" wrapText="1"/>
    </xf>
    <xf numFmtId="0" fontId="53" fillId="10" borderId="125" xfId="6" applyFont="1" applyFill="1" applyBorder="1" applyAlignment="1">
      <alignment horizontal="left" vertical="top" wrapText="1"/>
    </xf>
    <xf numFmtId="0" fontId="53" fillId="10" borderId="126" xfId="6" applyFont="1" applyFill="1" applyBorder="1" applyAlignment="1">
      <alignment horizontal="left" vertical="top" wrapText="1"/>
    </xf>
    <xf numFmtId="0" fontId="53" fillId="10" borderId="127" xfId="6" applyFont="1" applyFill="1" applyBorder="1" applyAlignment="1">
      <alignment horizontal="left" vertical="top" wrapText="1"/>
    </xf>
    <xf numFmtId="0" fontId="49" fillId="28" borderId="0" xfId="0" applyFont="1" applyFill="1" applyAlignment="1">
      <alignment horizontal="left" vertical="center"/>
    </xf>
    <xf numFmtId="0" fontId="53" fillId="10" borderId="96" xfId="6" applyFont="1" applyFill="1" applyBorder="1" applyAlignment="1">
      <alignment horizontal="left" vertical="top" wrapText="1"/>
    </xf>
    <xf numFmtId="0" fontId="228" fillId="0" borderId="114" xfId="0" applyFont="1" applyBorder="1" applyAlignment="1">
      <alignment horizontal="left" vertical="top" wrapText="1"/>
    </xf>
    <xf numFmtId="0" fontId="228" fillId="0" borderId="115" xfId="0" applyFont="1" applyBorder="1" applyAlignment="1">
      <alignment horizontal="left" vertical="top" wrapText="1"/>
    </xf>
    <xf numFmtId="0" fontId="228" fillId="0" borderId="116" xfId="0" applyFont="1" applyBorder="1" applyAlignment="1">
      <alignment horizontal="left" vertical="top" wrapText="1"/>
    </xf>
    <xf numFmtId="0" fontId="228" fillId="0" borderId="114" xfId="0" applyFont="1" applyBorder="1" applyAlignment="1">
      <alignment horizontal="left" vertical="center" wrapText="1"/>
    </xf>
    <xf numFmtId="0" fontId="228" fillId="0" borderId="115" xfId="0" applyFont="1" applyBorder="1" applyAlignment="1">
      <alignment horizontal="left" vertical="center" wrapText="1"/>
    </xf>
    <xf numFmtId="0" fontId="228" fillId="0" borderId="116" xfId="0" applyFont="1" applyBorder="1" applyAlignment="1">
      <alignment horizontal="left" vertical="center" wrapText="1"/>
    </xf>
    <xf numFmtId="0" fontId="113" fillId="10" borderId="4" xfId="6" applyFont="1" applyFill="1" applyBorder="1" applyAlignment="1">
      <alignment horizontal="left" vertical="center" wrapText="1"/>
    </xf>
    <xf numFmtId="0" fontId="113" fillId="10" borderId="137" xfId="6" applyFont="1" applyFill="1" applyBorder="1" applyAlignment="1">
      <alignment horizontal="left" vertical="center" wrapText="1"/>
    </xf>
    <xf numFmtId="0" fontId="128" fillId="20" borderId="0" xfId="7" applyFont="1" applyFill="1" applyBorder="1" applyAlignment="1" applyProtection="1">
      <alignment horizontal="left" vertical="center"/>
      <protection locked="0"/>
    </xf>
    <xf numFmtId="0" fontId="128" fillId="20" borderId="0" xfId="7" applyFont="1" applyFill="1" applyBorder="1" applyAlignment="1" applyProtection="1">
      <alignment horizontal="left" vertical="center" wrapText="1"/>
      <protection locked="0"/>
    </xf>
    <xf numFmtId="14" fontId="128" fillId="20" borderId="0" xfId="7" applyNumberFormat="1" applyFont="1" applyFill="1" applyBorder="1" applyAlignment="1" applyProtection="1">
      <alignment horizontal="left" vertical="center"/>
      <protection locked="0"/>
    </xf>
    <xf numFmtId="0" fontId="114" fillId="17" borderId="189" xfId="0" applyFont="1" applyFill="1" applyBorder="1" applyAlignment="1">
      <alignment horizontal="center" vertical="center" wrapText="1"/>
    </xf>
    <xf numFmtId="0" fontId="114" fillId="36" borderId="189" xfId="0" applyFont="1" applyFill="1" applyBorder="1" applyAlignment="1">
      <alignment horizontal="center" vertical="center" wrapText="1"/>
    </xf>
    <xf numFmtId="0" fontId="114" fillId="4" borderId="189" xfId="0" applyFont="1" applyFill="1" applyBorder="1" applyAlignment="1">
      <alignment horizontal="center" vertical="center" wrapText="1"/>
    </xf>
    <xf numFmtId="0" fontId="114" fillId="39" borderId="189" xfId="0" applyFont="1" applyFill="1" applyBorder="1" applyAlignment="1">
      <alignment horizontal="center" vertical="center" wrapText="1"/>
    </xf>
    <xf numFmtId="0" fontId="124" fillId="0" borderId="189" xfId="0" applyFont="1" applyBorder="1" applyAlignment="1">
      <alignment horizontal="center" vertical="center" wrapText="1"/>
    </xf>
    <xf numFmtId="0" fontId="118" fillId="28" borderId="189" xfId="0" applyFont="1" applyFill="1" applyBorder="1" applyAlignment="1" applyProtection="1">
      <alignment horizontal="center" vertical="center" wrapText="1"/>
      <protection locked="0"/>
    </xf>
    <xf numFmtId="0" fontId="118" fillId="28" borderId="190" xfId="0" applyFont="1" applyFill="1" applyBorder="1" applyAlignment="1" applyProtection="1">
      <alignment horizontal="center" vertical="center" wrapText="1"/>
      <protection locked="0"/>
    </xf>
    <xf numFmtId="0" fontId="118" fillId="28" borderId="191" xfId="0" applyFont="1" applyFill="1" applyBorder="1" applyAlignment="1" applyProtection="1">
      <alignment horizontal="center" vertical="center" wrapText="1"/>
      <protection locked="0"/>
    </xf>
    <xf numFmtId="0" fontId="46" fillId="28" borderId="189" xfId="0" applyFont="1" applyFill="1" applyBorder="1" applyAlignment="1">
      <alignment horizontal="center" vertical="center" wrapText="1"/>
    </xf>
    <xf numFmtId="0" fontId="120" fillId="28" borderId="189" xfId="0" applyFont="1" applyFill="1" applyBorder="1" applyAlignment="1">
      <alignment horizontal="left" vertical="center" wrapText="1"/>
    </xf>
    <xf numFmtId="0" fontId="118" fillId="28" borderId="190" xfId="0" applyFont="1" applyFill="1" applyBorder="1" applyAlignment="1">
      <alignment horizontal="center" vertical="center" wrapText="1"/>
    </xf>
    <xf numFmtId="0" fontId="118" fillId="28" borderId="191" xfId="0" applyFont="1" applyFill="1" applyBorder="1" applyAlignment="1">
      <alignment horizontal="center" vertical="center" wrapText="1"/>
    </xf>
    <xf numFmtId="0" fontId="200" fillId="45" borderId="159" xfId="0" applyFont="1" applyFill="1" applyBorder="1" applyAlignment="1" applyProtection="1">
      <alignment horizontal="left" vertical="center" wrapText="1"/>
      <protection locked="0"/>
    </xf>
    <xf numFmtId="0" fontId="200" fillId="45" borderId="161" xfId="0" applyFont="1" applyFill="1" applyBorder="1" applyAlignment="1" applyProtection="1">
      <alignment horizontal="left" vertical="center" wrapText="1"/>
      <protection locked="0"/>
    </xf>
    <xf numFmtId="0" fontId="200" fillId="45" borderId="160" xfId="0" applyFont="1" applyFill="1" applyBorder="1" applyAlignment="1" applyProtection="1">
      <alignment horizontal="left" vertical="center" wrapText="1"/>
      <protection locked="0"/>
    </xf>
    <xf numFmtId="0" fontId="50" fillId="35" borderId="0" xfId="0" applyFont="1" applyFill="1" applyAlignment="1">
      <alignment horizontal="left" vertical="center"/>
    </xf>
    <xf numFmtId="0" fontId="123" fillId="35" borderId="0" xfId="0" applyFont="1" applyFill="1" applyAlignment="1">
      <alignment horizontal="center" vertical="center"/>
    </xf>
    <xf numFmtId="0" fontId="201" fillId="0" borderId="141" xfId="0" applyFont="1" applyBorder="1" applyAlignment="1">
      <alignment horizontal="right" vertical="top" wrapText="1"/>
    </xf>
    <xf numFmtId="0" fontId="215" fillId="0" borderId="141" xfId="0" applyFont="1" applyBorder="1" applyAlignment="1">
      <alignment horizontal="right" vertical="top" wrapText="1"/>
    </xf>
    <xf numFmtId="0" fontId="125" fillId="0" borderId="159" xfId="0" applyFont="1" applyBorder="1" applyAlignment="1">
      <alignment horizontal="left" vertical="top" wrapText="1"/>
    </xf>
    <xf numFmtId="0" fontId="125" fillId="0" borderId="161" xfId="0" applyFont="1" applyBorder="1" applyAlignment="1">
      <alignment horizontal="left" vertical="top" wrapText="1"/>
    </xf>
    <xf numFmtId="0" fontId="125" fillId="0" borderId="160" xfId="0" applyFont="1" applyBorder="1" applyAlignment="1">
      <alignment horizontal="left" vertical="top" wrapText="1"/>
    </xf>
    <xf numFmtId="0" fontId="203" fillId="0" borderId="161" xfId="2" applyFont="1" applyBorder="1" applyAlignment="1" applyProtection="1">
      <alignment horizontal="center" vertical="center" wrapText="1"/>
      <protection locked="0"/>
    </xf>
    <xf numFmtId="0" fontId="203" fillId="0" borderId="160" xfId="2" applyFont="1" applyBorder="1" applyAlignment="1" applyProtection="1">
      <alignment horizontal="center" vertical="center" wrapText="1"/>
      <protection locked="0"/>
    </xf>
    <xf numFmtId="0" fontId="125" fillId="0" borderId="141" xfId="0" applyFont="1" applyBorder="1" applyAlignment="1">
      <alignment horizontal="left" vertical="top" wrapText="1"/>
    </xf>
    <xf numFmtId="0" fontId="203" fillId="0" borderId="159" xfId="2" applyFont="1" applyBorder="1" applyAlignment="1" applyProtection="1">
      <alignment horizontal="center" vertical="center" wrapText="1"/>
      <protection locked="0"/>
    </xf>
    <xf numFmtId="0" fontId="121" fillId="0" borderId="76" xfId="0" applyFont="1" applyBorder="1" applyAlignment="1">
      <alignment horizontal="center" vertical="center" wrapText="1"/>
    </xf>
    <xf numFmtId="0" fontId="112" fillId="0" borderId="0" xfId="0" applyFont="1" applyAlignment="1">
      <alignment horizontal="left" vertical="center" wrapText="1"/>
    </xf>
    <xf numFmtId="0" fontId="120" fillId="28" borderId="190" xfId="0" applyFont="1" applyFill="1" applyBorder="1" applyAlignment="1">
      <alignment horizontal="left" vertical="center" wrapText="1"/>
    </xf>
    <xf numFmtId="0" fontId="120" fillId="28" borderId="191" xfId="0" applyFont="1" applyFill="1" applyBorder="1" applyAlignment="1">
      <alignment horizontal="left" vertical="center" wrapText="1"/>
    </xf>
    <xf numFmtId="0" fontId="114" fillId="28" borderId="189" xfId="0" applyFont="1" applyFill="1" applyBorder="1" applyAlignment="1">
      <alignment horizontal="center" vertical="center" wrapText="1"/>
    </xf>
    <xf numFmtId="0" fontId="117" fillId="28" borderId="189" xfId="0" applyFont="1" applyFill="1" applyBorder="1" applyAlignment="1">
      <alignment horizontal="left" vertical="center" wrapText="1"/>
    </xf>
    <xf numFmtId="0" fontId="124" fillId="0" borderId="85" xfId="0" applyFont="1" applyBorder="1" applyAlignment="1">
      <alignment horizontal="left" vertical="center" wrapText="1"/>
    </xf>
    <xf numFmtId="0" fontId="195" fillId="0" borderId="190" xfId="0" applyFont="1" applyBorder="1" applyAlignment="1">
      <alignment horizontal="left" vertical="center"/>
    </xf>
    <xf numFmtId="0" fontId="195" fillId="0" borderId="191" xfId="0" applyFont="1" applyBorder="1" applyAlignment="1">
      <alignment horizontal="left" vertical="center"/>
    </xf>
    <xf numFmtId="166" fontId="121" fillId="28" borderId="190" xfId="0" applyNumberFormat="1" applyFont="1" applyFill="1" applyBorder="1" applyAlignment="1">
      <alignment horizontal="center" vertical="center" wrapText="1"/>
    </xf>
    <xf numFmtId="166" fontId="121" fillId="28" borderId="192" xfId="0" applyNumberFormat="1" applyFont="1" applyFill="1" applyBorder="1" applyAlignment="1">
      <alignment horizontal="center" vertical="center" wrapText="1"/>
    </xf>
    <xf numFmtId="166" fontId="121" fillId="28" borderId="191" xfId="0" applyNumberFormat="1" applyFont="1" applyFill="1" applyBorder="1" applyAlignment="1">
      <alignment horizontal="center" vertical="center" wrapText="1"/>
    </xf>
    <xf numFmtId="0" fontId="114" fillId="28" borderId="190" xfId="0" applyFont="1" applyFill="1" applyBorder="1" applyAlignment="1">
      <alignment horizontal="center" vertical="center" wrapText="1"/>
    </xf>
    <xf numFmtId="0" fontId="114" fillId="28" borderId="191" xfId="0" applyFont="1" applyFill="1" applyBorder="1" applyAlignment="1">
      <alignment horizontal="center" vertical="center" wrapText="1"/>
    </xf>
    <xf numFmtId="0" fontId="115" fillId="0" borderId="190" xfId="0" applyFont="1" applyBorder="1" applyAlignment="1">
      <alignment horizontal="left" vertical="center" wrapText="1"/>
    </xf>
    <xf numFmtId="0" fontId="115" fillId="0" borderId="191" xfId="0" applyFont="1" applyBorder="1" applyAlignment="1">
      <alignment horizontal="left" vertical="center" wrapText="1"/>
    </xf>
    <xf numFmtId="0" fontId="217" fillId="20" borderId="190" xfId="0" applyFont="1" applyFill="1" applyBorder="1" applyAlignment="1" applyProtection="1">
      <alignment horizontal="left" vertical="center" wrapText="1"/>
      <protection locked="0"/>
    </xf>
    <xf numFmtId="0" fontId="217" fillId="20" borderId="191" xfId="0" applyFont="1" applyFill="1" applyBorder="1" applyAlignment="1" applyProtection="1">
      <alignment horizontal="left" vertical="center" wrapText="1"/>
      <protection locked="0"/>
    </xf>
    <xf numFmtId="0" fontId="55" fillId="0" borderId="0" xfId="0" applyFont="1" applyAlignment="1">
      <alignment horizontal="left" vertical="center" wrapText="1"/>
    </xf>
    <xf numFmtId="166" fontId="115" fillId="28" borderId="190" xfId="0" applyNumberFormat="1" applyFont="1" applyFill="1" applyBorder="1" applyAlignment="1">
      <alignment horizontal="center" vertical="center" wrapText="1"/>
    </xf>
    <xf numFmtId="166" fontId="115" fillId="28" borderId="192" xfId="0" applyNumberFormat="1" applyFont="1" applyFill="1" applyBorder="1" applyAlignment="1">
      <alignment horizontal="center" vertical="center" wrapText="1"/>
    </xf>
    <xf numFmtId="166" fontId="115" fillId="28" borderId="191" xfId="0" applyNumberFormat="1" applyFont="1" applyFill="1" applyBorder="1" applyAlignment="1">
      <alignment horizontal="center" vertical="center" wrapText="1"/>
    </xf>
    <xf numFmtId="4" fontId="115" fillId="28" borderId="190" xfId="0" applyNumberFormat="1" applyFont="1" applyFill="1" applyBorder="1" applyAlignment="1">
      <alignment horizontal="center" vertical="center" wrapText="1"/>
    </xf>
    <xf numFmtId="4" fontId="115" fillId="28" borderId="192" xfId="0" applyNumberFormat="1" applyFont="1" applyFill="1" applyBorder="1" applyAlignment="1">
      <alignment horizontal="center" vertical="center" wrapText="1"/>
    </xf>
    <xf numFmtId="4" fontId="115" fillId="28" borderId="191" xfId="0" applyNumberFormat="1" applyFont="1" applyFill="1" applyBorder="1" applyAlignment="1">
      <alignment horizontal="center" vertical="center" wrapText="1"/>
    </xf>
    <xf numFmtId="0" fontId="195" fillId="0" borderId="190" xfId="0" applyFont="1" applyBorder="1" applyAlignment="1">
      <alignment horizontal="left" vertical="center" wrapText="1"/>
    </xf>
    <xf numFmtId="0" fontId="195" fillId="0" borderId="191" xfId="0" applyFont="1" applyBorder="1" applyAlignment="1">
      <alignment horizontal="left" vertical="center" wrapText="1"/>
    </xf>
    <xf numFmtId="0" fontId="53" fillId="0" borderId="120" xfId="0" applyFont="1" applyBorder="1" applyAlignment="1">
      <alignment horizontal="left" vertical="top" wrapText="1"/>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9" fillId="4" borderId="0" xfId="0" applyFont="1" applyFill="1" applyAlignment="1">
      <alignment horizontal="left" vertical="center"/>
    </xf>
    <xf numFmtId="0" fontId="59" fillId="4" borderId="42" xfId="0" applyFont="1" applyFill="1" applyBorder="1" applyAlignment="1">
      <alignment horizontal="left" vertical="center"/>
    </xf>
    <xf numFmtId="0" fontId="77" fillId="0" borderId="0" xfId="0" applyFont="1" applyAlignment="1">
      <alignment horizontal="left" vertical="center" wrapText="1"/>
    </xf>
    <xf numFmtId="0" fontId="55" fillId="0" borderId="45" xfId="0" applyFont="1" applyBorder="1" applyAlignment="1">
      <alignment horizontal="left" vertical="center" wrapText="1"/>
    </xf>
    <xf numFmtId="0" fontId="107" fillId="28" borderId="6" xfId="0" applyFont="1" applyFill="1" applyBorder="1" applyAlignment="1">
      <alignment horizontal="left" vertical="center" wrapText="1"/>
    </xf>
    <xf numFmtId="0" fontId="107" fillId="28" borderId="7" xfId="0" applyFont="1" applyFill="1" applyBorder="1" applyAlignment="1">
      <alignment horizontal="left" vertical="center" wrapText="1"/>
    </xf>
    <xf numFmtId="0" fontId="107" fillId="28" borderId="0" xfId="0" applyFont="1" applyFill="1" applyAlignment="1">
      <alignment horizontal="center" vertical="center" wrapText="1"/>
    </xf>
    <xf numFmtId="0" fontId="107" fillId="28" borderId="9" xfId="0" applyFont="1" applyFill="1" applyBorder="1" applyAlignment="1">
      <alignment horizontal="center" vertical="center" wrapText="1"/>
    </xf>
    <xf numFmtId="0" fontId="89" fillId="20" borderId="4" xfId="0" applyFont="1" applyFill="1" applyBorder="1" applyAlignment="1" applyProtection="1">
      <alignment horizontal="center" vertical="center" wrapText="1"/>
      <protection locked="0"/>
    </xf>
    <xf numFmtId="0" fontId="89" fillId="20" borderId="5" xfId="0" applyFont="1" applyFill="1" applyBorder="1" applyAlignment="1" applyProtection="1">
      <alignment horizontal="center" vertical="center" wrapText="1"/>
      <protection locked="0"/>
    </xf>
    <xf numFmtId="0" fontId="112" fillId="20" borderId="7" xfId="0" applyFont="1" applyFill="1" applyBorder="1" applyAlignment="1" applyProtection="1">
      <alignment horizontal="center" vertical="center" wrapText="1"/>
      <protection locked="0"/>
    </xf>
    <xf numFmtId="0" fontId="112" fillId="20" borderId="4" xfId="0" applyFont="1" applyFill="1" applyBorder="1" applyAlignment="1" applyProtection="1">
      <alignment horizontal="center" vertical="center" wrapText="1"/>
      <protection locked="0"/>
    </xf>
    <xf numFmtId="0" fontId="55" fillId="0" borderId="6" xfId="0" applyFont="1" applyBorder="1" applyAlignment="1">
      <alignment horizontal="left" vertical="center" wrapText="1"/>
    </xf>
    <xf numFmtId="0" fontId="55" fillId="0" borderId="7" xfId="0" applyFont="1" applyBorder="1" applyAlignment="1">
      <alignment horizontal="left" vertical="center" wrapText="1"/>
    </xf>
    <xf numFmtId="0" fontId="53" fillId="0" borderId="114" xfId="0" applyFont="1" applyBorder="1" applyAlignment="1">
      <alignment horizontal="left" vertical="center" wrapText="1"/>
    </xf>
    <xf numFmtId="0" fontId="53" fillId="0" borderId="115" xfId="0" applyFont="1" applyBorder="1" applyAlignment="1">
      <alignment horizontal="left" vertical="center" wrapText="1"/>
    </xf>
    <xf numFmtId="0" fontId="53" fillId="0" borderId="116" xfId="0" applyFont="1" applyBorder="1" applyAlignment="1">
      <alignment horizontal="left" vertical="center" wrapText="1"/>
    </xf>
    <xf numFmtId="0" fontId="53" fillId="0" borderId="120" xfId="0" applyFont="1" applyBorder="1" applyAlignment="1">
      <alignment horizontal="left" vertical="center" wrapText="1"/>
    </xf>
    <xf numFmtId="0" fontId="53" fillId="0" borderId="121" xfId="0" applyFont="1" applyBorder="1" applyAlignment="1">
      <alignment horizontal="left" vertical="center" wrapText="1"/>
    </xf>
    <xf numFmtId="0" fontId="53" fillId="0" borderId="122" xfId="0" applyFont="1" applyBorder="1" applyAlignment="1">
      <alignment horizontal="left" vertical="center" wrapText="1"/>
    </xf>
    <xf numFmtId="0" fontId="52" fillId="0" borderId="117" xfId="0" applyFont="1" applyBorder="1" applyAlignment="1">
      <alignment horizontal="left" vertical="center" wrapText="1"/>
    </xf>
    <xf numFmtId="0" fontId="52" fillId="0" borderId="118" xfId="0" applyFont="1" applyBorder="1" applyAlignment="1">
      <alignment horizontal="left" vertical="center" wrapText="1"/>
    </xf>
    <xf numFmtId="0" fontId="52" fillId="0" borderId="119" xfId="0" applyFont="1" applyBorder="1" applyAlignment="1">
      <alignment horizontal="left" vertical="center" wrapText="1"/>
    </xf>
    <xf numFmtId="0" fontId="178" fillId="0" borderId="111" xfId="0" applyFont="1" applyBorder="1" applyAlignment="1">
      <alignment horizontal="right" vertical="top" wrapText="1"/>
    </xf>
    <xf numFmtId="0" fontId="178" fillId="0" borderId="112" xfId="0" applyFont="1" applyBorder="1" applyAlignment="1">
      <alignment horizontal="right" vertical="top" wrapText="1"/>
    </xf>
    <xf numFmtId="0" fontId="178" fillId="0" borderId="113" xfId="0" applyFont="1" applyBorder="1" applyAlignment="1">
      <alignment horizontal="right" vertical="top" wrapText="1"/>
    </xf>
    <xf numFmtId="0" fontId="52" fillId="0" borderId="124" xfId="0" applyFont="1" applyBorder="1" applyAlignment="1">
      <alignment horizontal="left" vertical="center" wrapText="1"/>
    </xf>
    <xf numFmtId="0" fontId="52" fillId="0" borderId="0" xfId="0" applyFont="1" applyAlignment="1">
      <alignment horizontal="left" vertical="center" wrapText="1"/>
    </xf>
    <xf numFmtId="0" fontId="52" fillId="0" borderId="123" xfId="0" applyFont="1" applyBorder="1" applyAlignment="1">
      <alignment horizontal="left" vertical="center" wrapText="1"/>
    </xf>
    <xf numFmtId="0" fontId="52" fillId="0" borderId="124" xfId="0" applyFont="1" applyBorder="1" applyAlignment="1">
      <alignment horizontal="left" vertical="top" wrapText="1"/>
    </xf>
    <xf numFmtId="0" fontId="52" fillId="0" borderId="0" xfId="0" applyFont="1" applyAlignment="1">
      <alignment horizontal="left" vertical="top" wrapText="1"/>
    </xf>
    <xf numFmtId="0" fontId="52" fillId="0" borderId="123" xfId="0" applyFont="1" applyBorder="1" applyAlignment="1">
      <alignment horizontal="left" vertical="top" wrapText="1"/>
    </xf>
    <xf numFmtId="0" fontId="53" fillId="0" borderId="124" xfId="0" applyFont="1" applyBorder="1" applyAlignment="1">
      <alignment horizontal="left" vertical="center" wrapText="1"/>
    </xf>
    <xf numFmtId="0" fontId="53" fillId="0" borderId="123" xfId="0" applyFont="1" applyBorder="1" applyAlignment="1">
      <alignment horizontal="left" vertical="center" wrapText="1"/>
    </xf>
    <xf numFmtId="0" fontId="53" fillId="0" borderId="117" xfId="0" applyFont="1" applyBorder="1" applyAlignment="1">
      <alignment horizontal="left" vertical="center" wrapText="1"/>
    </xf>
    <xf numFmtId="0" fontId="53" fillId="0" borderId="118" xfId="0" applyFont="1" applyBorder="1" applyAlignment="1">
      <alignment horizontal="left" vertical="center" wrapText="1"/>
    </xf>
    <xf numFmtId="0" fontId="53" fillId="0" borderId="119" xfId="0" applyFont="1" applyBorder="1" applyAlignment="1">
      <alignment horizontal="left" vertical="center" wrapText="1"/>
    </xf>
    <xf numFmtId="0" fontId="53" fillId="0" borderId="114" xfId="0" applyFont="1" applyBorder="1" applyAlignment="1">
      <alignment horizontal="left" vertical="top" wrapText="1"/>
    </xf>
    <xf numFmtId="0" fontId="53" fillId="0" borderId="115" xfId="0" applyFont="1" applyBorder="1" applyAlignment="1">
      <alignment horizontal="left" vertical="top" wrapText="1"/>
    </xf>
    <xf numFmtId="0" fontId="53" fillId="0" borderId="116" xfId="0" applyFont="1" applyBorder="1" applyAlignment="1">
      <alignment horizontal="left" vertical="top" wrapText="1"/>
    </xf>
    <xf numFmtId="0" fontId="87" fillId="0" borderId="0" xfId="0" applyFont="1" applyAlignment="1">
      <alignment horizontal="left" vertical="center"/>
    </xf>
    <xf numFmtId="0" fontId="46" fillId="0" borderId="0" xfId="0" applyFont="1" applyAlignment="1">
      <alignment horizontal="center" vertical="center" wrapText="1"/>
    </xf>
    <xf numFmtId="0" fontId="170" fillId="45" borderId="105" xfId="0" applyFont="1" applyFill="1" applyBorder="1" applyAlignment="1" applyProtection="1">
      <alignment horizontal="center" vertical="center" wrapText="1"/>
      <protection locked="0"/>
    </xf>
    <xf numFmtId="0" fontId="170" fillId="45" borderId="106" xfId="0" applyFont="1" applyFill="1" applyBorder="1" applyAlignment="1" applyProtection="1">
      <alignment horizontal="center" vertical="center" wrapText="1"/>
      <protection locked="0"/>
    </xf>
    <xf numFmtId="0" fontId="89" fillId="0" borderId="107" xfId="0" applyFont="1" applyBorder="1" applyAlignment="1">
      <alignment horizontal="left" vertical="center" wrapText="1"/>
    </xf>
    <xf numFmtId="0" fontId="89" fillId="0" borderId="108" xfId="0" applyFont="1" applyBorder="1" applyAlignment="1">
      <alignment horizontal="left" vertical="center" wrapText="1"/>
    </xf>
    <xf numFmtId="0" fontId="89" fillId="0" borderId="109" xfId="0" applyFont="1" applyBorder="1" applyAlignment="1">
      <alignment horizontal="left" vertical="center" wrapText="1"/>
    </xf>
    <xf numFmtId="0" fontId="89" fillId="0" borderId="99" xfId="0" applyFont="1" applyBorder="1" applyAlignment="1">
      <alignment horizontal="left" vertical="center" wrapText="1"/>
    </xf>
    <xf numFmtId="0" fontId="89" fillId="0" borderId="0" xfId="0" applyFont="1" applyAlignment="1">
      <alignment horizontal="left" vertical="center" wrapText="1"/>
    </xf>
    <xf numFmtId="0" fontId="89" fillId="0" borderId="100" xfId="0" applyFont="1" applyBorder="1" applyAlignment="1">
      <alignment horizontal="left" vertical="center" wrapText="1"/>
    </xf>
    <xf numFmtId="0" fontId="89" fillId="0" borderId="101" xfId="0" applyFont="1" applyBorder="1" applyAlignment="1">
      <alignment horizontal="left" vertical="center" wrapText="1"/>
    </xf>
    <xf numFmtId="0" fontId="89" fillId="0" borderId="102" xfId="0" applyFont="1" applyBorder="1" applyAlignment="1">
      <alignment horizontal="left" vertical="center" wrapText="1"/>
    </xf>
    <xf numFmtId="0" fontId="89" fillId="0" borderId="103" xfId="0" applyFont="1" applyBorder="1" applyAlignment="1">
      <alignment horizontal="left" vertical="center" wrapText="1"/>
    </xf>
    <xf numFmtId="0" fontId="171" fillId="45" borderId="99" xfId="0" applyFont="1" applyFill="1" applyBorder="1" applyAlignment="1">
      <alignment horizontal="left" vertical="center" wrapText="1"/>
    </xf>
    <xf numFmtId="0" fontId="171" fillId="45" borderId="0" xfId="0" applyFont="1" applyFill="1" applyAlignment="1">
      <alignment horizontal="left" vertical="center" wrapText="1"/>
    </xf>
    <xf numFmtId="0" fontId="53" fillId="0" borderId="110" xfId="0" applyFont="1" applyBorder="1" applyAlignment="1">
      <alignment horizontal="left" vertical="top" wrapText="1"/>
    </xf>
    <xf numFmtId="0" fontId="180" fillId="0" borderId="115" xfId="2" applyFont="1" applyBorder="1" applyAlignment="1" applyProtection="1">
      <alignment horizontal="left" vertical="top" wrapText="1"/>
      <protection locked="0"/>
    </xf>
    <xf numFmtId="0" fontId="180" fillId="0" borderId="116" xfId="2" applyFont="1" applyBorder="1" applyAlignment="1" applyProtection="1">
      <alignment horizontal="left" vertical="top" wrapText="1"/>
      <protection locked="0"/>
    </xf>
    <xf numFmtId="0" fontId="89" fillId="20" borderId="66" xfId="0" applyFont="1" applyFill="1" applyBorder="1" applyAlignment="1" applyProtection="1">
      <alignment horizontal="center" vertical="center" wrapText="1"/>
      <protection locked="0"/>
    </xf>
    <xf numFmtId="0" fontId="89" fillId="20" borderId="0" xfId="0" applyFont="1" applyFill="1" applyAlignment="1" applyProtection="1">
      <alignment horizontal="center" vertical="center" wrapText="1"/>
      <protection locked="0"/>
    </xf>
    <xf numFmtId="0" fontId="178" fillId="0" borderId="111" xfId="0" applyFont="1" applyBorder="1" applyAlignment="1">
      <alignment horizontal="center" vertical="top" wrapText="1"/>
    </xf>
    <xf numFmtId="0" fontId="178" fillId="0" borderId="112" xfId="0" applyFont="1" applyBorder="1" applyAlignment="1">
      <alignment horizontal="center" vertical="top" wrapText="1"/>
    </xf>
    <xf numFmtId="0" fontId="178" fillId="0" borderId="113" xfId="0" applyFont="1" applyBorder="1" applyAlignment="1">
      <alignment horizontal="center" vertical="top" wrapText="1"/>
    </xf>
    <xf numFmtId="0" fontId="107" fillId="28" borderId="5" xfId="0" applyFont="1" applyFill="1" applyBorder="1" applyAlignment="1">
      <alignment horizontal="center" vertical="center" wrapText="1"/>
    </xf>
    <xf numFmtId="0" fontId="107" fillId="28" borderId="6" xfId="0" applyFont="1" applyFill="1" applyBorder="1" applyAlignment="1">
      <alignment horizontal="center" vertical="center" wrapText="1"/>
    </xf>
    <xf numFmtId="0" fontId="171" fillId="45" borderId="163" xfId="0" applyFont="1" applyFill="1" applyBorder="1" applyAlignment="1">
      <alignment horizontal="left" vertical="center" wrapText="1"/>
    </xf>
    <xf numFmtId="0" fontId="171" fillId="45" borderId="164" xfId="0" applyFont="1" applyFill="1" applyBorder="1" applyAlignment="1">
      <alignment horizontal="left" vertical="center" wrapText="1"/>
    </xf>
    <xf numFmtId="0" fontId="171" fillId="45" borderId="165" xfId="0" applyFont="1" applyFill="1" applyBorder="1" applyAlignment="1">
      <alignment horizontal="left" vertical="center" wrapText="1"/>
    </xf>
    <xf numFmtId="0" fontId="53" fillId="0" borderId="166" xfId="0" applyFont="1" applyBorder="1" applyAlignment="1">
      <alignment horizontal="left" vertical="top" wrapText="1"/>
    </xf>
    <xf numFmtId="0" fontId="52" fillId="0" borderId="169" xfId="0" applyFont="1" applyBorder="1" applyAlignment="1">
      <alignment horizontal="left" vertical="center" wrapText="1"/>
    </xf>
    <xf numFmtId="0" fontId="53" fillId="0" borderId="117" xfId="0" applyFont="1" applyBorder="1" applyAlignment="1">
      <alignment horizontal="left" vertical="top" wrapText="1"/>
    </xf>
    <xf numFmtId="0" fontId="53" fillId="0" borderId="118" xfId="0" applyFont="1" applyBorder="1" applyAlignment="1">
      <alignment horizontal="left" vertical="top" wrapText="1"/>
    </xf>
    <xf numFmtId="0" fontId="53" fillId="0" borderId="167" xfId="0" applyFont="1" applyBorder="1" applyAlignment="1">
      <alignment horizontal="left" vertical="top" wrapText="1"/>
    </xf>
    <xf numFmtId="0" fontId="53" fillId="0" borderId="155" xfId="0" applyFont="1" applyBorder="1" applyAlignment="1">
      <alignment horizontal="left" vertical="top" wrapText="1"/>
    </xf>
    <xf numFmtId="0" fontId="53" fillId="0" borderId="157" xfId="0" applyFont="1" applyBorder="1" applyAlignment="1">
      <alignment horizontal="left" vertical="top" wrapText="1"/>
    </xf>
    <xf numFmtId="0" fontId="53" fillId="0" borderId="158" xfId="0" applyFont="1" applyBorder="1" applyAlignment="1">
      <alignment horizontal="left" vertical="top" wrapText="1"/>
    </xf>
    <xf numFmtId="0" fontId="59" fillId="0" borderId="261" xfId="0" applyFont="1" applyBorder="1" applyAlignment="1">
      <alignment horizontal="center" vertical="center"/>
    </xf>
    <xf numFmtId="0" fontId="84" fillId="31" borderId="0" xfId="0" applyFont="1" applyFill="1" applyAlignment="1">
      <alignment horizontal="center" vertical="center" wrapText="1"/>
    </xf>
    <xf numFmtId="0" fontId="23" fillId="0" borderId="0" xfId="0" applyFont="1" applyAlignment="1">
      <alignment horizontal="center"/>
    </xf>
    <xf numFmtId="0" fontId="89" fillId="0" borderId="4" xfId="0" applyFont="1" applyBorder="1" applyAlignment="1" applyProtection="1">
      <alignment horizontal="center" vertical="center" wrapText="1"/>
      <protection locked="0"/>
    </xf>
    <xf numFmtId="0" fontId="89" fillId="0" borderId="5" xfId="0" applyFont="1" applyBorder="1" applyAlignment="1" applyProtection="1">
      <alignment horizontal="center" vertical="center" wrapText="1"/>
      <protection locked="0"/>
    </xf>
    <xf numFmtId="0" fontId="89" fillId="0" borderId="10" xfId="0" applyFont="1" applyBorder="1" applyAlignment="1" applyProtection="1">
      <alignment horizontal="center" vertical="center" wrapText="1"/>
      <protection locked="0"/>
    </xf>
    <xf numFmtId="0" fontId="89" fillId="0" borderId="67" xfId="0" applyFont="1" applyBorder="1" applyAlignment="1" applyProtection="1">
      <alignment horizontal="center" vertical="center" wrapText="1"/>
      <protection locked="0"/>
    </xf>
    <xf numFmtId="0" fontId="180" fillId="0" borderId="115" xfId="2" applyFont="1" applyBorder="1" applyAlignment="1" applyProtection="1">
      <alignment horizontal="left" vertical="top" wrapText="1"/>
    </xf>
    <xf numFmtId="0" fontId="180" fillId="0" borderId="116" xfId="2" applyFont="1" applyBorder="1" applyAlignment="1" applyProtection="1">
      <alignment horizontal="left" vertical="top" wrapText="1"/>
    </xf>
    <xf numFmtId="0" fontId="107" fillId="28" borderId="68" xfId="0" applyFont="1" applyFill="1" applyBorder="1" applyAlignment="1">
      <alignment horizontal="center" vertical="center" wrapText="1"/>
    </xf>
    <xf numFmtId="0" fontId="107" fillId="28" borderId="13" xfId="0" applyFont="1" applyFill="1" applyBorder="1" applyAlignment="1">
      <alignment horizontal="center" vertical="center" wrapText="1"/>
    </xf>
    <xf numFmtId="0" fontId="49" fillId="4" borderId="0" xfId="0" applyFont="1" applyFill="1" applyAlignment="1">
      <alignment horizontal="left" vertical="center"/>
    </xf>
    <xf numFmtId="0" fontId="89" fillId="0" borderId="0" xfId="0" applyFont="1" applyAlignment="1">
      <alignment vertical="center" wrapText="1"/>
    </xf>
    <xf numFmtId="0" fontId="171" fillId="45" borderId="133" xfId="0" applyFont="1" applyFill="1" applyBorder="1" applyAlignment="1">
      <alignment horizontal="left" vertical="center" wrapText="1"/>
    </xf>
    <xf numFmtId="0" fontId="171" fillId="45" borderId="118" xfId="0" applyFont="1" applyFill="1" applyBorder="1" applyAlignment="1">
      <alignment horizontal="left" vertical="center" wrapText="1"/>
    </xf>
    <xf numFmtId="0" fontId="55" fillId="0" borderId="121" xfId="0" applyFont="1" applyBorder="1" applyAlignment="1">
      <alignment horizontal="center" vertical="center" wrapText="1"/>
    </xf>
    <xf numFmtId="0" fontId="55" fillId="0" borderId="0" xfId="0" applyFont="1" applyAlignment="1">
      <alignment vertical="center" wrapText="1"/>
    </xf>
    <xf numFmtId="166" fontId="39" fillId="0" borderId="0" xfId="0" applyNumberFormat="1" applyFont="1" applyAlignment="1">
      <alignment horizontal="center" vertical="center"/>
    </xf>
    <xf numFmtId="0" fontId="171" fillId="45" borderId="142" xfId="0" applyFont="1" applyFill="1" applyBorder="1" applyAlignment="1">
      <alignment horizontal="left" vertical="center" wrapText="1"/>
    </xf>
    <xf numFmtId="0" fontId="171" fillId="45" borderId="143" xfId="0" applyFont="1" applyFill="1" applyBorder="1" applyAlignment="1">
      <alignment horizontal="left" vertical="center" wrapText="1"/>
    </xf>
    <xf numFmtId="0" fontId="171" fillId="45" borderId="144" xfId="0" applyFont="1" applyFill="1" applyBorder="1" applyAlignment="1">
      <alignment horizontal="left" vertical="center" wrapText="1"/>
    </xf>
    <xf numFmtId="0" fontId="107" fillId="28" borderId="68" xfId="0" applyFont="1" applyFill="1" applyBorder="1" applyAlignment="1" applyProtection="1">
      <alignment horizontal="center" vertical="center" wrapText="1"/>
      <protection locked="0"/>
    </xf>
    <xf numFmtId="0" fontId="107" fillId="28" borderId="13" xfId="0" applyFont="1" applyFill="1" applyBorder="1" applyAlignment="1" applyProtection="1">
      <alignment horizontal="center" vertical="center" wrapText="1"/>
      <protection locked="0"/>
    </xf>
    <xf numFmtId="0" fontId="39" fillId="0" borderId="0" xfId="0" applyFont="1" applyAlignment="1">
      <alignment horizontal="center" vertical="center"/>
    </xf>
    <xf numFmtId="0" fontId="89" fillId="20" borderId="10" xfId="0" applyFont="1" applyFill="1" applyBorder="1" applyAlignment="1" applyProtection="1">
      <alignment horizontal="center" vertical="center" wrapText="1"/>
      <protection locked="0"/>
    </xf>
    <xf numFmtId="0" fontId="89" fillId="20" borderId="67" xfId="0" applyFont="1" applyFill="1" applyBorder="1" applyAlignment="1" applyProtection="1">
      <alignment horizontal="center" vertical="center" wrapText="1"/>
      <protection locked="0"/>
    </xf>
    <xf numFmtId="0" fontId="107" fillId="28" borderId="4" xfId="0" applyFont="1" applyFill="1" applyBorder="1" applyAlignment="1">
      <alignment horizontal="left" vertical="center" wrapText="1"/>
    </xf>
    <xf numFmtId="0" fontId="107" fillId="28" borderId="5" xfId="0" applyFont="1" applyFill="1" applyBorder="1" applyAlignment="1">
      <alignment horizontal="left" vertical="center" wrapText="1"/>
    </xf>
    <xf numFmtId="0" fontId="41" fillId="0" borderId="0" xfId="0" applyFont="1" applyAlignment="1">
      <alignment horizontal="center" vertical="center" wrapText="1"/>
    </xf>
    <xf numFmtId="0" fontId="99" fillId="31" borderId="0" xfId="0" applyFont="1" applyFill="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left" vertical="center"/>
    </xf>
    <xf numFmtId="0" fontId="54" fillId="0" borderId="0" xfId="0" applyFont="1" applyAlignment="1">
      <alignment horizontal="left" vertical="center" wrapText="1"/>
    </xf>
    <xf numFmtId="0" fontId="3" fillId="20" borderId="10" xfId="0" applyFont="1" applyFill="1" applyBorder="1" applyAlignment="1" applyProtection="1">
      <alignment horizontal="center" vertical="center" wrapText="1"/>
      <protection locked="0"/>
    </xf>
    <xf numFmtId="0" fontId="107" fillId="28" borderId="4" xfId="0" applyFont="1" applyFill="1" applyBorder="1" applyAlignment="1">
      <alignment horizontal="center" vertical="center" wrapText="1"/>
    </xf>
    <xf numFmtId="0" fontId="107" fillId="28" borderId="66" xfId="0" applyFont="1" applyFill="1" applyBorder="1" applyAlignment="1">
      <alignment horizontal="center" vertical="center" wrapText="1"/>
    </xf>
    <xf numFmtId="0" fontId="107" fillId="28" borderId="43" xfId="0" applyFont="1" applyFill="1" applyBorder="1" applyAlignment="1">
      <alignment horizontal="center" vertical="center" wrapText="1"/>
    </xf>
    <xf numFmtId="0" fontId="107" fillId="0" borderId="0" xfId="0" applyFont="1" applyAlignment="1">
      <alignment horizontal="center" vertical="center" wrapText="1"/>
    </xf>
    <xf numFmtId="0" fontId="89" fillId="0" borderId="0" xfId="0" applyFont="1" applyAlignment="1">
      <alignment horizontal="center" vertical="center" wrapText="1"/>
    </xf>
    <xf numFmtId="0" fontId="89" fillId="20" borderId="7" xfId="0" applyFont="1" applyFill="1" applyBorder="1" applyAlignment="1" applyProtection="1">
      <alignment horizontal="center" vertical="center" wrapText="1"/>
      <protection locked="0"/>
    </xf>
    <xf numFmtId="0" fontId="178" fillId="0" borderId="0" xfId="0" applyFont="1" applyAlignment="1">
      <alignment horizontal="right" vertical="top" wrapText="1"/>
    </xf>
    <xf numFmtId="0" fontId="53" fillId="0" borderId="0" xfId="0" applyFont="1" applyAlignment="1">
      <alignment horizontal="left" vertical="top" wrapText="1"/>
    </xf>
    <xf numFmtId="0" fontId="52" fillId="0" borderId="117" xfId="0" applyFont="1" applyBorder="1" applyAlignment="1">
      <alignment horizontal="left" vertical="top" wrapText="1"/>
    </xf>
    <xf numFmtId="0" fontId="52" fillId="0" borderId="118" xfId="0" applyFont="1" applyBorder="1" applyAlignment="1">
      <alignment horizontal="left" vertical="top" wrapText="1"/>
    </xf>
    <xf numFmtId="0" fontId="52" fillId="0" borderId="119" xfId="0" applyFont="1" applyBorder="1" applyAlignment="1">
      <alignment horizontal="left" vertical="top" wrapText="1"/>
    </xf>
    <xf numFmtId="0" fontId="178" fillId="0" borderId="154" xfId="0" applyFont="1" applyBorder="1" applyAlignment="1">
      <alignment horizontal="right" vertical="top" wrapText="1"/>
    </xf>
    <xf numFmtId="0" fontId="178" fillId="0" borderId="162" xfId="0" applyFont="1" applyBorder="1" applyAlignment="1">
      <alignment horizontal="right" vertical="top" wrapText="1"/>
    </xf>
    <xf numFmtId="0" fontId="178" fillId="0" borderId="185" xfId="0" applyFont="1" applyBorder="1" applyAlignment="1">
      <alignment horizontal="right" vertical="top" wrapText="1"/>
    </xf>
    <xf numFmtId="0" fontId="53" fillId="0" borderId="184" xfId="0" applyFont="1" applyBorder="1" applyAlignment="1">
      <alignment horizontal="left" vertical="top" wrapText="1"/>
    </xf>
    <xf numFmtId="0" fontId="53" fillId="0" borderId="186" xfId="0" applyFont="1" applyBorder="1" applyAlignment="1">
      <alignment horizontal="left" vertical="top" wrapText="1"/>
    </xf>
    <xf numFmtId="0" fontId="53" fillId="0" borderId="187" xfId="0" applyFont="1" applyBorder="1" applyAlignment="1">
      <alignment horizontal="left" vertical="top" wrapText="1"/>
    </xf>
    <xf numFmtId="0" fontId="53" fillId="0" borderId="188" xfId="0" applyFont="1" applyBorder="1" applyAlignment="1">
      <alignment horizontal="left" vertical="top" wrapText="1"/>
    </xf>
    <xf numFmtId="0" fontId="34" fillId="20" borderId="67" xfId="0" applyFont="1" applyFill="1" applyBorder="1" applyAlignment="1">
      <alignment horizontal="center" vertical="center"/>
    </xf>
    <xf numFmtId="0" fontId="89" fillId="49" borderId="5" xfId="0" applyFont="1" applyFill="1" applyBorder="1" applyAlignment="1" applyProtection="1">
      <alignment horizontal="center" vertical="center" wrapText="1"/>
      <protection locked="0"/>
    </xf>
    <xf numFmtId="0" fontId="89" fillId="0" borderId="66" xfId="0" applyFont="1" applyBorder="1" applyAlignment="1" applyProtection="1">
      <alignment horizontal="center" vertical="center" wrapText="1"/>
      <protection locked="0"/>
    </xf>
    <xf numFmtId="0" fontId="89" fillId="0" borderId="0" xfId="0" applyFont="1" applyAlignment="1" applyProtection="1">
      <alignment horizontal="center" vertical="center" wrapText="1"/>
      <protection locked="0"/>
    </xf>
    <xf numFmtId="0" fontId="214" fillId="28" borderId="10" xfId="0" applyFont="1" applyFill="1" applyBorder="1" applyAlignment="1">
      <alignment horizontal="center" vertical="center" wrapText="1"/>
    </xf>
    <xf numFmtId="0" fontId="214" fillId="28" borderId="67" xfId="0" applyFont="1" applyFill="1" applyBorder="1" applyAlignment="1">
      <alignment horizontal="center" vertical="center" wrapText="1"/>
    </xf>
    <xf numFmtId="0" fontId="124" fillId="28" borderId="0" xfId="0" applyFont="1" applyFill="1" applyAlignment="1">
      <alignment horizontal="center" vertical="center" wrapText="1"/>
    </xf>
    <xf numFmtId="0" fontId="124" fillId="28" borderId="9" xfId="0" applyFont="1" applyFill="1" applyBorder="1" applyAlignment="1">
      <alignment horizontal="center" vertical="center" wrapText="1"/>
    </xf>
    <xf numFmtId="0" fontId="0" fillId="0" borderId="253" xfId="0" applyBorder="1" applyAlignment="1">
      <alignment horizontal="center" vertical="center" wrapText="1"/>
    </xf>
    <xf numFmtId="0" fontId="0" fillId="0" borderId="126" xfId="0" applyBorder="1" applyAlignment="1">
      <alignment horizontal="center" vertical="center" wrapText="1"/>
    </xf>
    <xf numFmtId="0" fontId="0" fillId="0" borderId="127" xfId="0" applyBorder="1" applyAlignment="1">
      <alignment horizontal="center" vertical="center" wrapText="1"/>
    </xf>
    <xf numFmtId="0" fontId="46" fillId="0" borderId="255" xfId="0" applyFont="1" applyBorder="1" applyAlignment="1">
      <alignment horizontal="center" vertical="top" wrapText="1"/>
    </xf>
    <xf numFmtId="0" fontId="46" fillId="0" borderId="256" xfId="0" applyFont="1" applyBorder="1" applyAlignment="1">
      <alignment horizontal="center" vertical="top" wrapText="1"/>
    </xf>
    <xf numFmtId="0" fontId="46" fillId="0" borderId="258" xfId="0" applyFont="1" applyBorder="1" applyAlignment="1">
      <alignment horizontal="center" vertical="top" wrapText="1"/>
    </xf>
    <xf numFmtId="0" fontId="46" fillId="0" borderId="255" xfId="0" applyFont="1" applyBorder="1" applyAlignment="1">
      <alignment horizontal="center" vertical="center" wrapText="1"/>
    </xf>
    <xf numFmtId="0" fontId="46" fillId="0" borderId="256" xfId="0" applyFont="1" applyBorder="1" applyAlignment="1">
      <alignment horizontal="center" vertical="center" wrapText="1"/>
    </xf>
    <xf numFmtId="0" fontId="46" fillId="0" borderId="258" xfId="0" applyFont="1" applyBorder="1" applyAlignment="1">
      <alignment horizontal="center" vertical="center" wrapText="1"/>
    </xf>
    <xf numFmtId="0" fontId="46" fillId="0" borderId="55" xfId="0" applyFont="1" applyBorder="1" applyAlignment="1">
      <alignment horizontal="left" vertical="center" wrapText="1"/>
    </xf>
    <xf numFmtId="0" fontId="46" fillId="0" borderId="51" xfId="0" applyFont="1" applyBorder="1" applyAlignment="1">
      <alignment horizontal="left" vertical="top" wrapText="1"/>
    </xf>
    <xf numFmtId="0" fontId="46" fillId="0" borderId="55" xfId="0" applyFont="1" applyBorder="1" applyAlignment="1">
      <alignment horizontal="left" vertical="top" wrapText="1"/>
    </xf>
    <xf numFmtId="0" fontId="46" fillId="0" borderId="47" xfId="0" applyFont="1" applyBorder="1" applyAlignment="1">
      <alignment horizontal="left" vertical="top" wrapText="1"/>
    </xf>
    <xf numFmtId="0" fontId="46" fillId="0" borderId="55" xfId="0" applyFont="1" applyBorder="1" applyAlignment="1">
      <alignment horizontal="center" vertical="top" wrapText="1"/>
    </xf>
    <xf numFmtId="0" fontId="46" fillId="29" borderId="51" xfId="0" applyFont="1" applyFill="1" applyBorder="1" applyAlignment="1">
      <alignment horizontal="left" vertical="top" wrapText="1"/>
    </xf>
    <xf numFmtId="0" fontId="46" fillId="29" borderId="55" xfId="0" applyFont="1" applyFill="1" applyBorder="1" applyAlignment="1">
      <alignment horizontal="left" vertical="top" wrapText="1"/>
    </xf>
    <xf numFmtId="0" fontId="152" fillId="28" borderId="60" xfId="0" applyFont="1" applyFill="1" applyBorder="1" applyAlignment="1">
      <alignment horizontal="left" vertical="center" wrapText="1"/>
    </xf>
    <xf numFmtId="0" fontId="152" fillId="28" borderId="62" xfId="0" applyFont="1" applyFill="1" applyBorder="1" applyAlignment="1">
      <alignment horizontal="left" vertical="center" wrapText="1"/>
    </xf>
    <xf numFmtId="0" fontId="94" fillId="0" borderId="221" xfId="0" applyFont="1" applyBorder="1" applyAlignment="1">
      <alignment horizontal="left" vertical="center" wrapText="1"/>
    </xf>
    <xf numFmtId="0" fontId="94" fillId="0" borderId="222" xfId="0" applyFont="1" applyBorder="1" applyAlignment="1">
      <alignment horizontal="left" vertical="center" wrapText="1"/>
    </xf>
    <xf numFmtId="0" fontId="94" fillId="0" borderId="220" xfId="0" applyFont="1" applyBorder="1" applyAlignment="1">
      <alignment horizontal="left" vertical="center" wrapText="1"/>
    </xf>
    <xf numFmtId="0" fontId="94" fillId="0" borderId="229" xfId="0" applyFont="1" applyBorder="1" applyAlignment="1">
      <alignment horizontal="left" vertical="center" wrapText="1"/>
    </xf>
    <xf numFmtId="0" fontId="94" fillId="0" borderId="228" xfId="0" applyFont="1" applyBorder="1" applyAlignment="1">
      <alignment horizontal="left" vertical="center" wrapText="1"/>
    </xf>
    <xf numFmtId="0" fontId="124" fillId="14" borderId="218" xfId="0" applyFont="1" applyFill="1" applyBorder="1" applyAlignment="1">
      <alignment horizontal="center" vertical="center" wrapText="1"/>
    </xf>
    <xf numFmtId="0" fontId="124" fillId="14" borderId="219" xfId="0" applyFont="1" applyFill="1" applyBorder="1" applyAlignment="1">
      <alignment horizontal="center" vertical="center" wrapText="1"/>
    </xf>
    <xf numFmtId="0" fontId="124" fillId="7" borderId="218" xfId="0" applyFont="1" applyFill="1" applyBorder="1" applyAlignment="1">
      <alignment horizontal="center" vertical="center" wrapText="1"/>
    </xf>
    <xf numFmtId="0" fontId="124" fillId="7" borderId="219" xfId="0" applyFont="1" applyFill="1" applyBorder="1" applyAlignment="1">
      <alignment horizontal="center" vertical="center" wrapText="1"/>
    </xf>
    <xf numFmtId="0" fontId="124" fillId="22" borderId="218" xfId="0" applyFont="1" applyFill="1" applyBorder="1" applyAlignment="1">
      <alignment horizontal="center" vertical="center" wrapText="1"/>
    </xf>
    <xf numFmtId="0" fontId="124" fillId="22" borderId="219" xfId="0" applyFont="1" applyFill="1" applyBorder="1" applyAlignment="1">
      <alignment horizontal="center" vertical="center" wrapText="1"/>
    </xf>
    <xf numFmtId="0" fontId="124" fillId="41" borderId="234" xfId="0" applyFont="1" applyFill="1" applyBorder="1" applyAlignment="1">
      <alignment horizontal="center" vertical="center" wrapText="1"/>
    </xf>
    <xf numFmtId="0" fontId="124" fillId="41" borderId="235" xfId="0" applyFont="1" applyFill="1" applyBorder="1" applyAlignment="1">
      <alignment horizontal="center" vertical="center" wrapText="1"/>
    </xf>
    <xf numFmtId="0" fontId="83" fillId="45" borderId="141" xfId="0" applyFont="1" applyFill="1" applyBorder="1" applyAlignment="1">
      <alignment horizontal="left" vertical="center" wrapText="1"/>
    </xf>
    <xf numFmtId="0" fontId="124" fillId="0" borderId="173" xfId="0" applyFont="1" applyBorder="1" applyAlignment="1">
      <alignment horizontal="left" vertical="center" wrapText="1"/>
    </xf>
    <xf numFmtId="0" fontId="124" fillId="0" borderId="174" xfId="0" applyFont="1" applyBorder="1" applyAlignment="1">
      <alignment horizontal="left" vertical="center" wrapText="1"/>
    </xf>
    <xf numFmtId="0" fontId="125" fillId="0" borderId="141" xfId="0" applyFont="1" applyBorder="1" applyAlignment="1">
      <alignment horizontal="left" vertical="center" wrapText="1"/>
    </xf>
    <xf numFmtId="0" fontId="152" fillId="47" borderId="145" xfId="0" applyFont="1" applyFill="1" applyBorder="1" applyAlignment="1">
      <alignment horizontal="left" vertical="center"/>
    </xf>
    <xf numFmtId="0" fontId="152" fillId="47" borderId="146" xfId="0" applyFont="1" applyFill="1" applyBorder="1" applyAlignment="1">
      <alignment horizontal="left" vertical="center"/>
    </xf>
    <xf numFmtId="0" fontId="124" fillId="14" borderId="170" xfId="0" applyFont="1" applyFill="1" applyBorder="1" applyAlignment="1">
      <alignment horizontal="center" vertical="center" wrapText="1"/>
    </xf>
    <xf numFmtId="0" fontId="124" fillId="14" borderId="172" xfId="0" applyFont="1" applyFill="1" applyBorder="1" applyAlignment="1">
      <alignment horizontal="center" vertical="center" wrapText="1"/>
    </xf>
    <xf numFmtId="0" fontId="124" fillId="7" borderId="170" xfId="0" applyFont="1" applyFill="1" applyBorder="1" applyAlignment="1">
      <alignment horizontal="center" vertical="center" wrapText="1"/>
    </xf>
    <xf numFmtId="0" fontId="124" fillId="7" borderId="172" xfId="0" applyFont="1" applyFill="1" applyBorder="1" applyAlignment="1">
      <alignment horizontal="center" vertical="center" wrapText="1"/>
    </xf>
    <xf numFmtId="0" fontId="124" fillId="22" borderId="170" xfId="0" applyFont="1" applyFill="1" applyBorder="1" applyAlignment="1">
      <alignment horizontal="center" vertical="center" wrapText="1"/>
    </xf>
    <xf numFmtId="0" fontId="124" fillId="22" borderId="172" xfId="0" applyFont="1" applyFill="1" applyBorder="1" applyAlignment="1">
      <alignment horizontal="center" vertical="center" wrapText="1"/>
    </xf>
    <xf numFmtId="0" fontId="124" fillId="41" borderId="171" xfId="0" applyFont="1" applyFill="1" applyBorder="1" applyAlignment="1">
      <alignment horizontal="center" vertical="center" wrapText="1"/>
    </xf>
    <xf numFmtId="0" fontId="124" fillId="41" borderId="172" xfId="0" applyFont="1" applyFill="1" applyBorder="1" applyAlignment="1">
      <alignment horizontal="center" vertical="center" wrapText="1"/>
    </xf>
    <xf numFmtId="0" fontId="124" fillId="41" borderId="218" xfId="0" applyFont="1" applyFill="1" applyBorder="1" applyAlignment="1">
      <alignment horizontal="center" vertical="center" wrapText="1"/>
    </xf>
    <xf numFmtId="0" fontId="124" fillId="41" borderId="219" xfId="0" applyFont="1" applyFill="1" applyBorder="1" applyAlignment="1">
      <alignment horizontal="center" vertical="center" wrapText="1"/>
    </xf>
    <xf numFmtId="0" fontId="152" fillId="40" borderId="79" xfId="0" applyFont="1" applyFill="1" applyBorder="1" applyAlignment="1">
      <alignment horizontal="left" vertical="center"/>
    </xf>
    <xf numFmtId="0" fontId="152" fillId="40" borderId="80" xfId="0" applyFont="1" applyFill="1" applyBorder="1" applyAlignment="1">
      <alignment horizontal="left" vertical="center"/>
    </xf>
    <xf numFmtId="0" fontId="152" fillId="40" borderId="81" xfId="0" applyFont="1" applyFill="1" applyBorder="1" applyAlignment="1">
      <alignment horizontal="left" vertical="center"/>
    </xf>
    <xf numFmtId="0" fontId="152" fillId="35" borderId="153" xfId="0" applyFont="1" applyFill="1" applyBorder="1" applyAlignment="1">
      <alignment horizontal="left" vertical="center"/>
    </xf>
    <xf numFmtId="0" fontId="152" fillId="35" borderId="73" xfId="0" applyFont="1" applyFill="1" applyBorder="1" applyAlignment="1">
      <alignment horizontal="left" vertical="center"/>
    </xf>
    <xf numFmtId="0" fontId="149" fillId="27" borderId="229" xfId="0" applyFont="1" applyFill="1" applyBorder="1" applyAlignment="1">
      <alignment horizontal="left" vertical="center"/>
    </xf>
    <xf numFmtId="0" fontId="149" fillId="27" borderId="228" xfId="0" applyFont="1" applyFill="1" applyBorder="1" applyAlignment="1">
      <alignment horizontal="left" vertical="center"/>
    </xf>
    <xf numFmtId="0" fontId="88" fillId="28" borderId="210" xfId="0" applyFont="1" applyFill="1" applyBorder="1" applyAlignment="1">
      <alignment horizontal="left" vertical="center" wrapText="1"/>
    </xf>
    <xf numFmtId="0" fontId="88" fillId="28" borderId="0" xfId="0" applyFont="1" applyFill="1" applyAlignment="1">
      <alignment horizontal="left" vertical="center" wrapText="1"/>
    </xf>
    <xf numFmtId="0" fontId="152" fillId="28" borderId="35" xfId="0" applyFont="1" applyFill="1" applyBorder="1" applyAlignment="1">
      <alignment horizontal="left" vertical="center" wrapText="1"/>
    </xf>
    <xf numFmtId="0" fontId="152" fillId="28" borderId="209" xfId="0" applyFont="1" applyFill="1" applyBorder="1" applyAlignment="1">
      <alignment horizontal="left" vertical="center" wrapText="1"/>
    </xf>
    <xf numFmtId="0" fontId="55" fillId="0" borderId="0" xfId="0" applyFont="1" applyAlignment="1" applyProtection="1">
      <alignment vertical="center" wrapText="1"/>
      <protection locked="0"/>
    </xf>
    <xf numFmtId="0" fontId="55" fillId="0" borderId="0" xfId="0" applyFont="1" applyAlignment="1" applyProtection="1">
      <alignment horizontal="left" vertical="center" wrapText="1"/>
      <protection locked="0"/>
    </xf>
    <xf numFmtId="0" fontId="89" fillId="0" borderId="0" xfId="0" applyFont="1" applyAlignment="1" applyProtection="1">
      <alignment vertical="center" wrapText="1"/>
      <protection locked="0"/>
    </xf>
    <xf numFmtId="0" fontId="107" fillId="0" borderId="0" xfId="0" applyFont="1" applyAlignment="1" applyProtection="1">
      <alignment horizontal="left" vertical="top" wrapText="1"/>
      <protection locked="0"/>
    </xf>
    <xf numFmtId="0" fontId="89" fillId="0" borderId="0" xfId="0" applyFont="1" applyAlignment="1" applyProtection="1">
      <alignment horizontal="left" vertical="center" wrapText="1"/>
      <protection locked="0"/>
    </xf>
    <xf numFmtId="0" fontId="124" fillId="0" borderId="8" xfId="0" applyFont="1" applyBorder="1" applyAlignment="1">
      <alignment horizontal="left" vertical="top" wrapText="1"/>
    </xf>
    <xf numFmtId="0" fontId="124" fillId="0" borderId="22" xfId="0" applyFont="1" applyBorder="1" applyAlignment="1">
      <alignment horizontal="left" vertical="top" wrapText="1"/>
    </xf>
    <xf numFmtId="0" fontId="124" fillId="0" borderId="23" xfId="0" applyFont="1" applyBorder="1" applyAlignment="1">
      <alignment horizontal="left" vertical="top" wrapText="1"/>
    </xf>
    <xf numFmtId="0" fontId="124" fillId="0" borderId="24" xfId="0" applyFont="1" applyBorder="1" applyAlignment="1">
      <alignment horizontal="left" vertical="top" wrapText="1"/>
    </xf>
    <xf numFmtId="0" fontId="124" fillId="0" borderId="25" xfId="0" applyFont="1" applyBorder="1" applyAlignment="1">
      <alignment horizontal="left" vertical="top" wrapText="1"/>
    </xf>
    <xf numFmtId="0" fontId="124" fillId="0" borderId="26" xfId="0" applyFont="1" applyBorder="1" applyAlignment="1">
      <alignment horizontal="left" vertical="top" wrapText="1"/>
    </xf>
    <xf numFmtId="0" fontId="55" fillId="0" borderId="128" xfId="0" applyFont="1" applyBorder="1" applyAlignment="1">
      <alignment horizontal="left" vertical="center" wrapText="1"/>
    </xf>
    <xf numFmtId="0" fontId="55" fillId="0" borderId="98" xfId="0" applyFont="1" applyBorder="1" applyAlignment="1">
      <alignment horizontal="left" vertical="center" wrapText="1"/>
    </xf>
    <xf numFmtId="0" fontId="89" fillId="0" borderId="96" xfId="0" applyFont="1" applyBorder="1" applyAlignment="1">
      <alignment horizontal="left" vertical="center" wrapText="1"/>
    </xf>
    <xf numFmtId="0" fontId="89" fillId="0" borderId="7" xfId="0" applyFont="1" applyBorder="1" applyAlignment="1">
      <alignment horizontal="left" vertical="center" wrapText="1"/>
    </xf>
    <xf numFmtId="0" fontId="107" fillId="0" borderId="0" xfId="0" applyFont="1" applyAlignment="1" applyProtection="1">
      <alignment horizontal="left" vertical="center" wrapText="1"/>
      <protection locked="0"/>
    </xf>
    <xf numFmtId="0" fontId="55" fillId="0" borderId="0" xfId="0" applyFont="1" applyAlignment="1" applyProtection="1">
      <alignment horizontal="left" vertical="center"/>
      <protection locked="0"/>
    </xf>
    <xf numFmtId="0" fontId="107" fillId="28" borderId="130" xfId="0" applyFont="1" applyFill="1" applyBorder="1" applyAlignment="1">
      <alignment horizontal="left" vertical="top" wrapText="1"/>
    </xf>
    <xf numFmtId="0" fontId="107" fillId="28" borderId="131" xfId="0" applyFont="1" applyFill="1" applyBorder="1" applyAlignment="1">
      <alignment horizontal="left" vertical="top" wrapText="1"/>
    </xf>
    <xf numFmtId="0" fontId="89" fillId="0" borderId="96" xfId="0" applyFont="1" applyBorder="1" applyAlignment="1">
      <alignment vertical="center" wrapText="1"/>
    </xf>
    <xf numFmtId="0" fontId="89" fillId="0" borderId="7" xfId="0" applyFont="1" applyBorder="1" applyAlignment="1">
      <alignment vertical="center" wrapText="1"/>
    </xf>
    <xf numFmtId="0" fontId="107" fillId="28" borderId="132" xfId="0" applyFont="1" applyFill="1" applyBorder="1" applyAlignment="1">
      <alignment horizontal="left" vertical="top" wrapText="1"/>
    </xf>
    <xf numFmtId="0" fontId="38" fillId="0" borderId="0" xfId="0" applyFont="1" applyAlignment="1">
      <alignment horizontal="left" vertical="top" wrapText="1"/>
    </xf>
    <xf numFmtId="171" fontId="40" fillId="28" borderId="198" xfId="0" applyNumberFormat="1" applyFont="1" applyFill="1" applyBorder="1" applyAlignment="1">
      <alignment horizontal="center" vertical="center" wrapText="1"/>
    </xf>
    <xf numFmtId="171" fontId="40" fillId="28" borderId="77" xfId="0" applyNumberFormat="1" applyFont="1" applyFill="1" applyBorder="1" applyAlignment="1">
      <alignment horizontal="center" vertical="center" wrapText="1"/>
    </xf>
    <xf numFmtId="171" fontId="40" fillId="28" borderId="199" xfId="0" applyNumberFormat="1" applyFont="1" applyFill="1" applyBorder="1" applyAlignment="1">
      <alignment horizontal="center" vertical="center" wrapText="1"/>
    </xf>
    <xf numFmtId="171" fontId="51" fillId="28" borderId="198" xfId="0" applyNumberFormat="1" applyFont="1" applyFill="1" applyBorder="1" applyAlignment="1">
      <alignment horizontal="center" vertical="center" wrapText="1"/>
    </xf>
    <xf numFmtId="171" fontId="51" fillId="28" borderId="77" xfId="0" applyNumberFormat="1" applyFont="1" applyFill="1" applyBorder="1" applyAlignment="1">
      <alignment horizontal="center" vertical="center" wrapText="1"/>
    </xf>
    <xf numFmtId="171" fontId="51" fillId="28" borderId="199" xfId="0" applyNumberFormat="1" applyFont="1" applyFill="1" applyBorder="1" applyAlignment="1">
      <alignment horizontal="center" vertical="center" wrapText="1"/>
    </xf>
    <xf numFmtId="0" fontId="40" fillId="0" borderId="194" xfId="0" applyFont="1" applyBorder="1" applyAlignment="1">
      <alignment horizontal="left" vertical="top" wrapText="1"/>
    </xf>
    <xf numFmtId="0" fontId="40" fillId="0" borderId="195" xfId="0" applyFont="1" applyBorder="1" applyAlignment="1">
      <alignment horizontal="left" vertical="top" wrapText="1"/>
    </xf>
    <xf numFmtId="0" fontId="40" fillId="0" borderId="196" xfId="0" applyFont="1" applyBorder="1" applyAlignment="1">
      <alignment horizontal="left" vertical="top" wrapText="1"/>
    </xf>
    <xf numFmtId="0" fontId="208" fillId="0" borderId="12" xfId="0" applyFont="1" applyBorder="1" applyAlignment="1">
      <alignment horizontal="center" vertical="top" wrapText="1"/>
    </xf>
    <xf numFmtId="0" fontId="208" fillId="0" borderId="7" xfId="0" applyFont="1" applyBorder="1" applyAlignment="1">
      <alignment horizontal="center" vertical="top" wrapText="1"/>
    </xf>
    <xf numFmtId="0" fontId="208" fillId="0" borderId="5" xfId="0" applyFont="1" applyBorder="1" applyAlignment="1">
      <alignment horizontal="center" vertical="top" wrapText="1"/>
    </xf>
    <xf numFmtId="0" fontId="208" fillId="0" borderId="6" xfId="0" applyFont="1" applyBorder="1" applyAlignment="1">
      <alignment horizontal="center" vertical="top" wrapText="1"/>
    </xf>
    <xf numFmtId="0" fontId="51" fillId="10" borderId="193" xfId="0" applyFont="1" applyFill="1" applyBorder="1" applyAlignment="1">
      <alignment horizontal="center" vertical="center"/>
    </xf>
    <xf numFmtId="0" fontId="139" fillId="18" borderId="193" xfId="0" applyFont="1" applyFill="1" applyBorder="1" applyAlignment="1">
      <alignment horizontal="center" vertical="center" wrapText="1"/>
    </xf>
    <xf numFmtId="0" fontId="139" fillId="18" borderId="193" xfId="0" applyFont="1" applyFill="1" applyBorder="1" applyAlignment="1">
      <alignment horizontal="center" vertical="center"/>
    </xf>
    <xf numFmtId="0" fontId="139" fillId="18" borderId="194" xfId="0" applyFont="1" applyFill="1" applyBorder="1" applyAlignment="1">
      <alignment horizontal="center" vertical="center" wrapText="1"/>
    </xf>
    <xf numFmtId="0" fontId="139" fillId="18" borderId="196" xfId="0" applyFont="1" applyFill="1" applyBorder="1" applyAlignment="1">
      <alignment horizontal="center" vertical="center" wrapText="1"/>
    </xf>
    <xf numFmtId="0" fontId="40" fillId="10" borderId="193" xfId="0" applyFont="1" applyFill="1" applyBorder="1" applyAlignment="1">
      <alignment horizontal="left" vertical="center" wrapText="1"/>
    </xf>
    <xf numFmtId="0" fontId="51" fillId="10" borderId="193" xfId="0" applyFont="1" applyFill="1" applyBorder="1" applyAlignment="1">
      <alignment horizontal="left" vertical="center" wrapText="1"/>
    </xf>
    <xf numFmtId="0" fontId="51" fillId="0" borderId="193" xfId="0" applyFont="1" applyBorder="1" applyAlignment="1">
      <alignment horizontal="left" vertical="center" wrapText="1"/>
    </xf>
    <xf numFmtId="0" fontId="51" fillId="0" borderId="193" xfId="0" applyFont="1" applyBorder="1" applyAlignment="1">
      <alignment horizontal="center" vertical="center"/>
    </xf>
    <xf numFmtId="165" fontId="46" fillId="28" borderId="198" xfId="0" applyNumberFormat="1" applyFont="1" applyFill="1" applyBorder="1" applyAlignment="1">
      <alignment horizontal="center" vertical="center"/>
    </xf>
    <xf numFmtId="165" fontId="46" fillId="28" borderId="77" xfId="0" applyNumberFormat="1" applyFont="1" applyFill="1" applyBorder="1" applyAlignment="1">
      <alignment horizontal="center" vertical="center"/>
    </xf>
    <xf numFmtId="165" fontId="46" fillId="28" borderId="199" xfId="0" applyNumberFormat="1" applyFont="1" applyFill="1" applyBorder="1" applyAlignment="1">
      <alignment horizontal="center" vertical="center"/>
    </xf>
    <xf numFmtId="174" fontId="51" fillId="28" borderId="198" xfId="0" applyNumberFormat="1" applyFont="1" applyFill="1" applyBorder="1" applyAlignment="1">
      <alignment horizontal="center" vertical="center" wrapText="1"/>
    </xf>
    <xf numFmtId="174" fontId="51" fillId="28" borderId="77" xfId="0" applyNumberFormat="1" applyFont="1" applyFill="1" applyBorder="1" applyAlignment="1">
      <alignment horizontal="center" vertical="center" wrapText="1"/>
    </xf>
    <xf numFmtId="174" fontId="51" fillId="28" borderId="199" xfId="0" applyNumberFormat="1" applyFont="1" applyFill="1" applyBorder="1" applyAlignment="1">
      <alignment horizontal="center" vertical="center" wrapText="1"/>
    </xf>
    <xf numFmtId="2" fontId="46" fillId="28" borderId="198" xfId="0" applyNumberFormat="1" applyFont="1" applyFill="1" applyBorder="1" applyAlignment="1">
      <alignment horizontal="center" vertical="center"/>
    </xf>
    <xf numFmtId="2" fontId="46" fillId="28" borderId="77" xfId="0" applyNumberFormat="1" applyFont="1" applyFill="1" applyBorder="1" applyAlignment="1">
      <alignment horizontal="center" vertical="center"/>
    </xf>
    <xf numFmtId="2" fontId="46" fillId="28" borderId="199" xfId="0" applyNumberFormat="1" applyFont="1" applyFill="1" applyBorder="1" applyAlignment="1">
      <alignment horizontal="center" vertical="center"/>
    </xf>
    <xf numFmtId="0" fontId="40" fillId="10" borderId="193" xfId="0" applyFont="1" applyFill="1" applyBorder="1" applyAlignment="1">
      <alignment horizontal="left" vertical="top" wrapText="1"/>
    </xf>
    <xf numFmtId="0" fontId="40" fillId="0" borderId="193" xfId="0" applyFont="1" applyBorder="1" applyAlignment="1">
      <alignment horizontal="left" vertical="top" wrapText="1"/>
    </xf>
    <xf numFmtId="0" fontId="139" fillId="18" borderId="200" xfId="0" applyFont="1" applyFill="1" applyBorder="1" applyAlignment="1">
      <alignment horizontal="center" vertical="center"/>
    </xf>
    <xf numFmtId="165" fontId="220" fillId="26" borderId="200" xfId="2" applyNumberFormat="1" applyFont="1" applyFill="1" applyBorder="1" applyAlignment="1" applyProtection="1">
      <alignment horizontal="left" vertical="center" wrapText="1"/>
      <protection locked="0"/>
    </xf>
    <xf numFmtId="0" fontId="46" fillId="0" borderId="37" xfId="0" applyFont="1" applyBorder="1" applyAlignment="1">
      <alignment horizontal="center" vertical="center"/>
    </xf>
    <xf numFmtId="0" fontId="46" fillId="0" borderId="38" xfId="0" applyFont="1" applyBorder="1" applyAlignment="1">
      <alignment horizontal="center" vertical="center"/>
    </xf>
    <xf numFmtId="0" fontId="46" fillId="0" borderId="29" xfId="0" applyFont="1" applyBorder="1" applyAlignment="1">
      <alignment horizontal="center" vertical="center"/>
    </xf>
    <xf numFmtId="0" fontId="139" fillId="18" borderId="0" xfId="0" applyFont="1" applyFill="1" applyAlignment="1">
      <alignment horizontal="center" vertical="center" wrapText="1"/>
    </xf>
    <xf numFmtId="0" fontId="139" fillId="4" borderId="0" xfId="0" applyFont="1" applyFill="1" applyAlignment="1">
      <alignment horizontal="center" vertical="center" wrapText="1"/>
    </xf>
    <xf numFmtId="0" fontId="139" fillId="4" borderId="63" xfId="0" applyFont="1" applyFill="1" applyBorder="1" applyAlignment="1">
      <alignment horizontal="center" vertical="center" wrapText="1"/>
    </xf>
    <xf numFmtId="0" fontId="139" fillId="18" borderId="56" xfId="0" applyFont="1" applyFill="1" applyBorder="1" applyAlignment="1">
      <alignment horizontal="center" vertical="center" wrapText="1"/>
    </xf>
    <xf numFmtId="0" fontId="139" fillId="18" borderId="58" xfId="0" applyFont="1" applyFill="1" applyBorder="1" applyAlignment="1">
      <alignment horizontal="center" vertical="center" wrapText="1"/>
    </xf>
    <xf numFmtId="0" fontId="139" fillId="18" borderId="193" xfId="0" applyFont="1" applyFill="1" applyBorder="1" applyAlignment="1" applyProtection="1">
      <alignment horizontal="center" vertical="center" wrapText="1"/>
      <protection locked="0"/>
    </xf>
    <xf numFmtId="0" fontId="139" fillId="18" borderId="57" xfId="0" applyFont="1" applyFill="1" applyBorder="1" applyAlignment="1">
      <alignment horizontal="center" vertical="center" wrapText="1"/>
    </xf>
    <xf numFmtId="0" fontId="139" fillId="0" borderId="0" xfId="0" applyFont="1" applyAlignment="1">
      <alignment vertical="center" wrapText="1"/>
    </xf>
    <xf numFmtId="0" fontId="235" fillId="51" borderId="0" xfId="0" applyFont="1" applyFill="1" applyAlignment="1">
      <alignment horizontal="left" vertical="center" wrapText="1"/>
    </xf>
    <xf numFmtId="0" fontId="235" fillId="51" borderId="250" xfId="0" applyFont="1" applyFill="1" applyBorder="1" applyAlignment="1">
      <alignment horizontal="left" vertical="center" wrapText="1"/>
    </xf>
    <xf numFmtId="0" fontId="235" fillId="51" borderId="251" xfId="0" applyFont="1" applyFill="1" applyBorder="1" applyAlignment="1">
      <alignment horizontal="left" vertical="center" wrapText="1"/>
    </xf>
    <xf numFmtId="0" fontId="235" fillId="51" borderId="252" xfId="0" applyFont="1" applyFill="1" applyBorder="1" applyAlignment="1">
      <alignment horizontal="left" vertical="center" wrapText="1"/>
    </xf>
    <xf numFmtId="0" fontId="50" fillId="38" borderId="0" xfId="0" applyFont="1" applyFill="1" applyAlignment="1">
      <alignment horizontal="left" vertical="center"/>
    </xf>
    <xf numFmtId="0" fontId="40" fillId="0" borderId="193" xfId="0" applyFont="1" applyBorder="1" applyAlignment="1">
      <alignment vertical="center" wrapText="1"/>
    </xf>
    <xf numFmtId="0" fontId="51" fillId="0" borderId="193" xfId="0" applyFont="1" applyBorder="1" applyAlignment="1">
      <alignment vertical="center" wrapText="1"/>
    </xf>
    <xf numFmtId="0" fontId="51" fillId="0" borderId="193" xfId="0" applyFont="1" applyBorder="1" applyAlignment="1">
      <alignment horizontal="center" vertical="center" wrapText="1"/>
    </xf>
    <xf numFmtId="0" fontId="51" fillId="0" borderId="194" xfId="0" applyFont="1" applyBorder="1" applyAlignment="1">
      <alignment horizontal="center" vertical="center"/>
    </xf>
    <xf numFmtId="0" fontId="51" fillId="0" borderId="195" xfId="0" applyFont="1" applyBorder="1" applyAlignment="1">
      <alignment horizontal="center" vertical="center"/>
    </xf>
    <xf numFmtId="0" fontId="51" fillId="0" borderId="196" xfId="0" applyFont="1" applyBorder="1" applyAlignment="1">
      <alignment horizontal="center" vertical="center"/>
    </xf>
    <xf numFmtId="0" fontId="51" fillId="0" borderId="194" xfId="0" applyFont="1" applyBorder="1" applyAlignment="1">
      <alignment horizontal="center" vertical="top"/>
    </xf>
    <xf numFmtId="0" fontId="51" fillId="0" borderId="195" xfId="0" applyFont="1" applyBorder="1" applyAlignment="1">
      <alignment horizontal="center" vertical="top"/>
    </xf>
    <xf numFmtId="0" fontId="51" fillId="0" borderId="196" xfId="0" applyFont="1" applyBorder="1" applyAlignment="1">
      <alignment horizontal="center" vertical="top"/>
    </xf>
    <xf numFmtId="175" fontId="51" fillId="0" borderId="193" xfId="0" applyNumberFormat="1" applyFont="1" applyBorder="1" applyAlignment="1">
      <alignment horizontal="center" vertical="center" wrapText="1"/>
    </xf>
    <xf numFmtId="0" fontId="139" fillId="18" borderId="194" xfId="0" applyFont="1" applyFill="1" applyBorder="1" applyAlignment="1">
      <alignment horizontal="center" vertical="center"/>
    </xf>
    <xf numFmtId="0" fontId="139" fillId="18" borderId="196" xfId="0" applyFont="1" applyFill="1" applyBorder="1" applyAlignment="1">
      <alignment horizontal="center" vertical="center"/>
    </xf>
    <xf numFmtId="0" fontId="46" fillId="0" borderId="37" xfId="0" applyFont="1" applyBorder="1" applyAlignment="1">
      <alignment horizontal="center" vertical="center" wrapText="1"/>
    </xf>
    <xf numFmtId="0" fontId="46" fillId="0" borderId="38" xfId="0" applyFont="1" applyBorder="1" applyAlignment="1">
      <alignment horizontal="center" vertical="center" wrapText="1"/>
    </xf>
    <xf numFmtId="0" fontId="46" fillId="7" borderId="37" xfId="0" applyFont="1" applyFill="1" applyBorder="1" applyAlignment="1">
      <alignment horizontal="center" vertical="center" wrapText="1"/>
    </xf>
    <xf numFmtId="0" fontId="46" fillId="7" borderId="38" xfId="0" applyFont="1" applyFill="1" applyBorder="1" applyAlignment="1">
      <alignment horizontal="center" vertical="center" wrapText="1"/>
    </xf>
    <xf numFmtId="0" fontId="46" fillId="0" borderId="29" xfId="0" applyFont="1" applyBorder="1" applyAlignment="1">
      <alignment horizontal="center" vertical="center" wrapText="1"/>
    </xf>
    <xf numFmtId="0" fontId="46" fillId="7" borderId="29" xfId="0" applyFont="1" applyFill="1" applyBorder="1" applyAlignment="1">
      <alignment horizontal="center" vertical="center" wrapText="1"/>
    </xf>
    <xf numFmtId="0" fontId="234" fillId="53" borderId="245" xfId="0" applyFont="1" applyFill="1" applyBorder="1" applyAlignment="1">
      <alignment horizontal="center" vertical="center" wrapText="1"/>
    </xf>
    <xf numFmtId="0" fontId="234" fillId="53" borderId="248" xfId="0" applyFont="1" applyFill="1" applyBorder="1" applyAlignment="1">
      <alignment horizontal="center" vertical="center" wrapText="1"/>
    </xf>
    <xf numFmtId="0" fontId="234" fillId="53" borderId="246" xfId="0" applyFont="1" applyFill="1" applyBorder="1" applyAlignment="1">
      <alignment horizontal="center" vertical="center" wrapText="1"/>
    </xf>
    <xf numFmtId="0" fontId="234" fillId="53" borderId="247" xfId="0" applyFont="1" applyFill="1" applyBorder="1" applyAlignment="1">
      <alignment horizontal="center" vertical="center" wrapText="1"/>
    </xf>
    <xf numFmtId="0" fontId="234" fillId="53" borderId="0" xfId="0" applyFont="1" applyFill="1" applyAlignment="1">
      <alignment horizontal="center" vertical="center" wrapText="1"/>
    </xf>
    <xf numFmtId="0" fontId="234" fillId="52" borderId="0" xfId="0" applyFont="1" applyFill="1" applyAlignment="1">
      <alignment horizontal="center" vertical="center" wrapText="1"/>
    </xf>
    <xf numFmtId="0" fontId="234" fillId="52" borderId="249" xfId="0" applyFont="1" applyFill="1" applyBorder="1" applyAlignment="1">
      <alignment horizontal="center" vertical="center" wrapText="1"/>
    </xf>
    <xf numFmtId="0" fontId="82" fillId="4" borderId="200" xfId="0" applyFont="1" applyFill="1" applyBorder="1" applyAlignment="1">
      <alignment horizontal="left" vertical="center" indent="1"/>
    </xf>
    <xf numFmtId="0" fontId="54" fillId="4" borderId="87" xfId="0" applyFont="1" applyFill="1" applyBorder="1" applyAlignment="1">
      <alignment horizontal="left"/>
    </xf>
    <xf numFmtId="0" fontId="89" fillId="0" borderId="87" xfId="0" quotePrefix="1" applyFont="1" applyBorder="1" applyAlignment="1" applyProtection="1">
      <alignment horizontal="left"/>
      <protection locked="0"/>
    </xf>
    <xf numFmtId="0" fontId="89" fillId="0" borderId="87" xfId="0" applyFont="1" applyBorder="1" applyAlignment="1" applyProtection="1">
      <alignment horizontal="left"/>
      <protection locked="0"/>
    </xf>
    <xf numFmtId="0" fontId="89" fillId="0" borderId="16" xfId="0" applyFont="1" applyBorder="1" applyAlignment="1">
      <alignment horizontal="left" vertical="center" wrapText="1"/>
    </xf>
    <xf numFmtId="17" fontId="1" fillId="0" borderId="16" xfId="0" quotePrefix="1" applyNumberFormat="1" applyFont="1" applyBorder="1" applyAlignment="1">
      <alignment horizontal="left" vertical="center" wrapText="1"/>
    </xf>
    <xf numFmtId="0" fontId="5" fillId="0" borderId="16" xfId="0" applyFont="1" applyBorder="1" applyAlignment="1">
      <alignment horizontal="left" vertical="center" wrapText="1"/>
    </xf>
    <xf numFmtId="0" fontId="1" fillId="0" borderId="16" xfId="0" applyFont="1" applyBorder="1" applyAlignment="1">
      <alignment horizontal="left" vertical="center" wrapText="1"/>
    </xf>
    <xf numFmtId="0" fontId="132" fillId="0" borderId="0" xfId="0" applyFont="1" applyAlignment="1">
      <alignment horizontal="left" vertical="top" wrapText="1"/>
    </xf>
  </cellXfs>
  <cellStyles count="246">
    <cellStyle name="%" xfId="9" xr:uid="{09B1DEDE-9727-444D-9F6A-856F2DD9AEFD}"/>
    <cellStyle name="% 3" xfId="10" xr:uid="{71DCE37F-5500-4F2E-9167-CC643207BF7B}"/>
    <cellStyle name="% 3 2" xfId="11" xr:uid="{80373179-245F-48D5-8150-A26486106E70}"/>
    <cellStyle name="CABECALHO" xfId="12" xr:uid="{199CA619-7924-4833-A693-F6403BC9A572}"/>
    <cellStyle name="Comma 2" xfId="13" xr:uid="{0223CDB2-11A0-48CA-BF8C-58432C5C2A16}"/>
    <cellStyle name="Comma 2 2" xfId="14" xr:uid="{EE209F14-3F03-4809-A9B2-ECD43DD7784A}"/>
    <cellStyle name="Comma 3" xfId="15" xr:uid="{900420E7-748F-4BA1-AC26-4B34FB3FB83D}"/>
    <cellStyle name="Comma 4" xfId="240" xr:uid="{825CA27B-DC8B-40E3-BEFA-B30F7D6022D9}"/>
    <cellStyle name="Currency 2" xfId="16" xr:uid="{F3E8DC62-BB9E-41B6-B587-1EC68EC1FBB4}"/>
    <cellStyle name="Currency 2 2" xfId="241" xr:uid="{53E2A009-EF7D-49F0-90D5-0527F4E4A882}"/>
    <cellStyle name="DADOS" xfId="17" xr:uid="{820C0A1F-B6CC-45D1-9233-D321C95840EC}"/>
    <cellStyle name="Editáveis" xfId="4" xr:uid="{856D5C0E-25B2-4826-B462-8DA17CEB6D0B}"/>
    <cellStyle name="Escopo 1" xfId="3" xr:uid="{B2B1E8A3-5DBC-4D29-9C1A-B8D64674982F}"/>
    <cellStyle name="Exemplo" xfId="5" xr:uid="{08CE30BC-C49F-40E1-98CA-557D1E131386}"/>
    <cellStyle name="Hiperligação" xfId="2" builtinId="8"/>
    <cellStyle name="Hyperlink 2" xfId="19" xr:uid="{C32E76CC-F900-4209-91A3-15FF47827DDF}"/>
    <cellStyle name="Hyperlink 2 2" xfId="20" xr:uid="{CB7EB9FA-CEAD-4157-B322-603B17CE03AC}"/>
    <cellStyle name="Hyperlink 3" xfId="21" xr:uid="{728F70D4-C4DF-40F3-BD95-5C9E6FA2C3E2}"/>
    <cellStyle name="Hyperlink 4" xfId="18" xr:uid="{DDC7FFB4-D593-4CED-B6FD-5A3366736C96}"/>
    <cellStyle name="Normal" xfId="0" builtinId="0"/>
    <cellStyle name="Normal - Style1" xfId="22" xr:uid="{2342F00D-638B-453C-A462-BA7EAF13E283}"/>
    <cellStyle name="Normal - Style2" xfId="23" xr:uid="{5F23C26E-2813-4B3B-BB42-6F2E97BB9237}"/>
    <cellStyle name="Normal - Style3" xfId="24" xr:uid="{A8ABDBB6-F8AB-431A-B12C-87DB4DA38C4C}"/>
    <cellStyle name="Normal - Style4" xfId="25" xr:uid="{C37D8AF1-23EB-40D0-B7DD-0BD60A11F1C5}"/>
    <cellStyle name="Normal - Style5" xfId="26" xr:uid="{495C1E65-529D-40EC-A01B-CAC7677B2DF0}"/>
    <cellStyle name="Normal - Style6" xfId="27" xr:uid="{86C5E508-286A-4CE5-9B63-4CC9914ADF59}"/>
    <cellStyle name="Normal - Style7" xfId="28" xr:uid="{17049285-285D-4083-A4FF-73A78FE7F2C3}"/>
    <cellStyle name="Normal - Style8" xfId="29" xr:uid="{7C63EE36-9F4D-42A3-86C7-B0D18BB2A733}"/>
    <cellStyle name="Normal 10" xfId="30" xr:uid="{CF6A0D23-DA1B-4F1E-A288-C3C61FEF7E89}"/>
    <cellStyle name="Normal 10 2" xfId="31" xr:uid="{371C9767-F47C-4EEC-8C07-BCBD675B67F3}"/>
    <cellStyle name="Normal 100" xfId="32" xr:uid="{651001EE-D032-464D-B2E8-67518E67B1AA}"/>
    <cellStyle name="Normal 101" xfId="33" xr:uid="{2B6D6400-14DE-422E-AF66-367CF07E907A}"/>
    <cellStyle name="Normal 102" xfId="34" xr:uid="{EFA43AC4-80EE-4567-B3C3-F6CEDF7B44C9}"/>
    <cellStyle name="Normal 103" xfId="35" xr:uid="{8B339E0A-A719-46AE-9F2D-E8190AB4BFC8}"/>
    <cellStyle name="Normal 104" xfId="36" xr:uid="{F245EBE6-74C2-4224-A85C-0089B5503CB1}"/>
    <cellStyle name="Normal 104 2" xfId="37" xr:uid="{D767051B-07F8-475F-975B-E946330D9300}"/>
    <cellStyle name="Normal 105" xfId="38" xr:uid="{595E4ACB-F6D6-474A-85A2-1B4861B59F67}"/>
    <cellStyle name="Normal 106" xfId="39" xr:uid="{157E9EAC-73BF-4C9F-856E-FDAE343E3A60}"/>
    <cellStyle name="Normal 107" xfId="40" xr:uid="{3D443544-9D10-44D9-BCB4-E9B48BD55880}"/>
    <cellStyle name="Normal 108" xfId="41" xr:uid="{C355A7E9-8365-4A40-9BA6-B5A5E6081C8F}"/>
    <cellStyle name="Normal 109" xfId="42" xr:uid="{7571E5EC-C364-43B4-BBA2-C86A62DE571F}"/>
    <cellStyle name="Normal 11" xfId="43" xr:uid="{F13310E7-302D-4796-9F2F-344726692C40}"/>
    <cellStyle name="Normal 11 2" xfId="44" xr:uid="{00BC431A-4124-4CE3-9407-44CECCEE596A}"/>
    <cellStyle name="Normal 110" xfId="45" xr:uid="{3FA239F5-3389-4379-A029-7A6D26A6907E}"/>
    <cellStyle name="Normal 111" xfId="242" xr:uid="{028C97A0-EFA5-4EFC-A4D3-96FD575241BC}"/>
    <cellStyle name="Normal 112" xfId="243" xr:uid="{175A6A4B-CD2D-420A-8C36-C39BFC38A16B}"/>
    <cellStyle name="Normal 113" xfId="244" xr:uid="{5D0DDAC9-7061-4EBC-AD79-445F4E4747E9}"/>
    <cellStyle name="Normal 114" xfId="245" xr:uid="{9772309B-CDA9-4992-8448-DBD27B06E4C6}"/>
    <cellStyle name="Normal 12" xfId="46" xr:uid="{5E8B3EBF-9C1E-48E3-A672-AD1CBDC11B77}"/>
    <cellStyle name="Normal 12 2" xfId="47" xr:uid="{C4DFE5F2-3B9B-497D-98CA-92A375C2D1F8}"/>
    <cellStyle name="Normal 13" xfId="48" xr:uid="{ECF08EDE-3293-40A9-B11E-6F182B76F3A3}"/>
    <cellStyle name="Normal 13 2" xfId="49" xr:uid="{9246CC38-84F5-4292-B164-0E776204EFE7}"/>
    <cellStyle name="Normal 14" xfId="50" xr:uid="{1D7EEBBD-3413-4015-B499-D7886ADE80F2}"/>
    <cellStyle name="Normal 14 2" xfId="51" xr:uid="{45D96CD9-7D1F-4979-A3B4-E996C89A131C}"/>
    <cellStyle name="Normal 15" xfId="52" xr:uid="{12272CBD-B871-4978-BC16-6D5F425689EA}"/>
    <cellStyle name="Normal 15 2" xfId="53" xr:uid="{E81C97D8-5C0A-4A5E-9C0A-F2E91C47D3F6}"/>
    <cellStyle name="Normal 16" xfId="54" xr:uid="{B3E66728-1E03-4740-A1E7-E53836777FA8}"/>
    <cellStyle name="Normal 16 2" xfId="55" xr:uid="{D1FC83D8-4B9C-4312-AAF5-0A8B924EA36A}"/>
    <cellStyle name="Normal 17" xfId="56" xr:uid="{787BC854-0482-4BF9-A338-D835CE86FDDC}"/>
    <cellStyle name="Normal 17 2" xfId="57" xr:uid="{6679609D-93A5-494F-987A-911EAEF0C126}"/>
    <cellStyle name="Normal 18" xfId="58" xr:uid="{4ED77E2B-4F17-4FD2-9BF8-DD8A1D90A06A}"/>
    <cellStyle name="Normal 18 2" xfId="59" xr:uid="{98A623AB-36CD-4726-ACB2-20F3A2AE4757}"/>
    <cellStyle name="Normal 19" xfId="60" xr:uid="{706C9FA0-3905-4871-AB6D-3D2A5092A0B2}"/>
    <cellStyle name="Normal 19 2" xfId="61" xr:uid="{1E5F0466-97ED-4660-97FD-1ECE33099DEA}"/>
    <cellStyle name="Normal 2" xfId="6" xr:uid="{E3E1C142-F8F6-4840-B6F3-9FC42CE5509A}"/>
    <cellStyle name="Normal 2 2" xfId="62" xr:uid="{B5E84D87-970D-456F-B9C2-A2A463C8453F}"/>
    <cellStyle name="Normal 2 2 2" xfId="63" xr:uid="{68F9029A-6FB2-4E49-B9DF-1FEFEC6A5E92}"/>
    <cellStyle name="Normal 2 2 2 2" xfId="64" xr:uid="{6F94513F-6367-4BDD-8092-3EDC61A4F663}"/>
    <cellStyle name="Normal 20" xfId="65" xr:uid="{24F82B13-A7D0-4651-B615-610AF9607A79}"/>
    <cellStyle name="Normal 20 2" xfId="66" xr:uid="{35C821E2-C3D3-4A93-9AA5-211016208AED}"/>
    <cellStyle name="Normal 21" xfId="67" xr:uid="{8DBA1AE1-7411-4D05-AD6C-876168B52454}"/>
    <cellStyle name="Normal 21 2" xfId="68" xr:uid="{AA69EAAE-B24E-4B0F-8512-9604F0AF83D5}"/>
    <cellStyle name="Normal 22" xfId="69" xr:uid="{4391AD13-5179-4993-98A5-315A1DF36E86}"/>
    <cellStyle name="Normal 22 2" xfId="70" xr:uid="{8F2FBF7C-7C85-4283-AC87-9FE4C19A963D}"/>
    <cellStyle name="Normal 23" xfId="71" xr:uid="{D996699F-7065-43C4-81B8-F8BB903AC996}"/>
    <cellStyle name="Normal 23 2" xfId="72" xr:uid="{77AD0FE6-4598-4E9B-8F3F-2C3609BE2B79}"/>
    <cellStyle name="Normal 24" xfId="73" xr:uid="{D6AB0BB9-F6C9-42D3-B64F-7CC4BC7934AA}"/>
    <cellStyle name="Normal 24 2" xfId="74" xr:uid="{8A3063FB-A129-41EE-B8FD-1C9306464C82}"/>
    <cellStyle name="Normal 25" xfId="75" xr:uid="{8BB65271-D008-4234-8C87-932CA4A8AEBF}"/>
    <cellStyle name="Normal 25 2" xfId="76" xr:uid="{6AB1D9CD-F01A-4808-8A3E-2A88868F709A}"/>
    <cellStyle name="Normal 26" xfId="77" xr:uid="{46D869AB-31B8-45A4-A0C6-87D0F922982E}"/>
    <cellStyle name="Normal 26 2" xfId="78" xr:uid="{BE3FA39D-0BCD-42E6-B53A-DA0E769F18A9}"/>
    <cellStyle name="Normal 27" xfId="79" xr:uid="{0A63CE26-F0C8-44EB-9893-0E7BF45A4A2D}"/>
    <cellStyle name="Normal 27 2" xfId="80" xr:uid="{8638996C-6C1A-4460-8028-F56C33E5025D}"/>
    <cellStyle name="Normal 28" xfId="81" xr:uid="{F7A7BBAB-6305-4400-9244-BBA6A12C6A36}"/>
    <cellStyle name="Normal 28 2" xfId="82" xr:uid="{DCB6473D-4AC4-4E9D-908A-B17957AED85A}"/>
    <cellStyle name="Normal 29" xfId="83" xr:uid="{068C6AC4-40A7-4577-BD33-C7A0E403E8A2}"/>
    <cellStyle name="Normal 29 2" xfId="84" xr:uid="{77EFE508-F449-40AC-A295-967BE487B783}"/>
    <cellStyle name="Normal 3" xfId="85" xr:uid="{1594EEB7-F44F-4D49-9562-4A3B8FA9CC54}"/>
    <cellStyle name="Normal 3 2" xfId="86" xr:uid="{4B915B65-B5D5-456B-8B08-A961808679E9}"/>
    <cellStyle name="Normal 3 2 2" xfId="87" xr:uid="{E12D15EE-527F-4FF4-9F78-83316B1BD13B}"/>
    <cellStyle name="Normal 3 3" xfId="88" xr:uid="{2583B8F5-BC10-4943-87A9-445E19F3C118}"/>
    <cellStyle name="Normal 3 4" xfId="89" xr:uid="{85F5B99E-4800-4CB1-AB24-4AE7DB78DD1F}"/>
    <cellStyle name="Normal 30" xfId="90" xr:uid="{2047FE13-9592-4358-9D74-287C904B7481}"/>
    <cellStyle name="Normal 30 2" xfId="91" xr:uid="{24D1A655-DCC6-42EE-8E4A-C695FA0B2E9B}"/>
    <cellStyle name="Normal 31" xfId="92" xr:uid="{E0A48440-E6A2-43D7-A0EB-B0C3C1691E2D}"/>
    <cellStyle name="Normal 31 2" xfId="93" xr:uid="{E5487F19-114D-44D7-BC29-5FB2495F583E}"/>
    <cellStyle name="Normal 32" xfId="94" xr:uid="{D6B95F36-A33B-43B3-87E9-22C5CA16F999}"/>
    <cellStyle name="Normal 32 2" xfId="95" xr:uid="{9106D165-EC51-42BB-B6B6-5D7B4FC4E6C8}"/>
    <cellStyle name="Normal 33" xfId="96" xr:uid="{440D6540-B817-4FAC-BB01-F6AE2D34571D}"/>
    <cellStyle name="Normal 33 2" xfId="97" xr:uid="{5016C670-A016-4D3D-A391-972193983E48}"/>
    <cellStyle name="Normal 34" xfId="98" xr:uid="{91AC0DA5-EE1B-481E-AFAF-093F0E1E7580}"/>
    <cellStyle name="Normal 34 2" xfId="99" xr:uid="{B8434830-F7E0-4FDE-9508-B70238A4FC79}"/>
    <cellStyle name="Normal 35" xfId="100" xr:uid="{E3F74D2A-242F-48DC-8E2C-FED92098DABD}"/>
    <cellStyle name="Normal 35 2" xfId="101" xr:uid="{5269094C-BAC2-4400-A5CA-F9EC89D5A5DD}"/>
    <cellStyle name="Normal 36" xfId="102" xr:uid="{8DE5D0C0-A788-4F51-BB3A-38261F3DF988}"/>
    <cellStyle name="Normal 36 2" xfId="103" xr:uid="{16958868-4B37-4FB4-9DB8-37FE4FF218D8}"/>
    <cellStyle name="Normal 37" xfId="104" xr:uid="{F87DE069-2A67-4A0C-803A-A42E8484633F}"/>
    <cellStyle name="Normal 37 2" xfId="105" xr:uid="{CB34BFA1-1AAE-410E-A7C4-EA9371EA00AC}"/>
    <cellStyle name="Normal 38" xfId="106" xr:uid="{986D14BB-9E3D-4266-9BED-146400ACFE73}"/>
    <cellStyle name="Normal 38 2" xfId="107" xr:uid="{13F605EE-AAF5-42C4-B628-C74251592752}"/>
    <cellStyle name="Normal 39" xfId="108" xr:uid="{C344DF7B-6D6C-4DD9-8A48-B3CD1577D994}"/>
    <cellStyle name="Normal 39 2" xfId="109" xr:uid="{2D097570-495E-4F7E-BD57-1625102EC155}"/>
    <cellStyle name="Normal 4" xfId="110" xr:uid="{5E713E67-377A-4086-A13E-814C5377EA8E}"/>
    <cellStyle name="Normal 40" xfId="111" xr:uid="{0D3CF700-2429-439E-BE7B-E4BDEC856899}"/>
    <cellStyle name="Normal 40 2" xfId="112" xr:uid="{C14935E4-35E5-437F-A795-DC1D80D73A1B}"/>
    <cellStyle name="Normal 41" xfId="113" xr:uid="{AA43D1C6-33C6-4D79-A0EA-CCC933F59362}"/>
    <cellStyle name="Normal 41 2" xfId="114" xr:uid="{89460C8A-198C-4808-818B-90147DC31991}"/>
    <cellStyle name="Normal 42" xfId="115" xr:uid="{B6D71ECF-7B13-4934-BDC0-C8154882004C}"/>
    <cellStyle name="Normal 42 2" xfId="116" xr:uid="{C2884B8F-2284-4BD7-B4F0-EF82F6CD7001}"/>
    <cellStyle name="Normal 43" xfId="117" xr:uid="{AB58FA3D-2154-4F40-B8E6-2DB2F1A4DEBC}"/>
    <cellStyle name="Normal 43 2" xfId="118" xr:uid="{75CCD14A-EDA4-40F9-8FD9-3BF55AB67501}"/>
    <cellStyle name="Normal 44" xfId="119" xr:uid="{49E2FF4B-7EB3-41FE-817D-5C32FD2873CE}"/>
    <cellStyle name="Normal 44 2" xfId="120" xr:uid="{3C393D82-49E7-4FF6-A32E-7F45BB082AEC}"/>
    <cellStyle name="Normal 45" xfId="121" xr:uid="{753D69B2-F249-4059-89D2-2AB58E3B1AF0}"/>
    <cellStyle name="Normal 45 2" xfId="122" xr:uid="{76353826-87CB-4410-8411-874B8530587C}"/>
    <cellStyle name="Normal 46" xfId="123" xr:uid="{865EDB13-37F8-444C-A33F-721E3103C38D}"/>
    <cellStyle name="Normal 46 2" xfId="124" xr:uid="{B2DC3630-C0A5-4C29-8EF3-0E0761C59BBF}"/>
    <cellStyle name="Normal 47" xfId="125" xr:uid="{897E3E8F-28FF-4712-9D64-890C91207530}"/>
    <cellStyle name="Normal 47 2" xfId="126" xr:uid="{BE5F3672-1EED-400C-8C6B-464C5A2F9B44}"/>
    <cellStyle name="Normal 48" xfId="127" xr:uid="{B19062A7-994D-475A-91B0-338540F39D7A}"/>
    <cellStyle name="Normal 48 2" xfId="128" xr:uid="{00D05CAF-95DC-4241-8CFE-08245FC18220}"/>
    <cellStyle name="Normal 49" xfId="129" xr:uid="{BDA9426E-2CE6-4DD7-BF2D-51CFAF57FB47}"/>
    <cellStyle name="Normal 49 2" xfId="130" xr:uid="{0F076350-69E8-4368-821C-24D3D62BD235}"/>
    <cellStyle name="Normal 5" xfId="131" xr:uid="{111531CA-C0DC-4799-831F-BF51F94E6E79}"/>
    <cellStyle name="Normal 5 2" xfId="132" xr:uid="{917B39F5-E5BC-49F1-9EC1-879CE878BCFB}"/>
    <cellStyle name="Normal 50" xfId="133" xr:uid="{F63C336E-47FB-42A1-B29D-81F7F251DC74}"/>
    <cellStyle name="Normal 50 2" xfId="134" xr:uid="{15FFFEBD-44B0-4D0C-9D34-7E39C49F398E}"/>
    <cellStyle name="Normal 51" xfId="135" xr:uid="{BB662677-97CF-46B9-BD57-AB2603357F2F}"/>
    <cellStyle name="Normal 51 2" xfId="136" xr:uid="{4F450A6A-B044-4D50-9DF6-F61D81D07E26}"/>
    <cellStyle name="Normal 52" xfId="137" xr:uid="{8B133082-F540-4D7D-8A67-6CE24934B80D}"/>
    <cellStyle name="Normal 52 2" xfId="138" xr:uid="{6ED47278-4210-4154-843B-27CC6819C73C}"/>
    <cellStyle name="Normal 53" xfId="139" xr:uid="{9C8315CE-8EFA-4070-913F-42C38A5D5EB3}"/>
    <cellStyle name="Normal 53 2" xfId="140" xr:uid="{EACDB884-24CF-4C97-BC47-8263435FB027}"/>
    <cellStyle name="Normal 54" xfId="141" xr:uid="{34B6E2F1-DC13-460C-BC00-9606C8C46DF3}"/>
    <cellStyle name="Normal 54 2" xfId="142" xr:uid="{05C916A6-5083-493E-AD5F-816DE53979D1}"/>
    <cellStyle name="Normal 55" xfId="143" xr:uid="{28AC536C-A474-4203-A577-7D2C1C8DB58D}"/>
    <cellStyle name="Normal 55 2" xfId="144" xr:uid="{5A93BA10-B182-4967-B729-DDAC29134B6B}"/>
    <cellStyle name="Normal 56" xfId="145" xr:uid="{5F064001-D835-4871-89DC-413D2B659B07}"/>
    <cellStyle name="Normal 56 2" xfId="146" xr:uid="{D2178149-0DA4-40EE-8D9A-38AFFAEC1FAC}"/>
    <cellStyle name="Normal 57" xfId="147" xr:uid="{641E640B-AE89-4F18-BD19-B4AB582B6CD0}"/>
    <cellStyle name="Normal 57 2" xfId="148" xr:uid="{2310C81A-43C7-4158-9E66-67F3A65A5D56}"/>
    <cellStyle name="Normal 58" xfId="149" xr:uid="{485B95B6-4945-44A5-88F8-1EDF6F694280}"/>
    <cellStyle name="Normal 58 2" xfId="150" xr:uid="{5155A4CE-B808-4F09-A4ED-F4311C512C2C}"/>
    <cellStyle name="Normal 59" xfId="151" xr:uid="{B6DDA788-0480-42AD-A246-3C57B87DC193}"/>
    <cellStyle name="Normal 59 2" xfId="152" xr:uid="{B71E0CFC-7FBA-458D-B434-91514F4A2557}"/>
    <cellStyle name="Normal 6" xfId="153" xr:uid="{E6E204F4-AFC2-4AB9-8CED-E1193DF937E5}"/>
    <cellStyle name="Normal 6 2" xfId="8" xr:uid="{81BC39B8-E76C-4179-8A93-58D9684061E6}"/>
    <cellStyle name="Normal 6 2 2" xfId="154" xr:uid="{DBAC0095-485C-47B3-9E7F-19E247DFC3FD}"/>
    <cellStyle name="Normal 6 3" xfId="155" xr:uid="{257DDC1F-F49A-4818-961B-3AB4605BF61A}"/>
    <cellStyle name="Normal 60" xfId="156" xr:uid="{BC60E2F9-9037-49B3-9515-EAFC7E61DF10}"/>
    <cellStyle name="Normal 60 2" xfId="157" xr:uid="{930086F2-8931-4F97-BAC6-60AA38799E5B}"/>
    <cellStyle name="Normal 61" xfId="158" xr:uid="{FB8788FD-B6D3-49F8-803A-19B05E2E1D38}"/>
    <cellStyle name="Normal 61 2" xfId="159" xr:uid="{07319213-4B16-48BC-828A-8EA7DA70AD5F}"/>
    <cellStyle name="Normal 62" xfId="160" xr:uid="{808F7687-7262-4DBF-A82C-D27F610F4170}"/>
    <cellStyle name="Normal 62 2" xfId="161" xr:uid="{DD1B3142-15A6-4501-93DA-A0FAD9FC42A2}"/>
    <cellStyle name="Normal 63" xfId="162" xr:uid="{09EAF1C0-4088-4F5A-AB65-871AD4BBA032}"/>
    <cellStyle name="Normal 63 2" xfId="163" xr:uid="{DC68B495-B728-417C-AEE8-09577481112A}"/>
    <cellStyle name="Normal 64" xfId="164" xr:uid="{D967F7CA-10E0-4B5B-807E-ADB93D20514C}"/>
    <cellStyle name="Normal 64 2" xfId="165" xr:uid="{F3B8C941-A103-45C3-8A25-A094C63AEEB1}"/>
    <cellStyle name="Normal 65" xfId="166" xr:uid="{D05C89AF-C902-49AD-89B2-5160B603F422}"/>
    <cellStyle name="Normal 65 2" xfId="167" xr:uid="{657B1FF4-CC61-4ABD-98AF-65B08ABD8C9A}"/>
    <cellStyle name="Normal 66" xfId="168" xr:uid="{966FA863-70B6-4415-8046-EF3B1293C0FC}"/>
    <cellStyle name="Normal 66 2" xfId="169" xr:uid="{B7C109C2-C799-4EB1-BFDD-59B1D80BCED8}"/>
    <cellStyle name="Normal 67" xfId="170" xr:uid="{41987F34-3588-4B88-A7FB-7BD968820E0B}"/>
    <cellStyle name="Normal 67 2" xfId="171" xr:uid="{91FFFD02-F7F8-484D-98CA-F25DF5E7E3AD}"/>
    <cellStyle name="Normal 68" xfId="172" xr:uid="{55E2633D-E189-43F3-BAD9-983E929961D1}"/>
    <cellStyle name="Normal 68 2" xfId="173" xr:uid="{AEC5DA61-A084-4967-9882-758F3533BD47}"/>
    <cellStyle name="Normal 69" xfId="174" xr:uid="{8630130D-46E8-4FF7-BD12-B5320631B18F}"/>
    <cellStyle name="Normal 69 2" xfId="175" xr:uid="{85736A79-C1C1-49BA-81C7-CC169CB7F477}"/>
    <cellStyle name="Normal 7" xfId="176" xr:uid="{77B7EFB9-17A7-4115-A609-DDB9810B5826}"/>
    <cellStyle name="Normal 7 2" xfId="177" xr:uid="{77728B7B-3BDE-4CC4-B1B1-F84869E581EE}"/>
    <cellStyle name="Normal 70" xfId="178" xr:uid="{A0D788D7-3544-4AA8-8104-C60204E46C6E}"/>
    <cellStyle name="Normal 70 2" xfId="179" xr:uid="{08BA77A1-CFC5-4640-97DA-7C1B28F86483}"/>
    <cellStyle name="Normal 71" xfId="180" xr:uid="{F6ACA903-4EA6-4725-8F30-F233BD12A397}"/>
    <cellStyle name="Normal 71 2" xfId="181" xr:uid="{1D098758-6173-48AB-8090-0992AFD72BC7}"/>
    <cellStyle name="Normal 72" xfId="182" xr:uid="{869E1B56-C4B4-4628-AAE2-6396AAF67B9A}"/>
    <cellStyle name="Normal 72 2" xfId="183" xr:uid="{E175E574-407C-4CA7-A4CE-E4E09C442CD7}"/>
    <cellStyle name="Normal 73" xfId="184" xr:uid="{6F6B58B5-7010-46B4-8492-F71A56143238}"/>
    <cellStyle name="Normal 73 2" xfId="185" xr:uid="{2C08E21D-6282-422E-B71C-6032AFDDEAC4}"/>
    <cellStyle name="Normal 74" xfId="186" xr:uid="{AC977EB6-B2E7-4BB9-B7A0-1638135EE053}"/>
    <cellStyle name="Normal 74 2" xfId="187" xr:uid="{87B5AFC6-EFEA-44E6-81EF-A86FBEAF576F}"/>
    <cellStyle name="Normal 75" xfId="188" xr:uid="{FB62AF46-1387-4A4F-809F-E02BF92C8421}"/>
    <cellStyle name="Normal 75 2" xfId="189" xr:uid="{B84330FA-BE9B-4B06-940A-ACC1CE483A3F}"/>
    <cellStyle name="Normal 76" xfId="190" xr:uid="{8841AC4A-4BFA-4BDE-9EF2-44D1D5F6C2DA}"/>
    <cellStyle name="Normal 76 2" xfId="191" xr:uid="{5D62C94D-7328-48F0-A7E4-1E50A6A86DC6}"/>
    <cellStyle name="Normal 77" xfId="192" xr:uid="{F582B890-7318-47F1-9B3D-CF39951708C6}"/>
    <cellStyle name="Normal 77 2" xfId="193" xr:uid="{F0D8D474-C30B-4E3E-87EA-DC81500C5ACD}"/>
    <cellStyle name="Normal 78" xfId="194" xr:uid="{013DB714-89B2-48BF-8A35-EE3B18291EC7}"/>
    <cellStyle name="Normal 78 2" xfId="195" xr:uid="{CC66064E-CCD0-4FC9-955A-522A5DFF2764}"/>
    <cellStyle name="Normal 79" xfId="196" xr:uid="{E8601F83-D1BA-48AE-B340-BC511797F850}"/>
    <cellStyle name="Normal 79 2" xfId="197" xr:uid="{8F30B7D9-99FE-4738-9F0B-6BCEEA0396BA}"/>
    <cellStyle name="Normal 8" xfId="198" xr:uid="{E65D7FE8-E90B-4E84-86F7-E3F298186229}"/>
    <cellStyle name="Normal 8 2" xfId="199" xr:uid="{04B1FD36-0BC3-4422-8246-362947D67145}"/>
    <cellStyle name="Normal 80" xfId="200" xr:uid="{D40A182C-FF7C-4245-9813-09813F953855}"/>
    <cellStyle name="Normal 80 2" xfId="201" xr:uid="{DB2B5E6B-A7C9-4C4D-AC8A-2EC0958FAC31}"/>
    <cellStyle name="Normal 81" xfId="202" xr:uid="{15ABE2DA-D50B-4C30-8672-DE7326702753}"/>
    <cellStyle name="Normal 81 2" xfId="203" xr:uid="{2F47C395-2B02-43FB-AE3C-5C04B3B87EB6}"/>
    <cellStyle name="Normal 82" xfId="204" xr:uid="{E2BA5243-6913-4B58-8661-17C353BE149A}"/>
    <cellStyle name="Normal 82 2" xfId="205" xr:uid="{9082BD9C-8DD3-4127-A4C5-56E951C79418}"/>
    <cellStyle name="Normal 83" xfId="206" xr:uid="{735A076F-DB10-44B6-8AAE-6110FDC79360}"/>
    <cellStyle name="Normal 83 2" xfId="207" xr:uid="{64F7CAF7-93F5-4106-9CF1-8CCE00B22055}"/>
    <cellStyle name="Normal 84" xfId="208" xr:uid="{98FD1582-731B-4740-B0AA-0A0E1501DCB2}"/>
    <cellStyle name="Normal 84 2" xfId="209" xr:uid="{24345122-FD73-41D8-9833-8FAA73B89432}"/>
    <cellStyle name="Normal 85" xfId="210" xr:uid="{05AB4492-7923-4C06-B2A4-AD3F7B22EB11}"/>
    <cellStyle name="Normal 85 2" xfId="211" xr:uid="{595EF0B1-8152-483E-83AD-98E14C956B68}"/>
    <cellStyle name="Normal 86" xfId="212" xr:uid="{83CE1CDF-CC30-4CAC-A207-12177F922B44}"/>
    <cellStyle name="Normal 86 2" xfId="213" xr:uid="{56072AAC-658B-4DB0-8D9A-729E06F1B411}"/>
    <cellStyle name="Normal 87" xfId="214" xr:uid="{383CC94A-05C4-47F1-8D41-3CFB8621C2A8}"/>
    <cellStyle name="Normal 87 2" xfId="215" xr:uid="{29ACC7DF-D6AA-4F96-A485-0D0F1B76FFFE}"/>
    <cellStyle name="Normal 88" xfId="216" xr:uid="{6131B84B-EC2A-4A57-B758-38065DDA6DCD}"/>
    <cellStyle name="Normal 88 2" xfId="217" xr:uid="{6C397A1B-0DCF-4E80-84E4-00ABB1E63E12}"/>
    <cellStyle name="Normal 89" xfId="218" xr:uid="{551B48DF-6215-4FD0-888D-2350354F6712}"/>
    <cellStyle name="Normal 89 2" xfId="219" xr:uid="{10DC4260-042E-489F-B9F5-B6D5B4FF95F3}"/>
    <cellStyle name="Normal 9" xfId="220" xr:uid="{C7064B5F-8E63-488E-8C54-269EFC074205}"/>
    <cellStyle name="Normal 9 2" xfId="221" xr:uid="{17D704D6-7BF1-4064-A3F0-82C42E604EAA}"/>
    <cellStyle name="Normal 90" xfId="222" xr:uid="{A2273780-4692-4568-9BDC-579DC4DE76D0}"/>
    <cellStyle name="Normal 90 2" xfId="223" xr:uid="{11379CFF-D55C-4A39-9025-4BBD4CDD442D}"/>
    <cellStyle name="Normal 91" xfId="224" xr:uid="{6E5F4F29-114D-445A-8BFF-CA3C6BD6D3B4}"/>
    <cellStyle name="Normal 92" xfId="225" xr:uid="{595DE4D6-249F-4DB7-B5C6-D9F090483174}"/>
    <cellStyle name="Normal 93" xfId="226" xr:uid="{9BE9676F-1D5F-408E-BEB2-DCC576190745}"/>
    <cellStyle name="Normal 94" xfId="227" xr:uid="{F590EA55-2459-4D67-A54C-B0BE519EB300}"/>
    <cellStyle name="Normal 95" xfId="228" xr:uid="{A88DB769-3E88-41C3-9920-D3657DC1D8C3}"/>
    <cellStyle name="Normal 96" xfId="229" xr:uid="{CB1E0235-0342-45FF-B55D-9221BA3AA7CA}"/>
    <cellStyle name="Normal 97" xfId="230" xr:uid="{DE0665AF-B25A-4A08-854C-3E7998786FF4}"/>
    <cellStyle name="Normal 98" xfId="231" xr:uid="{C337CAED-6943-45EE-8061-91156E9F6C46}"/>
    <cellStyle name="Normal 99" xfId="232" xr:uid="{02D43E22-DDB3-496A-9D02-BA03620AAF05}"/>
    <cellStyle name="NUMLINHA" xfId="233" xr:uid="{08876FE5-C479-4B26-9EE1-26DC17511588}"/>
    <cellStyle name="Percent 2" xfId="234" xr:uid="{96FC57C5-8FDC-451F-B3BF-AF54F1978B77}"/>
    <cellStyle name="Percent 2 2" xfId="235" xr:uid="{90810B20-46EC-4DAE-9E8B-068CD363F205}"/>
    <cellStyle name="Percent 3" xfId="236" xr:uid="{11BB2F80-0A72-4608-83DD-DA510909D499}"/>
    <cellStyle name="Percent 4" xfId="237" xr:uid="{18455E23-5694-4544-AB43-E29DA9B86F9D}"/>
    <cellStyle name="QDTITULO" xfId="238" xr:uid="{4240C520-60EA-4D9A-A4E4-275FF30D599E}"/>
    <cellStyle name="TITCOLUNA" xfId="239" xr:uid="{1E5BEE47-6711-4A0D-AA1D-E44D6F792851}"/>
    <cellStyle name="Verificar Célula" xfId="7" builtinId="23"/>
    <cellStyle name="Vírgula 3" xfId="1" xr:uid="{9CC4C78A-8A05-4757-A08C-FA03EE1B7983}"/>
  </cellStyles>
  <dxfs count="22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patternFill>
      </fill>
    </dxf>
    <dxf>
      <font>
        <color rgb="FF000000"/>
      </font>
    </dxf>
    <dxf>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patternType="solid">
          <fgColor theme="0"/>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8" tint="0.79998168889431442"/>
        </patternFill>
      </fill>
    </dxf>
    <dxf>
      <font>
        <color theme="0"/>
      </font>
    </dxf>
    <dxf>
      <fill>
        <patternFill>
          <bgColor theme="1"/>
        </patternFill>
      </fill>
    </dxf>
    <dxf>
      <fill>
        <patternFill patternType="solid">
          <bgColor theme="0"/>
        </patternFill>
      </fill>
    </dxf>
    <dxf>
      <fill>
        <patternFill>
          <bgColor theme="1"/>
        </patternFill>
      </fill>
    </dxf>
    <dxf>
      <fill>
        <patternFill>
          <bgColor theme="1"/>
        </patternFill>
      </fill>
    </dxf>
    <dxf>
      <fill>
        <patternFill patternType="solid">
          <fgColor rgb="FFFF0000"/>
          <bgColor theme="1"/>
        </patternFill>
      </fill>
    </dxf>
    <dxf>
      <fill>
        <patternFill>
          <bgColor theme="1"/>
        </patternFill>
      </fill>
    </dxf>
    <dxf>
      <fill>
        <patternFill>
          <bgColor theme="1"/>
        </patternFill>
      </fill>
    </dxf>
    <dxf>
      <font>
        <color theme="1"/>
      </font>
      <fill>
        <patternFill patternType="solid">
          <fgColor rgb="FFFF0000"/>
          <bgColor theme="1"/>
        </patternFill>
      </fill>
    </dxf>
    <dxf>
      <fill>
        <patternFill>
          <bgColor theme="1"/>
        </patternFill>
      </fill>
    </dxf>
    <dxf>
      <font>
        <color theme="1"/>
      </font>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indexed="64"/>
          <bgColor theme="1"/>
        </patternFill>
      </fill>
    </dxf>
    <dxf>
      <fill>
        <patternFill patternType="solid">
          <fgColor rgb="FFFF0000"/>
          <bgColor theme="1"/>
        </patternFill>
      </fill>
    </dxf>
    <dxf>
      <font>
        <color theme="1"/>
      </font>
      <fill>
        <patternFill patternType="solid">
          <fgColor indexed="64"/>
          <bgColor theme="1"/>
        </patternFill>
      </fill>
    </dxf>
    <dxf>
      <fill>
        <patternFill patternType="solid">
          <fgColor rgb="FFFF0000"/>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rgb="FFFF0000"/>
          <bgColor theme="1"/>
        </patternFill>
      </fill>
    </dxf>
    <dxf>
      <fill>
        <patternFill patternType="solid">
          <fgColor rgb="FFFF0000"/>
          <bgColor theme="1"/>
        </patternFill>
      </fill>
    </dxf>
    <dxf>
      <font>
        <color theme="1"/>
      </font>
      <fill>
        <patternFill patternType="solid">
          <fgColor rgb="FFFF0000"/>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patternType="solid">
          <fgColor rgb="FFFF0000"/>
          <bgColor theme="1"/>
        </patternFill>
      </fill>
    </dxf>
    <dxf>
      <font>
        <color rgb="FF000000"/>
      </font>
      <fill>
        <patternFill>
          <bgColor theme="1"/>
        </patternFill>
      </fill>
    </dxf>
    <dxf>
      <fill>
        <patternFill patternType="solid">
          <fgColor rgb="FFFF0000"/>
          <bgColor theme="1"/>
        </patternFill>
      </fill>
    </dxf>
    <dxf>
      <fill>
        <patternFill>
          <bgColor theme="1"/>
        </patternFill>
      </fill>
    </dxf>
    <dxf>
      <font>
        <color theme="1"/>
      </font>
      <fill>
        <patternFill>
          <bgColor theme="1"/>
        </patternFill>
      </fill>
    </dxf>
    <dxf>
      <fill>
        <patternFill>
          <bgColor theme="1"/>
        </patternFill>
      </fill>
    </dxf>
    <dxf>
      <fill>
        <patternFill patternType="solid">
          <fgColor rgb="FFFF0000"/>
          <bgColor theme="1"/>
        </patternFill>
      </fill>
    </dxf>
    <dxf>
      <font>
        <color theme="1"/>
      </font>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bgColor theme="1"/>
        </patternFill>
      </fill>
    </dxf>
    <dxf>
      <font>
        <color theme="1"/>
      </font>
      <fill>
        <patternFill>
          <bgColor theme="1"/>
        </patternFill>
      </fill>
    </dxf>
    <dxf>
      <fill>
        <patternFill patternType="solid">
          <fgColor theme="0"/>
          <bgColor theme="1"/>
        </patternFill>
      </fill>
    </dxf>
    <dxf>
      <font>
        <color theme="1"/>
      </font>
      <fill>
        <patternFill patternType="solid">
          <fgColor rgb="FFFF0000"/>
          <bgColor theme="1"/>
        </patternFill>
      </fill>
    </dxf>
    <dxf>
      <fill>
        <patternFill>
          <bgColor theme="1"/>
        </patternFill>
      </fill>
    </dxf>
    <dxf>
      <font>
        <color theme="1"/>
      </font>
      <fill>
        <patternFill patternType="solid">
          <fgColor rgb="FFFF0000"/>
          <bgColor theme="1"/>
        </patternFill>
      </fill>
    </dxf>
    <dxf>
      <fill>
        <patternFill>
          <bgColor theme="1"/>
        </patternFill>
      </fill>
    </dxf>
    <dxf>
      <fill>
        <patternFill>
          <bgColor theme="1"/>
        </patternFill>
      </fill>
    </dxf>
    <dxf>
      <fill>
        <patternFill>
          <bgColor theme="1"/>
        </patternFill>
      </fill>
    </dxf>
    <dxf>
      <font>
        <strike val="0"/>
        <color rgb="FFFFC000"/>
      </font>
      <fill>
        <patternFill>
          <bgColor theme="1"/>
        </patternFill>
      </fill>
      <border>
        <left/>
        <right/>
        <top/>
        <bottom/>
      </border>
    </dxf>
    <dxf>
      <fill>
        <patternFill patternType="solid">
          <fgColor rgb="FFFF0000"/>
          <bgColor theme="1"/>
        </patternFill>
      </fill>
    </dxf>
    <dxf>
      <fill>
        <patternFill patternType="solid">
          <fgColor rgb="FFFF0000"/>
          <bgColor theme="1"/>
        </patternFill>
      </fill>
    </dxf>
    <dxf>
      <fill>
        <patternFill>
          <bgColor theme="1"/>
        </patternFill>
      </fill>
    </dxf>
    <dxf>
      <font>
        <strike val="0"/>
        <color theme="1"/>
      </font>
      <fill>
        <patternFill>
          <bgColor theme="1"/>
        </patternFill>
      </fill>
      <border>
        <left/>
        <right/>
        <top/>
        <bottom/>
      </border>
    </dxf>
    <dxf>
      <font>
        <strike val="0"/>
        <color theme="1"/>
      </font>
      <fill>
        <patternFill>
          <bgColor theme="1"/>
        </patternFill>
      </fill>
      <border>
        <left/>
        <right/>
        <top/>
        <bottom/>
      </border>
    </dxf>
    <dxf>
      <fill>
        <patternFill>
          <bgColor theme="1"/>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bgColor theme="0"/>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patternType="solid">
          <bgColor rgb="FFC9E9FF"/>
        </patternFill>
      </fill>
    </dxf>
    <dxf>
      <fill>
        <patternFill>
          <bgColor theme="0"/>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patternType="solid">
          <fgColor rgb="FFFF0000"/>
          <bgColor theme="1"/>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patternType="solid">
          <bgColor rgb="FFC9E9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rgb="FFC9E9FF"/>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patternType="solid">
          <fgColor theme="9" tint="0.39994506668294322"/>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bgColor rgb="FFC9E9FF"/>
        </patternFill>
      </fill>
    </dxf>
    <dxf>
      <fill>
        <patternFill>
          <bgColor theme="9" tint="0.39994506668294322"/>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patternType="solid">
          <bgColor rgb="FFC9E9FF"/>
        </patternFill>
      </fill>
    </dxf>
    <dxf>
      <fill>
        <patternFill>
          <bgColor theme="9" tint="0.79998168889431442"/>
        </patternFill>
      </fill>
    </dxf>
    <dxf>
      <fill>
        <patternFill>
          <bgColor theme="1"/>
        </patternFill>
      </fill>
    </dxf>
    <dxf>
      <fill>
        <patternFill patternType="solid">
          <fgColor rgb="FFFF0000"/>
          <bgColor theme="1"/>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1"/>
        </patternFill>
      </fill>
    </dxf>
    <dxf>
      <fill>
        <patternFill patternType="solid">
          <fgColor rgb="FFFF0000"/>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9" tint="0.59996337778862885"/>
        </patternFill>
      </fill>
    </dxf>
    <dxf>
      <fill>
        <patternFill>
          <bgColor rgb="FFFFFF99"/>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1"/>
        </patternFill>
      </fill>
    </dxf>
    <dxf>
      <fill>
        <patternFill>
          <bgColor theme="1"/>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patternType="solid">
          <fgColor theme="9" tint="0.39994506668294322"/>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8" tint="-0.24994659260841701"/>
      </font>
      <fill>
        <patternFill patternType="none">
          <bgColor auto="1"/>
        </patternFill>
      </fill>
    </dxf>
    <dxf>
      <fill>
        <patternFill>
          <bgColor theme="1"/>
        </patternFill>
      </fill>
    </dxf>
    <dxf>
      <fill>
        <patternFill>
          <bgColor theme="1"/>
        </patternFill>
      </fill>
    </dxf>
  </dxfs>
  <tableStyles count="0" defaultTableStyle="TableStyleMedium2" defaultPivotStyle="PivotStyleLight16"/>
  <colors>
    <mruColors>
      <color rgb="FFC9E9FF"/>
      <color rgb="FF000000"/>
      <color rgb="FF02A39C"/>
      <color rgb="FF028882"/>
      <color rgb="FFC65911"/>
      <color rgb="FFFFE699"/>
      <color rgb="FF404040"/>
      <color rgb="FFDEEBF7"/>
      <color rgb="FF014744"/>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sz="2000">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20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642897589949364"/>
          <c:y val="0.23923380499438443"/>
          <c:w val="0.77384209436273488"/>
          <c:h val="0.67268880885363946"/>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D3AB-4513-B679-3FAD6A585A82}"/>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D3AB-4513-B679-3FAD6A585A82}"/>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D3AB-4513-B679-3FAD6A585A82}"/>
              </c:ext>
            </c:extLst>
          </c:dPt>
          <c:dLbls>
            <c:dLbl>
              <c:idx val="1"/>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D3AB-4513-B679-3FAD6A585A82}"/>
                </c:ext>
              </c:extLst>
            </c:dLbl>
            <c:dLbl>
              <c:idx val="2"/>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D3AB-4513-B679-3FAD6A585A82}"/>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projetos'!$E$27:$G$27</c:f>
              <c:strCache>
                <c:ptCount val="3"/>
                <c:pt idx="0">
                  <c:v>Emissões Relativas  </c:v>
                </c:pt>
                <c:pt idx="1">
                  <c:v>Emissões Absolutas </c:v>
                </c:pt>
                <c:pt idx="2">
                  <c:v>Emissões de Referência </c:v>
                </c:pt>
              </c:strCache>
            </c:strRef>
          </c:cat>
          <c:val>
            <c:numRef>
              <c:f>'IC_todos os projetos'!$E$33:$G$33</c:f>
              <c:numCache>
                <c:formatCode>#\ ##0.000</c:formatCode>
                <c:ptCount val="3"/>
                <c:pt idx="0">
                  <c:v>0</c:v>
                </c:pt>
                <c:pt idx="1">
                  <c:v>0</c:v>
                </c:pt>
                <c:pt idx="2">
                  <c:v>0</c:v>
                </c:pt>
              </c:numCache>
            </c:numRef>
          </c:val>
          <c:extLst>
            <c:ext xmlns:c16="http://schemas.microsoft.com/office/drawing/2014/chart" uri="{C3380CC4-5D6E-409C-BE32-E72D297353CC}">
              <c16:uniqueId val="{00000006-D3AB-4513-B679-3FAD6A585A82}"/>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2942517951883072"/>
          <c:y val="5.8383419528180276E-2"/>
          <c:w val="0.43996263105066191"/>
          <c:h val="0.1643673608846231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4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DBD7-4F8F-8209-11227669A714}"/>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DBD7-4F8F-8209-11227669A714}"/>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DBD7-4F8F-8209-11227669A714}"/>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'TM5_parques de estacionamento'!$C$142:$C$144</c:f>
              <c:strCache>
                <c:ptCount val="3"/>
                <c:pt idx="0">
                  <c:v>Re: Emissões Relativas                 </c:v>
                </c:pt>
                <c:pt idx="1">
                  <c:v>Ab: Emissões Absolutas </c:v>
                </c:pt>
                <c:pt idx="2">
                  <c:v>Be: Emissões de Referência </c:v>
                </c:pt>
              </c:strCache>
            </c:strRef>
          </c:cat>
          <c:val>
            <c:numRef>
              <c:f>'TM5_parques de estacionamento'!$E$142:$E$144</c:f>
              <c:numCache>
                <c:formatCode>#\ ##0.000</c:formatCode>
                <c:ptCount val="3"/>
                <c:pt idx="0">
                  <c:v>0</c:v>
                </c:pt>
                <c:pt idx="1">
                  <c:v>0</c:v>
                </c:pt>
                <c:pt idx="2">
                  <c:v>0</c:v>
                </c:pt>
              </c:numCache>
            </c:numRef>
          </c:val>
          <c:extLst>
            <c:ext xmlns:c16="http://schemas.microsoft.com/office/drawing/2014/chart" uri="{C3380CC4-5D6E-409C-BE32-E72D297353CC}">
              <c16:uniqueId val="{00000006-DBD7-4F8F-8209-11227669A714}"/>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5466042325639"/>
          <c:y val="3.998546743432195E-2"/>
          <c:w val="0.39711882137408722"/>
          <c:h val="0.2145488355333640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1" i="0" u="none" strike="noStrike" kern="1200" spc="0" baseline="0">
                <a:solidFill>
                  <a:sysClr val="windowText" lastClr="000000">
                    <a:lumMod val="65000"/>
                    <a:lumOff val="35000"/>
                  </a:sysClr>
                </a:solidFill>
                <a:latin typeface="Aptos" panose="020B0004020202020204" pitchFamily="34" charset="0"/>
              </a:rPr>
              <a:t>Total de emissões de GEE (sem ProdT)</a:t>
            </a:r>
            <a:endParaRPr lang="en-US" sz="1800">
              <a:latin typeface="Aptos" panose="020B0004020202020204" pitchFamily="34" charset="0"/>
            </a:endParaRPr>
          </a:p>
          <a:p>
            <a:pPr algn="l">
              <a:defRPr sz="1800">
                <a:latin typeface="Aptos" panose="020B0004020202020204" pitchFamily="34" charset="0"/>
              </a:defRPr>
            </a:pPr>
            <a:r>
              <a:rPr lang="en-US" sz="1800" baseline="0">
                <a:latin typeface="Aptos" panose="020B0004020202020204" pitchFamily="34" charset="0"/>
              </a:rPr>
              <a:t>(tCO2e/ ano)</a:t>
            </a:r>
          </a:p>
        </c:rich>
      </c:tx>
      <c:layout>
        <c:manualLayout>
          <c:xMode val="edge"/>
          <c:yMode val="edge"/>
          <c:x val="2.3479471123746279E-2"/>
          <c:y val="3.6307409290150673E-2"/>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552221583330399"/>
          <c:y val="0.28635908624918816"/>
          <c:w val="0.78387851015642407"/>
          <c:h val="0.66472808613647216"/>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11-2B64-428C-B241-7D26210E6639}"/>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12-2B64-428C-B241-7D26210E6639}"/>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13-2B64-428C-B241-7D26210E6639}"/>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1-2B64-428C-B241-7D26210E6639}"/>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2-2B64-428C-B241-7D26210E663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13-2B64-428C-B241-7D26210E663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RE_resultados!$AI$7:$AI$9</c:f>
              <c:strCache>
                <c:ptCount val="3"/>
                <c:pt idx="0">
                  <c:v>Emissões relativas</c:v>
                </c:pt>
                <c:pt idx="1">
                  <c:v>Emissões absolutas</c:v>
                </c:pt>
                <c:pt idx="2">
                  <c:v>Emissões de referência</c:v>
                </c:pt>
              </c:strCache>
            </c:strRef>
          </c:cat>
          <c:val>
            <c:numRef>
              <c:f>RE_resultados!$AJ$7:$AJ$9</c:f>
              <c:numCache>
                <c:formatCode>0.00</c:formatCode>
                <c:ptCount val="3"/>
                <c:pt idx="0">
                  <c:v>0</c:v>
                </c:pt>
                <c:pt idx="1">
                  <c:v>0</c:v>
                </c:pt>
                <c:pt idx="2">
                  <c:v>0</c:v>
                </c:pt>
              </c:numCache>
            </c:numRef>
          </c:val>
          <c:extLst>
            <c:ext xmlns:c16="http://schemas.microsoft.com/office/drawing/2014/chart" uri="{C3380CC4-5D6E-409C-BE32-E72D297353CC}">
              <c16:uniqueId val="{0000000E-2B64-428C-B241-7D26210E6639}"/>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64868505940574217"/>
          <c:y val="3.5176720294000909E-2"/>
          <c:w val="0.26352868105227306"/>
          <c:h val="0.165970286269718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2700" cap="flat" cmpd="sng" algn="ctr">
      <a:solidFill>
        <a:schemeClr val="accent6">
          <a:lumMod val="40000"/>
          <a:lumOff val="6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sz="1800">
              <a:latin typeface="Aptos" panose="020B0004020202020204" pitchFamily="34" charset="0"/>
            </a:endParaRPr>
          </a:p>
          <a:p>
            <a:pPr algn="l">
              <a:defRPr sz="1800">
                <a:latin typeface="Aptos" panose="020B0004020202020204" pitchFamily="34" charset="0"/>
              </a:defRPr>
            </a:pPr>
            <a:r>
              <a:rPr lang="en-US" sz="1800">
                <a:latin typeface="Aptos" panose="020B0004020202020204" pitchFamily="34" charset="0"/>
              </a:rPr>
              <a:t>emissões de GEE</a:t>
            </a:r>
            <a:r>
              <a:rPr lang="en-US" sz="1800" baseline="0">
                <a:latin typeface="Aptos" panose="020B0004020202020204" pitchFamily="34" charset="0"/>
              </a:rPr>
              <a:t> (sem</a:t>
            </a:r>
            <a:r>
              <a:rPr lang="en-US" sz="1800">
                <a:latin typeface="Aptos" panose="020B0004020202020204" pitchFamily="34" charset="0"/>
              </a:rPr>
              <a:t> ProdT)</a:t>
            </a:r>
          </a:p>
          <a:p>
            <a:pPr algn="l">
              <a:defRPr sz="1800">
                <a:latin typeface="Aptos" panose="020B0004020202020204" pitchFamily="34" charset="0"/>
              </a:defRPr>
            </a:pPr>
            <a:r>
              <a:rPr lang="en-US" sz="1800" baseline="0">
                <a:latin typeface="Aptos" panose="020B0004020202020204" pitchFamily="34" charset="0"/>
              </a:rPr>
              <a:t>(tCO2e/ ano)</a:t>
            </a:r>
          </a:p>
        </c:rich>
      </c:tx>
      <c:layout>
        <c:manualLayout>
          <c:xMode val="edge"/>
          <c:yMode val="edge"/>
          <c:x val="4.1889132971727028E-2"/>
          <c:y val="9.594124923910697E-3"/>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405949256342954"/>
          <c:h val="0.62488078399211211"/>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6F3B-4548-AA38-7551AA99CC60}"/>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F3B-4548-AA38-7551AA99CC60}"/>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6F3B-4548-AA38-7551AA99CC60}"/>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404040"/>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projetos'!$E$54:$G$54</c:f>
              <c:strCache>
                <c:ptCount val="3"/>
                <c:pt idx="0">
                  <c:v>Emissões Relativas  </c:v>
                </c:pt>
                <c:pt idx="1">
                  <c:v>Emissões Absolutas </c:v>
                </c:pt>
                <c:pt idx="2">
                  <c:v>Emissões de Referência </c:v>
                </c:pt>
              </c:strCache>
            </c:strRef>
          </c:cat>
          <c:val>
            <c:numRef>
              <c:f>'IC_todos os projetos'!$E$62:$G$62</c:f>
              <c:numCache>
                <c:formatCode>#\ ##0.000</c:formatCode>
                <c:ptCount val="3"/>
                <c:pt idx="0">
                  <c:v>0</c:v>
                </c:pt>
                <c:pt idx="1">
                  <c:v>0</c:v>
                </c:pt>
                <c:pt idx="2">
                  <c:v>0</c:v>
                </c:pt>
              </c:numCache>
            </c:numRef>
          </c:val>
          <c:extLst>
            <c:ext xmlns:c16="http://schemas.microsoft.com/office/drawing/2014/chart" uri="{C3380CC4-5D6E-409C-BE32-E72D297353CC}">
              <c16:uniqueId val="{00000006-6F3B-4548-AA38-7551AA99CC60}"/>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1020414722211327"/>
          <c:y val="2.5093183618319873E-2"/>
          <c:w val="0.45748293193490119"/>
          <c:h val="0.1664554504651415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9DB8-453D-8CB4-61BC03FB8F28}"/>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DB8-453D-8CB4-61BC03FB8F28}"/>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9DB8-453D-8CB4-61BC03FB8F28}"/>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projetos'!$E$105:$G$105</c:f>
              <c:strCache>
                <c:ptCount val="3"/>
                <c:pt idx="0">
                  <c:v>Emissões Relativas  </c:v>
                </c:pt>
                <c:pt idx="1">
                  <c:v>Emissões Absolutas </c:v>
                </c:pt>
                <c:pt idx="2">
                  <c:v>Emissões de Referência </c:v>
                </c:pt>
              </c:strCache>
            </c:strRef>
          </c:cat>
          <c:val>
            <c:numRef>
              <c:f>'IC_todos os projetos'!$E$106:$G$106</c:f>
              <c:numCache>
                <c:formatCode>#\ ##0.000</c:formatCode>
                <c:ptCount val="3"/>
                <c:pt idx="0">
                  <c:v>0</c:v>
                </c:pt>
                <c:pt idx="1">
                  <c:v>0</c:v>
                </c:pt>
                <c:pt idx="2">
                  <c:v>0</c:v>
                </c:pt>
              </c:numCache>
            </c:numRef>
          </c:val>
          <c:extLst>
            <c:ext xmlns:c16="http://schemas.microsoft.com/office/drawing/2014/chart" uri="{C3380CC4-5D6E-409C-BE32-E72D297353CC}">
              <c16:uniqueId val="{00000006-9DB8-453D-8CB4-61BC03FB8F28}"/>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6598646606855409"/>
          <c:y val="3.4955116557175918E-2"/>
          <c:w val="0.49149653282225447"/>
          <c:h val="0.1960412492817096"/>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r>
              <a:rPr lang="en-US" sz="18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sz="1800">
                <a:latin typeface="Aptos" panose="020B0004020202020204" pitchFamily="34" charset="0"/>
              </a:defRPr>
            </a:pPr>
            <a:r>
              <a:rPr lang="en-US" sz="1800" b="0" i="0" u="none" strike="noStrike" kern="1200" spc="0" baseline="0">
                <a:solidFill>
                  <a:sysClr val="windowText" lastClr="000000">
                    <a:lumMod val="65000"/>
                    <a:lumOff val="35000"/>
                  </a:sysClr>
                </a:solidFill>
                <a:latin typeface="Aptos" panose="020B0004020202020204" pitchFamily="34" charset="0"/>
              </a:rPr>
              <a:t>(tCO2e/ano)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8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0750-4249-8FB1-B5F0A7C41B1C}"/>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0750-4249-8FB1-B5F0A7C41B1C}"/>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0750-4249-8FB1-B5F0A7C41B1C}"/>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projetos'!$E$125:$G$125</c:f>
              <c:strCache>
                <c:ptCount val="3"/>
                <c:pt idx="0">
                  <c:v>Emissões Relativas  </c:v>
                </c:pt>
                <c:pt idx="1">
                  <c:v>Emissões Absolutas </c:v>
                </c:pt>
                <c:pt idx="2">
                  <c:v>Emissões de Referência </c:v>
                </c:pt>
              </c:strCache>
            </c:strRef>
          </c:cat>
          <c:val>
            <c:numRef>
              <c:f>'IC_todos os projetos'!$E$131:$G$131</c:f>
              <c:numCache>
                <c:formatCode>#\ ##0.000</c:formatCode>
                <c:ptCount val="3"/>
                <c:pt idx="0">
                  <c:v>0</c:v>
                </c:pt>
                <c:pt idx="1">
                  <c:v>0</c:v>
                </c:pt>
                <c:pt idx="2">
                  <c:v>0</c:v>
                </c:pt>
              </c:numCache>
            </c:numRef>
          </c:val>
          <c:extLst>
            <c:ext xmlns:c16="http://schemas.microsoft.com/office/drawing/2014/chart" uri="{C3380CC4-5D6E-409C-BE32-E72D297353CC}">
              <c16:uniqueId val="{00000006-0750-4249-8FB1-B5F0A7C41B1C}"/>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8809530664533368"/>
          <c:y val="4.7282532730745938E-2"/>
          <c:w val="0.39096068595784472"/>
          <c:h val="0.19357576604699561"/>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2000" b="0"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20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6.2458612879825799E-2"/>
          <c:y val="4.6169376756899472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883213497882389"/>
          <c:y val="0.28509139759896879"/>
          <c:w val="0.77143891324670399"/>
          <c:h val="0.62683125223252423"/>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F4FC-49C1-88D1-3B1687A35031}"/>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F4FC-49C1-88D1-3B1687A35031}"/>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F4FC-49C1-88D1-3B1687A35031}"/>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404040"/>
                    </a:solidFill>
                    <a:latin typeface="Aptos" panose="020B00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'IC_todos os projetos'!$E$82:$G$82</c:f>
              <c:strCache>
                <c:ptCount val="3"/>
                <c:pt idx="0">
                  <c:v>Emissões Relativas  </c:v>
                </c:pt>
                <c:pt idx="1">
                  <c:v>Emissões Absolutas </c:v>
                </c:pt>
                <c:pt idx="2">
                  <c:v>Emissões de Referência </c:v>
                </c:pt>
              </c:strCache>
            </c:strRef>
          </c:cat>
          <c:val>
            <c:numRef>
              <c:f>'IC_todos os projetos'!$E$89:$G$89</c:f>
              <c:numCache>
                <c:formatCode>#\ ##0.000</c:formatCode>
                <c:ptCount val="3"/>
                <c:pt idx="0">
                  <c:v>0</c:v>
                </c:pt>
                <c:pt idx="1">
                  <c:v>0</c:v>
                </c:pt>
                <c:pt idx="2">
                  <c:v>0</c:v>
                </c:pt>
              </c:numCache>
            </c:numRef>
          </c:val>
          <c:extLst>
            <c:ext xmlns:c16="http://schemas.microsoft.com/office/drawing/2014/chart" uri="{C3380CC4-5D6E-409C-BE32-E72D297353CC}">
              <c16:uniqueId val="{00000006-F4FC-49C1-88D1-3B1687A35031}"/>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48129258646786305"/>
          <c:y val="3.2489633322461908E-2"/>
          <c:w val="0.43537409135812155"/>
          <c:h val="0.2009722157511376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p>
          <a:p>
            <a:pPr algn="l">
              <a:defRPr>
                <a:latin typeface="Aptos" panose="020B0004020202020204" pitchFamily="34" charset="0"/>
              </a:defRPr>
            </a:pPr>
            <a:r>
              <a:rPr lang="en-US" sz="1400" b="0" i="0" u="none" strike="noStrike" kern="1200" spc="0" baseline="0">
                <a:solidFill>
                  <a:sysClr val="windowText" lastClr="000000">
                    <a:lumMod val="65000"/>
                    <a:lumOff val="35000"/>
                  </a:sysClr>
                </a:solidFill>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315F-4751-A638-37EF402FAA8D}"/>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315F-4751-A638-37EF402FAA8D}"/>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315F-4751-A638-37EF402FAA8D}"/>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'TM1_micromobilidade '!$C$157:$C$159</c:f>
              <c:strCache>
                <c:ptCount val="3"/>
                <c:pt idx="0">
                  <c:v>Re: Emissões Relativas                 </c:v>
                </c:pt>
                <c:pt idx="1">
                  <c:v>Ab: Emissões Absolutas </c:v>
                </c:pt>
                <c:pt idx="2">
                  <c:v>Be: Emissões de Referência </c:v>
                </c:pt>
              </c:strCache>
            </c:strRef>
          </c:cat>
          <c:val>
            <c:numRef>
              <c:f>'TM1_micromobilidade '!$E$157:$E$159</c:f>
              <c:numCache>
                <c:formatCode>#\ ##0.000</c:formatCode>
                <c:ptCount val="3"/>
                <c:pt idx="0">
                  <c:v>0</c:v>
                </c:pt>
                <c:pt idx="1">
                  <c:v>0</c:v>
                </c:pt>
                <c:pt idx="2">
                  <c:v>0</c:v>
                </c:pt>
              </c:numCache>
            </c:numRef>
          </c:val>
          <c:extLst>
            <c:ext xmlns:c16="http://schemas.microsoft.com/office/drawing/2014/chart" uri="{C3380CC4-5D6E-409C-BE32-E72D297353CC}">
              <c16:uniqueId val="{00000006-315F-4751-A638-37EF402FAA8D}"/>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5466042325639"/>
          <c:y val="3.998546743432195E-2"/>
          <c:w val="0.39711882137408722"/>
          <c:h val="0.2145488355333640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a:latin typeface="Aptos" panose="020B0004020202020204" pitchFamily="34" charset="0"/>
              </a:rPr>
              <a:t>emissões de GEE</a:t>
            </a:r>
            <a:r>
              <a:rPr lang="en-US" sz="1400" b="1" baseline="0">
                <a:latin typeface="Aptos" panose="020B0004020202020204" pitchFamily="34" charset="0"/>
              </a:rPr>
              <a:t> (sem</a:t>
            </a:r>
            <a:r>
              <a:rPr lang="en-US" sz="1400" b="1">
                <a:latin typeface="Aptos" panose="020B0004020202020204" pitchFamily="34" charset="0"/>
              </a:rPr>
              <a:t> ProdT)</a:t>
            </a: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80698741709242805"/>
          <c:h val="0.56423734271955905"/>
        </c:manualLayout>
      </c:layout>
      <c:barChart>
        <c:barDir val="col"/>
        <c:grouping val="clustered"/>
        <c:varyColors val="0"/>
        <c:ser>
          <c:idx val="0"/>
          <c:order val="0"/>
          <c:spPr>
            <a:solidFill>
              <a:schemeClr val="accent6">
                <a:lumMod val="60000"/>
                <a:lumOff val="40000"/>
              </a:schemeClr>
            </a:solidFill>
            <a:ln w="19050">
              <a:solidFill>
                <a:schemeClr val="lt1"/>
              </a:solidFill>
            </a:ln>
            <a:effectLst/>
          </c:spPr>
          <c:invertIfNegative val="0"/>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F1B4-40E7-A3B1-986104BBA447}"/>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F1B4-40E7-A3B1-986104BBA44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TM2_rodovia!$C$123:$C$125</c:f>
              <c:strCache>
                <c:ptCount val="3"/>
                <c:pt idx="0">
                  <c:v>Re: Emissões Relativas </c:v>
                </c:pt>
                <c:pt idx="1">
                  <c:v>Ab: Emissões Absolutas </c:v>
                </c:pt>
                <c:pt idx="2">
                  <c:v>Be: Emissões de Referência </c:v>
                </c:pt>
              </c:strCache>
            </c:strRef>
          </c:cat>
          <c:val>
            <c:numRef>
              <c:f>TM2_rodovia!$E$123:$E$125</c:f>
              <c:numCache>
                <c:formatCode>#\ ##0.000</c:formatCode>
                <c:ptCount val="3"/>
                <c:pt idx="0">
                  <c:v>0</c:v>
                </c:pt>
                <c:pt idx="1">
                  <c:v>0</c:v>
                </c:pt>
                <c:pt idx="2">
                  <c:v>0</c:v>
                </c:pt>
              </c:numCache>
            </c:numRef>
          </c:val>
          <c:extLst>
            <c:ext xmlns:c16="http://schemas.microsoft.com/office/drawing/2014/chart" uri="{C3380CC4-5D6E-409C-BE32-E72D297353CC}">
              <c16:uniqueId val="{00000006-F1B4-40E7-A3B1-986104BBA447}"/>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6208621335992892"/>
          <c:y val="4.2903930181179085E-2"/>
          <c:w val="0.37143310250291212"/>
          <c:h val="0.2087119100396497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a:latin typeface="Aptos" panose="020B0004020202020204" pitchFamily="34" charset="0"/>
              </a:rPr>
              <a:t>emissões de GEE</a:t>
            </a:r>
            <a:r>
              <a:rPr lang="en-US" sz="1400" b="1" baseline="0">
                <a:latin typeface="Aptos" panose="020B0004020202020204" pitchFamily="34" charset="0"/>
              </a:rPr>
              <a:t> (sem</a:t>
            </a:r>
            <a:r>
              <a:rPr lang="en-US" sz="1400" b="1">
                <a:latin typeface="Aptos" panose="020B0004020202020204" pitchFamily="34" charset="0"/>
              </a:rPr>
              <a:t> ProdT)</a:t>
            </a: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34059563296860973"/>
          <c:w val="0.78025576028121757"/>
          <c:h val="0.57470437351175629"/>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DCDB-491D-9C75-1397192B48FE}"/>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1-DCDB-491D-9C75-1397192B48FE}"/>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3-DCDB-491D-9C75-1397192B48FE}"/>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accent6">
                        <a:lumMod val="50000"/>
                      </a:schemeClr>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'TM3_ferrovia e metro'!$C$129:$C$131</c:f>
              <c:strCache>
                <c:ptCount val="3"/>
                <c:pt idx="0">
                  <c:v>Re: Emissões Relativas </c:v>
                </c:pt>
                <c:pt idx="1">
                  <c:v>Ab: Emissões Absolutas </c:v>
                </c:pt>
                <c:pt idx="2">
                  <c:v>Be: Emissões de Referência </c:v>
                </c:pt>
              </c:strCache>
            </c:strRef>
          </c:cat>
          <c:val>
            <c:numRef>
              <c:f>'TM3_ferrovia e metro'!$E$129:$E$131</c:f>
              <c:numCache>
                <c:formatCode>#\ ##0.000</c:formatCode>
                <c:ptCount val="3"/>
                <c:pt idx="0">
                  <c:v>0</c:v>
                </c:pt>
                <c:pt idx="1">
                  <c:v>0</c:v>
                </c:pt>
                <c:pt idx="2">
                  <c:v>0</c:v>
                </c:pt>
              </c:numCache>
            </c:numRef>
          </c:val>
          <c:extLst>
            <c:ext xmlns:c16="http://schemas.microsoft.com/office/drawing/2014/chart" uri="{C3380CC4-5D6E-409C-BE32-E72D297353CC}">
              <c16:uniqueId val="{00000004-DCDB-491D-9C75-1397192B48FE}"/>
            </c:ext>
          </c:extLst>
        </c:ser>
        <c:dLbls>
          <c:dLblPos val="inEnd"/>
          <c:showLegendKey val="0"/>
          <c:showVal val="1"/>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 ##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2582402201238743"/>
          <c:y val="2.0454517251791656E-3"/>
          <c:w val="0.39560789673460633"/>
          <c:h val="0.2174672982802211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r>
              <a:rPr lang="en-US" sz="1400" b="1" i="0" u="none" strike="noStrike" kern="1200" spc="0" baseline="0">
                <a:solidFill>
                  <a:sysClr val="windowText" lastClr="000000">
                    <a:lumMod val="65000"/>
                    <a:lumOff val="35000"/>
                  </a:sysClr>
                </a:solidFill>
                <a:latin typeface="Aptos" panose="020B0004020202020204" pitchFamily="34" charset="0"/>
              </a:rPr>
              <a:t>emissões de GEE (sem ProdT)</a:t>
            </a:r>
            <a:endParaRPr lang="en-US" sz="1400">
              <a:latin typeface="Aptos" panose="020B0004020202020204" pitchFamily="34" charset="0"/>
            </a:endParaRPr>
          </a:p>
          <a:p>
            <a:pPr algn="l">
              <a:defRPr>
                <a:latin typeface="Aptos" panose="020B0004020202020204" pitchFamily="34" charset="0"/>
              </a:defRPr>
            </a:pPr>
            <a:r>
              <a:rPr lang="en-US" sz="1400" baseline="0">
                <a:latin typeface="Aptos" panose="020B0004020202020204" pitchFamily="34" charset="0"/>
              </a:rPr>
              <a:t>(tCO2e/ ano)</a:t>
            </a:r>
          </a:p>
        </c:rich>
      </c:tx>
      <c:layout>
        <c:manualLayout>
          <c:xMode val="edge"/>
          <c:yMode val="edge"/>
          <c:x val="8.6268103898112986E-2"/>
          <c:y val="3.630734806900654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Aptos" panose="020B0004020202020204" pitchFamily="34" charset="0"/>
              <a:ea typeface="+mn-ea"/>
              <a:cs typeface="+mn-cs"/>
            </a:defRPr>
          </a:pPr>
          <a:endParaRPr lang="en-US"/>
        </a:p>
      </c:txPr>
    </c:title>
    <c:autoTitleDeleted val="0"/>
    <c:plotArea>
      <c:layout>
        <c:manualLayout>
          <c:layoutTarget val="inner"/>
          <c:xMode val="edge"/>
          <c:yMode val="edge"/>
          <c:x val="0.14428026633610802"/>
          <c:y val="0.28806319804389741"/>
          <c:w val="0.77270115032392328"/>
          <c:h val="0.62723666045651327"/>
        </c:manualLayout>
      </c:layout>
      <c:barChart>
        <c:barDir val="col"/>
        <c:grouping val="clustered"/>
        <c:varyColors val="0"/>
        <c:ser>
          <c:idx val="0"/>
          <c:order val="0"/>
          <c:spPr>
            <a:solidFill>
              <a:schemeClr val="accent1"/>
            </a:solidFill>
            <a:ln w="19050">
              <a:solidFill>
                <a:schemeClr val="lt1"/>
              </a:solidFill>
            </a:ln>
            <a:effectLst/>
          </c:spPr>
          <c:invertIfNegative val="0"/>
          <c:dPt>
            <c:idx val="0"/>
            <c:invertIfNegative val="0"/>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A7C8-4742-970C-1C99D400E437}"/>
              </c:ext>
            </c:extLst>
          </c:dPt>
          <c:dPt>
            <c:idx val="1"/>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A7C8-4742-970C-1C99D400E437}"/>
              </c:ext>
            </c:extLst>
          </c:dPt>
          <c:dPt>
            <c:idx val="2"/>
            <c:invertIfNegative val="0"/>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5-A7C8-4742-970C-1C99D400E437}"/>
              </c:ext>
            </c:extLst>
          </c:dPt>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rgbClr val="385723"/>
                    </a:solidFill>
                    <a:latin typeface="Aptos" panose="020B0004020202020204" pitchFamily="34" charset="0"/>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'TM4_vias navegáveis interiores'!$C$79:$C$81</c:f>
              <c:strCache>
                <c:ptCount val="3"/>
                <c:pt idx="0">
                  <c:v>Re: Emissões Relativas </c:v>
                </c:pt>
                <c:pt idx="1">
                  <c:v>Ab: Emissões Absolutas </c:v>
                </c:pt>
                <c:pt idx="2">
                  <c:v>Be: Emissões de Referência </c:v>
                </c:pt>
              </c:strCache>
            </c:strRef>
          </c:cat>
          <c:val>
            <c:numRef>
              <c:f>'TM4_vias navegáveis interiores'!$E$79:$E$81</c:f>
              <c:numCache>
                <c:formatCode>0.000</c:formatCode>
                <c:ptCount val="3"/>
                <c:pt idx="0">
                  <c:v>0</c:v>
                </c:pt>
                <c:pt idx="1">
                  <c:v>0</c:v>
                </c:pt>
                <c:pt idx="2">
                  <c:v>0</c:v>
                </c:pt>
              </c:numCache>
            </c:numRef>
          </c:val>
          <c:extLst>
            <c:ext xmlns:c16="http://schemas.microsoft.com/office/drawing/2014/chart" uri="{C3380CC4-5D6E-409C-BE32-E72D297353CC}">
              <c16:uniqueId val="{00000006-A7C8-4742-970C-1C99D400E437}"/>
            </c:ext>
          </c:extLst>
        </c:ser>
        <c:dLbls>
          <c:showLegendKey val="0"/>
          <c:showVal val="0"/>
          <c:showCatName val="0"/>
          <c:showSerName val="0"/>
          <c:showPercent val="0"/>
          <c:showBubbleSize val="0"/>
        </c:dLbls>
        <c:gapWidth val="100"/>
        <c:axId val="1209751903"/>
        <c:axId val="1209751423"/>
      </c:barChart>
      <c:valAx>
        <c:axId val="1209751423"/>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209751903"/>
        <c:crosses val="autoZero"/>
        <c:crossBetween val="between"/>
      </c:valAx>
      <c:catAx>
        <c:axId val="1209751903"/>
        <c:scaling>
          <c:orientation val="minMax"/>
        </c:scaling>
        <c:delete val="1"/>
        <c:axPos val="b"/>
        <c:numFmt formatCode="General" sourceLinked="1"/>
        <c:majorTickMark val="out"/>
        <c:minorTickMark val="none"/>
        <c:tickLblPos val="nextTo"/>
        <c:crossAx val="1209751423"/>
        <c:crosses val="autoZero"/>
        <c:auto val="1"/>
        <c:lblAlgn val="ctr"/>
        <c:lblOffset val="100"/>
        <c:noMultiLvlLbl val="0"/>
      </c:catAx>
      <c:spPr>
        <a:noFill/>
        <a:ln>
          <a:noFill/>
        </a:ln>
        <a:effectLst/>
      </c:spPr>
    </c:plotArea>
    <c:legend>
      <c:legendPos val="r"/>
      <c:layout>
        <c:manualLayout>
          <c:xMode val="edge"/>
          <c:yMode val="edge"/>
          <c:x val="0.54963203057587406"/>
          <c:y val="2.0882677884514127E-2"/>
          <c:w val="0.43509254142948656"/>
          <c:h val="0.2204186396509038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sustentavel2030.gov.pt/" TargetMode="External"/><Relationship Id="rId7" Type="http://schemas.openxmlformats.org/officeDocument/2006/relationships/image" Target="../media/image5.sv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4.png"/><Relationship Id="rId11" Type="http://schemas.openxmlformats.org/officeDocument/2006/relationships/image" Target="../media/image8.png"/><Relationship Id="rId5" Type="http://schemas.openxmlformats.org/officeDocument/2006/relationships/hyperlink" Target="#&#237;ndice!A1"/><Relationship Id="rId10" Type="http://schemas.openxmlformats.org/officeDocument/2006/relationships/hyperlink" Target="#'PFs_Instru&#231;&#245;es e PFs'!A1"/><Relationship Id="rId4" Type="http://schemas.openxmlformats.org/officeDocument/2006/relationships/image" Target="../media/image3.png"/><Relationship Id="rId9" Type="http://schemas.openxmlformats.org/officeDocument/2006/relationships/image" Target="../media/image7.svg"/></Relationships>
</file>

<file path=xl/drawings/_rels/drawing10.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hyperlink" Target="#RE_resultados!B49"/><Relationship Id="rId3" Type="http://schemas.openxmlformats.org/officeDocument/2006/relationships/image" Target="../media/image39.svg"/><Relationship Id="rId7" Type="http://schemas.openxmlformats.org/officeDocument/2006/relationships/hyperlink" Target="#'PFs_Instru&#231;&#245;es e PFs'!A1"/><Relationship Id="rId12" Type="http://schemas.openxmlformats.org/officeDocument/2006/relationships/image" Target="../media/image19.svg"/><Relationship Id="rId2" Type="http://schemas.openxmlformats.org/officeDocument/2006/relationships/image" Target="../media/image38.png"/><Relationship Id="rId1" Type="http://schemas.openxmlformats.org/officeDocument/2006/relationships/chart" Target="../charts/chart8.xml"/><Relationship Id="rId6" Type="http://schemas.openxmlformats.org/officeDocument/2006/relationships/image" Target="../media/image15.svg"/><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43.svg"/><Relationship Id="rId10" Type="http://schemas.openxmlformats.org/officeDocument/2006/relationships/hyperlink" Target="#TR_Triagem!A1"/><Relationship Id="rId4" Type="http://schemas.openxmlformats.org/officeDocument/2006/relationships/hyperlink" Target="#&#205;ndice!A1"/><Relationship Id="rId9" Type="http://schemas.openxmlformats.org/officeDocument/2006/relationships/image" Target="../media/image17.svg"/><Relationship Id="rId14" Type="http://schemas.openxmlformats.org/officeDocument/2006/relationships/image" Target="../media/image42.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hyperlink" Target="#RE_resultados!B49"/><Relationship Id="rId3" Type="http://schemas.openxmlformats.org/officeDocument/2006/relationships/chart" Target="../charts/chart9.xml"/><Relationship Id="rId7" Type="http://schemas.openxmlformats.org/officeDocument/2006/relationships/hyperlink" Target="#'PFs_Instru&#231;&#245;es e PFs'!A1"/><Relationship Id="rId12" Type="http://schemas.openxmlformats.org/officeDocument/2006/relationships/image" Target="../media/image19.svg"/><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15.svg"/><Relationship Id="rId11" Type="http://schemas.openxmlformats.org/officeDocument/2006/relationships/image" Target="../media/image18.png"/><Relationship Id="rId5" Type="http://schemas.openxmlformats.org/officeDocument/2006/relationships/image" Target="../media/image14.png"/><Relationship Id="rId15" Type="http://schemas.openxmlformats.org/officeDocument/2006/relationships/image" Target="../media/image43.svg"/><Relationship Id="rId10" Type="http://schemas.openxmlformats.org/officeDocument/2006/relationships/hyperlink" Target="#TR_Triagem!A1"/><Relationship Id="rId4" Type="http://schemas.openxmlformats.org/officeDocument/2006/relationships/hyperlink" Target="#&#205;ndice!A1"/><Relationship Id="rId9" Type="http://schemas.openxmlformats.org/officeDocument/2006/relationships/image" Target="../media/image17.svg"/><Relationship Id="rId14" Type="http://schemas.openxmlformats.org/officeDocument/2006/relationships/image" Target="../media/image42.png"/></Relationships>
</file>

<file path=xl/drawings/_rels/drawing12.xml.rels><?xml version="1.0" encoding="UTF-8" standalone="yes"?>
<Relationships xmlns="http://schemas.openxmlformats.org/package/2006/relationships"><Relationship Id="rId8" Type="http://schemas.openxmlformats.org/officeDocument/2006/relationships/hyperlink" Target="#'TM1_micromobilidade '!B2"/><Relationship Id="rId13" Type="http://schemas.openxmlformats.org/officeDocument/2006/relationships/image" Target="../media/image49.svg"/><Relationship Id="rId18" Type="http://schemas.openxmlformats.org/officeDocument/2006/relationships/image" Target="../media/image18.png"/><Relationship Id="rId3" Type="http://schemas.openxmlformats.org/officeDocument/2006/relationships/image" Target="../media/image14.png"/><Relationship Id="rId7" Type="http://schemas.openxmlformats.org/officeDocument/2006/relationships/image" Target="../media/image47.svg"/><Relationship Id="rId12" Type="http://schemas.openxmlformats.org/officeDocument/2006/relationships/image" Target="../media/image48.png"/><Relationship Id="rId17" Type="http://schemas.openxmlformats.org/officeDocument/2006/relationships/hyperlink" Target="#TR_Triagem!A1"/><Relationship Id="rId2" Type="http://schemas.openxmlformats.org/officeDocument/2006/relationships/hyperlink" Target="#&#205;ndice!A1"/><Relationship Id="rId16" Type="http://schemas.openxmlformats.org/officeDocument/2006/relationships/image" Target="../media/image17.svg"/><Relationship Id="rId20" Type="http://schemas.openxmlformats.org/officeDocument/2006/relationships/hyperlink" Target="#RE_resultados!B53"/><Relationship Id="rId1" Type="http://schemas.openxmlformats.org/officeDocument/2006/relationships/hyperlink" Target="https://www.google.com/maps/dir/@38.7514368,-11.7050239,7z?hl=en&amp;entry=ttu&amp;g_ep=EgoyMDI1MDcyNy4wIKXMDSoASAFQAw%3D%3D" TargetMode="External"/><Relationship Id="rId6" Type="http://schemas.openxmlformats.org/officeDocument/2006/relationships/image" Target="../media/image46.png"/><Relationship Id="rId11" Type="http://schemas.openxmlformats.org/officeDocument/2006/relationships/image" Target="../media/image43.svg"/><Relationship Id="rId5" Type="http://schemas.openxmlformats.org/officeDocument/2006/relationships/chart" Target="../charts/chart10.xml"/><Relationship Id="rId15" Type="http://schemas.openxmlformats.org/officeDocument/2006/relationships/image" Target="../media/image16.png"/><Relationship Id="rId10" Type="http://schemas.openxmlformats.org/officeDocument/2006/relationships/image" Target="../media/image42.png"/><Relationship Id="rId19" Type="http://schemas.openxmlformats.org/officeDocument/2006/relationships/image" Target="../media/image19.svg"/><Relationship Id="rId4" Type="http://schemas.openxmlformats.org/officeDocument/2006/relationships/image" Target="../media/image15.svg"/><Relationship Id="rId9" Type="http://schemas.openxmlformats.org/officeDocument/2006/relationships/hyperlink" Target="#RE_resultados!B29"/><Relationship Id="rId14" Type="http://schemas.openxmlformats.org/officeDocument/2006/relationships/hyperlink" Target="#'PFs_Instru&#231;&#245;es e PFs'!A1"/></Relationships>
</file>

<file path=xl/drawings/_rels/drawing13.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 Id="rId4"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7.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18.xml.rels><?xml version="1.0" encoding="UTF-8" standalone="yes"?>
<Relationships xmlns="http://schemas.openxmlformats.org/package/2006/relationships"><Relationship Id="rId3" Type="http://schemas.openxmlformats.org/officeDocument/2006/relationships/image" Target="../media/image15.svg"/><Relationship Id="rId2" Type="http://schemas.openxmlformats.org/officeDocument/2006/relationships/image" Target="../media/image14.png"/><Relationship Id="rId1" Type="http://schemas.openxmlformats.org/officeDocument/2006/relationships/hyperlink" Target="#&#205;ndice!A1"/></Relationships>
</file>

<file path=xl/drawings/_rels/drawing2.xml.rels><?xml version="1.0" encoding="UTF-8" standalone="yes"?>
<Relationships xmlns="http://schemas.openxmlformats.org/package/2006/relationships"><Relationship Id="rId2" Type="http://schemas.openxmlformats.org/officeDocument/2006/relationships/hyperlink" Target="#'Combust&#227;o Estacion&#225;ria'!A1"/><Relationship Id="rId1" Type="http://schemas.openxmlformats.org/officeDocument/2006/relationships/hyperlink" Target="#Conte&#250;dos!A1"/></Relationships>
</file>

<file path=xl/drawings/_rels/drawing3.xml.rels><?xml version="1.0" encoding="UTF-8" standalone="yes"?>
<Relationships xmlns="http://schemas.openxmlformats.org/package/2006/relationships"><Relationship Id="rId8" Type="http://schemas.openxmlformats.org/officeDocument/2006/relationships/hyperlink" Target="#'IC_todos os projetos'!A1"/><Relationship Id="rId13" Type="http://schemas.openxmlformats.org/officeDocument/2006/relationships/hyperlink" Target="#'TM5_parques de estacionamento'!A1"/><Relationship Id="rId18" Type="http://schemas.openxmlformats.org/officeDocument/2006/relationships/hyperlink" Target="#Gloss&#225;rio!A1"/><Relationship Id="rId3" Type="http://schemas.openxmlformats.org/officeDocument/2006/relationships/image" Target="../media/image10.png"/><Relationship Id="rId21" Type="http://schemas.openxmlformats.org/officeDocument/2006/relationships/image" Target="../media/image12.png"/><Relationship Id="rId7" Type="http://schemas.openxmlformats.org/officeDocument/2006/relationships/hyperlink" Target="#'TM1_micromobilidade '!A1"/><Relationship Id="rId12" Type="http://schemas.openxmlformats.org/officeDocument/2006/relationships/hyperlink" Target="#'ID_Identifica&#231;&#227;o do projeto'!A1"/><Relationship Id="rId17" Type="http://schemas.openxmlformats.org/officeDocument/2006/relationships/hyperlink" Target="#'Fatores de Emiss&#227;o'!A1"/><Relationship Id="rId2" Type="http://schemas.openxmlformats.org/officeDocument/2006/relationships/image" Target="../media/image2.emf"/><Relationship Id="rId16" Type="http://schemas.openxmlformats.org/officeDocument/2006/relationships/hyperlink" Target="#'Fatores de Convers&#227;o'!A1"/><Relationship Id="rId20" Type="http://schemas.openxmlformats.org/officeDocument/2006/relationships/hyperlink" Target="#&#205;ndice!A1"/><Relationship Id="rId1" Type="http://schemas.openxmlformats.org/officeDocument/2006/relationships/image" Target="../media/image9.jpeg"/><Relationship Id="rId6" Type="http://schemas.openxmlformats.org/officeDocument/2006/relationships/hyperlink" Target="#TR_triagem!A1"/><Relationship Id="rId11" Type="http://schemas.openxmlformats.org/officeDocument/2006/relationships/hyperlink" Target="#'TM4_vias naveg&#225;veis interiores'!A1"/><Relationship Id="rId5" Type="http://schemas.openxmlformats.org/officeDocument/2006/relationships/hyperlink" Target="#'PFs_Instru&#231;&#245;es e PFs'!A1"/><Relationship Id="rId15" Type="http://schemas.openxmlformats.org/officeDocument/2006/relationships/hyperlink" Target="#'C&#225;lculos adicionais_utilizador'!A1"/><Relationship Id="rId10" Type="http://schemas.openxmlformats.org/officeDocument/2006/relationships/hyperlink" Target="#'TM3_ferrovia e metro'!A1"/><Relationship Id="rId19" Type="http://schemas.openxmlformats.org/officeDocument/2006/relationships/hyperlink" Target="#'Ficha t&#233;cnica+ atualiza&#231;&#245;es'!A1"/><Relationship Id="rId4" Type="http://schemas.openxmlformats.org/officeDocument/2006/relationships/image" Target="../media/image11.svg"/><Relationship Id="rId9" Type="http://schemas.openxmlformats.org/officeDocument/2006/relationships/hyperlink" Target="#TM2_rodovia!A1"/><Relationship Id="rId14" Type="http://schemas.openxmlformats.org/officeDocument/2006/relationships/hyperlink" Target="#RE_resultados!A1"/><Relationship Id="rId22" Type="http://schemas.openxmlformats.org/officeDocument/2006/relationships/image" Target="../media/image13.svg"/></Relationships>
</file>

<file path=xl/drawings/_rels/drawing4.xml.rels><?xml version="1.0" encoding="UTF-8" standalone="yes"?>
<Relationships xmlns="http://schemas.openxmlformats.org/package/2006/relationships"><Relationship Id="rId8" Type="http://schemas.openxmlformats.org/officeDocument/2006/relationships/hyperlink" Target="#'PFs_Instru&#231;&#245;es e PFs'!B81"/><Relationship Id="rId3" Type="http://schemas.openxmlformats.org/officeDocument/2006/relationships/hyperlink" Target="#&#205;ndice!A1"/><Relationship Id="rId7" Type="http://schemas.openxmlformats.org/officeDocument/2006/relationships/hyperlink" Target="#'PFs_Instru&#231;&#245;es e PFs'!B53"/><Relationship Id="rId2" Type="http://schemas.openxmlformats.org/officeDocument/2006/relationships/hyperlink" Target="#'PFs_Instru&#231;&#245;es e PFs'!B16"/><Relationship Id="rId1" Type="http://schemas.openxmlformats.org/officeDocument/2006/relationships/image" Target="../media/image2.emf"/><Relationship Id="rId6" Type="http://schemas.openxmlformats.org/officeDocument/2006/relationships/image" Target="../media/image8.png"/><Relationship Id="rId5" Type="http://schemas.openxmlformats.org/officeDocument/2006/relationships/image" Target="../media/image15.svg"/><Relationship Id="rId4" Type="http://schemas.openxmlformats.org/officeDocument/2006/relationships/image" Target="../media/image14.png"/><Relationship Id="rId9" Type="http://schemas.openxmlformats.org/officeDocument/2006/relationships/hyperlink" Target="#'PFs_Instru&#231;&#245;es e PFs'!A130"/></Relationships>
</file>

<file path=xl/drawings/_rels/drawing5.xml.rels><?xml version="1.0" encoding="UTF-8" standalone="yes"?>
<Relationships xmlns="http://schemas.openxmlformats.org/package/2006/relationships"><Relationship Id="rId8" Type="http://schemas.openxmlformats.org/officeDocument/2006/relationships/image" Target="../media/image19.svg"/><Relationship Id="rId3" Type="http://schemas.openxmlformats.org/officeDocument/2006/relationships/image" Target="../media/image15.svg"/><Relationship Id="rId7" Type="http://schemas.openxmlformats.org/officeDocument/2006/relationships/image" Target="../media/image18.png"/><Relationship Id="rId2" Type="http://schemas.openxmlformats.org/officeDocument/2006/relationships/image" Target="../media/image14.png"/><Relationship Id="rId1" Type="http://schemas.openxmlformats.org/officeDocument/2006/relationships/hyperlink" Target="#&#205;ndice!A1"/><Relationship Id="rId6" Type="http://schemas.openxmlformats.org/officeDocument/2006/relationships/image" Target="../media/image17.svg"/><Relationship Id="rId5" Type="http://schemas.openxmlformats.org/officeDocument/2006/relationships/image" Target="../media/image16.png"/><Relationship Id="rId4" Type="http://schemas.openxmlformats.org/officeDocument/2006/relationships/hyperlink" Target="#'PFs_Instru&#231;&#245;es e PFs'!A1"/></Relationships>
</file>

<file path=xl/drawings/_rels/drawing6.xml.rels><?xml version="1.0" encoding="UTF-8" standalone="yes"?>
<Relationships xmlns="http://schemas.openxmlformats.org/package/2006/relationships"><Relationship Id="rId8" Type="http://schemas.openxmlformats.org/officeDocument/2006/relationships/hyperlink" Target="#TR_triagem!A1"/><Relationship Id="rId13" Type="http://schemas.openxmlformats.org/officeDocument/2006/relationships/image" Target="../media/image21.svg"/><Relationship Id="rId3" Type="http://schemas.openxmlformats.org/officeDocument/2006/relationships/image" Target="../media/image15.svg"/><Relationship Id="rId7" Type="http://schemas.openxmlformats.org/officeDocument/2006/relationships/hyperlink" Target="#'PFs_Instru&#231;&#245;es e PFs'!A1"/><Relationship Id="rId12" Type="http://schemas.openxmlformats.org/officeDocument/2006/relationships/image" Target="../media/image20.png"/><Relationship Id="rId2" Type="http://schemas.openxmlformats.org/officeDocument/2006/relationships/image" Target="../media/image14.png"/><Relationship Id="rId1" Type="http://schemas.openxmlformats.org/officeDocument/2006/relationships/hyperlink" Target="#&#237;ndice!A1"/><Relationship Id="rId6" Type="http://schemas.openxmlformats.org/officeDocument/2006/relationships/image" Target="../media/image17.svg"/><Relationship Id="rId11" Type="http://schemas.openxmlformats.org/officeDocument/2006/relationships/image" Target="../media/image19.svg"/><Relationship Id="rId5" Type="http://schemas.openxmlformats.org/officeDocument/2006/relationships/image" Target="../media/image16.png"/><Relationship Id="rId10" Type="http://schemas.openxmlformats.org/officeDocument/2006/relationships/image" Target="../media/image18.png"/><Relationship Id="rId4" Type="http://schemas.openxmlformats.org/officeDocument/2006/relationships/hyperlink" Target="#'Instru&#231;&#245;es e PFs'!A1"/><Relationship Id="rId9" Type="http://schemas.openxmlformats.org/officeDocument/2006/relationships/hyperlink" Target="#&#205;ndice!A1"/></Relationships>
</file>

<file path=xl/drawings/_rels/drawing7.xml.rels><?xml version="1.0" encoding="UTF-8" standalone="yes"?>
<Relationships xmlns="http://schemas.openxmlformats.org/package/2006/relationships"><Relationship Id="rId8" Type="http://schemas.openxmlformats.org/officeDocument/2006/relationships/image" Target="../media/image29.svg"/><Relationship Id="rId13" Type="http://schemas.openxmlformats.org/officeDocument/2006/relationships/image" Target="../media/image32.png"/><Relationship Id="rId18" Type="http://schemas.openxmlformats.org/officeDocument/2006/relationships/chart" Target="../charts/chart2.xml"/><Relationship Id="rId26" Type="http://schemas.openxmlformats.org/officeDocument/2006/relationships/chart" Target="../charts/chart5.xml"/><Relationship Id="rId3" Type="http://schemas.openxmlformats.org/officeDocument/2006/relationships/image" Target="../media/image24.png"/><Relationship Id="rId21" Type="http://schemas.openxmlformats.org/officeDocument/2006/relationships/chart" Target="../charts/chart4.xml"/><Relationship Id="rId34" Type="http://schemas.openxmlformats.org/officeDocument/2006/relationships/image" Target="../media/image17.svg"/><Relationship Id="rId7" Type="http://schemas.openxmlformats.org/officeDocument/2006/relationships/image" Target="../media/image28.png"/><Relationship Id="rId12" Type="http://schemas.openxmlformats.org/officeDocument/2006/relationships/image" Target="../media/image11.svg"/><Relationship Id="rId17" Type="http://schemas.openxmlformats.org/officeDocument/2006/relationships/chart" Target="../charts/chart1.xml"/><Relationship Id="rId25" Type="http://schemas.openxmlformats.org/officeDocument/2006/relationships/image" Target="../media/image39.svg"/><Relationship Id="rId33" Type="http://schemas.openxmlformats.org/officeDocument/2006/relationships/image" Target="../media/image16.png"/><Relationship Id="rId38" Type="http://schemas.openxmlformats.org/officeDocument/2006/relationships/image" Target="../media/image19.svg"/><Relationship Id="rId2" Type="http://schemas.openxmlformats.org/officeDocument/2006/relationships/image" Target="../media/image23.svg"/><Relationship Id="rId16" Type="http://schemas.openxmlformats.org/officeDocument/2006/relationships/image" Target="../media/image35.svg"/><Relationship Id="rId20" Type="http://schemas.openxmlformats.org/officeDocument/2006/relationships/hyperlink" Target="https://apambiente.pt/clima/fator-de-emissao-de-gases-de-efeito-de-estufa-para-eletricidade-produzida-em-portugal" TargetMode="External"/><Relationship Id="rId29" Type="http://schemas.openxmlformats.org/officeDocument/2006/relationships/hyperlink" Target="#&#205;ndice!A1"/><Relationship Id="rId1" Type="http://schemas.openxmlformats.org/officeDocument/2006/relationships/image" Target="../media/image22.png"/><Relationship Id="rId6" Type="http://schemas.openxmlformats.org/officeDocument/2006/relationships/image" Target="../media/image27.svg"/><Relationship Id="rId11" Type="http://schemas.openxmlformats.org/officeDocument/2006/relationships/image" Target="../media/image10.png"/><Relationship Id="rId24" Type="http://schemas.openxmlformats.org/officeDocument/2006/relationships/image" Target="../media/image38.png"/><Relationship Id="rId32" Type="http://schemas.openxmlformats.org/officeDocument/2006/relationships/hyperlink" Target="#'Instru&#231;&#245;es e PFs'!A1"/><Relationship Id="rId37" Type="http://schemas.openxmlformats.org/officeDocument/2006/relationships/image" Target="../media/image18.png"/><Relationship Id="rId5" Type="http://schemas.openxmlformats.org/officeDocument/2006/relationships/image" Target="../media/image26.png"/><Relationship Id="rId15" Type="http://schemas.openxmlformats.org/officeDocument/2006/relationships/image" Target="../media/image34.png"/><Relationship Id="rId23" Type="http://schemas.openxmlformats.org/officeDocument/2006/relationships/image" Target="../media/image37.svg"/><Relationship Id="rId28" Type="http://schemas.openxmlformats.org/officeDocument/2006/relationships/image" Target="../media/image41.svg"/><Relationship Id="rId36" Type="http://schemas.openxmlformats.org/officeDocument/2006/relationships/hyperlink" Target="#TR_Triagem!A1"/><Relationship Id="rId10" Type="http://schemas.openxmlformats.org/officeDocument/2006/relationships/image" Target="../media/image31.svg"/><Relationship Id="rId19" Type="http://schemas.openxmlformats.org/officeDocument/2006/relationships/chart" Target="../charts/chart3.xml"/><Relationship Id="rId31" Type="http://schemas.openxmlformats.org/officeDocument/2006/relationships/image" Target="../media/image15.svg"/><Relationship Id="rId4" Type="http://schemas.openxmlformats.org/officeDocument/2006/relationships/image" Target="../media/image25.svg"/><Relationship Id="rId9" Type="http://schemas.openxmlformats.org/officeDocument/2006/relationships/image" Target="../media/image30.png"/><Relationship Id="rId14" Type="http://schemas.openxmlformats.org/officeDocument/2006/relationships/image" Target="../media/image33.svg"/><Relationship Id="rId22" Type="http://schemas.openxmlformats.org/officeDocument/2006/relationships/image" Target="../media/image36.png"/><Relationship Id="rId27" Type="http://schemas.openxmlformats.org/officeDocument/2006/relationships/image" Target="../media/image40.png"/><Relationship Id="rId30" Type="http://schemas.openxmlformats.org/officeDocument/2006/relationships/image" Target="../media/image14.png"/><Relationship Id="rId35" Type="http://schemas.openxmlformats.org/officeDocument/2006/relationships/hyperlink" Target="#'PFs_Instru&#231;&#245;es e PFs'!A1"/></Relationships>
</file>

<file path=xl/drawings/_rels/drawing8.xml.rels><?xml version="1.0" encoding="UTF-8" standalone="yes"?>
<Relationships xmlns="http://schemas.openxmlformats.org/package/2006/relationships"><Relationship Id="rId8" Type="http://schemas.openxmlformats.org/officeDocument/2006/relationships/hyperlink" Target="#&#205;ndice!A1"/><Relationship Id="rId13" Type="http://schemas.openxmlformats.org/officeDocument/2006/relationships/image" Target="../media/image17.svg"/><Relationship Id="rId3" Type="http://schemas.openxmlformats.org/officeDocument/2006/relationships/hyperlink" Target="https://www.google.com/maps/dir/@38.7514368,-11.7050239,7z?hl=en&amp;entry=ttu&amp;g_ep=EgoyMDI1MDcyNy4wIKXMDSoASAFQAw%3D%3D" TargetMode="External"/><Relationship Id="rId7" Type="http://schemas.openxmlformats.org/officeDocument/2006/relationships/image" Target="../media/image43.svg"/><Relationship Id="rId12" Type="http://schemas.openxmlformats.org/officeDocument/2006/relationships/image" Target="../media/image16.png"/><Relationship Id="rId17" Type="http://schemas.openxmlformats.org/officeDocument/2006/relationships/image" Target="../media/image19.svg"/><Relationship Id="rId2" Type="http://schemas.openxmlformats.org/officeDocument/2006/relationships/image" Target="../media/image31.svg"/><Relationship Id="rId16" Type="http://schemas.openxmlformats.org/officeDocument/2006/relationships/image" Target="../media/image18.png"/><Relationship Id="rId1" Type="http://schemas.openxmlformats.org/officeDocument/2006/relationships/image" Target="../media/image30.png"/><Relationship Id="rId6" Type="http://schemas.openxmlformats.org/officeDocument/2006/relationships/image" Target="../media/image42.png"/><Relationship Id="rId11" Type="http://schemas.openxmlformats.org/officeDocument/2006/relationships/hyperlink" Target="#'Instru&#231;&#245;es e PFs'!A1"/><Relationship Id="rId5" Type="http://schemas.openxmlformats.org/officeDocument/2006/relationships/hyperlink" Target="#RE_resultados!B49"/><Relationship Id="rId15" Type="http://schemas.openxmlformats.org/officeDocument/2006/relationships/hyperlink" Target="#TR_Triagem!A1"/><Relationship Id="rId10" Type="http://schemas.openxmlformats.org/officeDocument/2006/relationships/image" Target="../media/image15.svg"/><Relationship Id="rId4" Type="http://schemas.openxmlformats.org/officeDocument/2006/relationships/chart" Target="../charts/chart6.xml"/><Relationship Id="rId9" Type="http://schemas.openxmlformats.org/officeDocument/2006/relationships/image" Target="../media/image14.png"/><Relationship Id="rId14" Type="http://schemas.openxmlformats.org/officeDocument/2006/relationships/hyperlink" Target="#'PFs_Instru&#231;&#245;es e PFs'!A1"/></Relationships>
</file>

<file path=xl/drawings/_rels/drawing9.xml.rels><?xml version="1.0" encoding="UTF-8" standalone="yes"?>
<Relationships xmlns="http://schemas.openxmlformats.org/package/2006/relationships"><Relationship Id="rId8" Type="http://schemas.openxmlformats.org/officeDocument/2006/relationships/hyperlink" Target="#RE_resultados!A1"/><Relationship Id="rId13" Type="http://schemas.openxmlformats.org/officeDocument/2006/relationships/hyperlink" Target="#TR_Triagem!A1"/><Relationship Id="rId18" Type="http://schemas.openxmlformats.org/officeDocument/2006/relationships/image" Target="../media/image36.png"/><Relationship Id="rId3" Type="http://schemas.openxmlformats.org/officeDocument/2006/relationships/image" Target="../media/image44.png"/><Relationship Id="rId7" Type="http://schemas.openxmlformats.org/officeDocument/2006/relationships/image" Target="../media/image15.svg"/><Relationship Id="rId12" Type="http://schemas.openxmlformats.org/officeDocument/2006/relationships/image" Target="../media/image17.svg"/><Relationship Id="rId17" Type="http://schemas.openxmlformats.org/officeDocument/2006/relationships/image" Target="../media/image43.svg"/><Relationship Id="rId2" Type="http://schemas.openxmlformats.org/officeDocument/2006/relationships/hyperlink" Target="#M4_Resultados!A1"/><Relationship Id="rId16" Type="http://schemas.openxmlformats.org/officeDocument/2006/relationships/image" Target="../media/image42.png"/><Relationship Id="rId1" Type="http://schemas.openxmlformats.org/officeDocument/2006/relationships/hyperlink" Target="#RE_resultados!B49"/><Relationship Id="rId6" Type="http://schemas.openxmlformats.org/officeDocument/2006/relationships/image" Target="../media/image14.png"/><Relationship Id="rId11" Type="http://schemas.openxmlformats.org/officeDocument/2006/relationships/image" Target="../media/image16.png"/><Relationship Id="rId5" Type="http://schemas.openxmlformats.org/officeDocument/2006/relationships/hyperlink" Target="#&#205;ndice!A1"/><Relationship Id="rId15" Type="http://schemas.openxmlformats.org/officeDocument/2006/relationships/image" Target="../media/image19.svg"/><Relationship Id="rId10" Type="http://schemas.openxmlformats.org/officeDocument/2006/relationships/hyperlink" Target="#'PFs_Instru&#231;&#245;es e PFs'!A1"/><Relationship Id="rId19" Type="http://schemas.openxmlformats.org/officeDocument/2006/relationships/image" Target="../media/image37.svg"/><Relationship Id="rId4" Type="http://schemas.openxmlformats.org/officeDocument/2006/relationships/image" Target="../media/image45.svg"/><Relationship Id="rId9" Type="http://schemas.openxmlformats.org/officeDocument/2006/relationships/chart" Target="../charts/chart7.xml"/><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95252</xdr:rowOff>
    </xdr:from>
    <xdr:to>
      <xdr:col>24</xdr:col>
      <xdr:colOff>371475</xdr:colOff>
      <xdr:row>28</xdr:row>
      <xdr:rowOff>123825</xdr:rowOff>
    </xdr:to>
    <xdr:pic>
      <xdr:nvPicPr>
        <xdr:cNvPr id="2" name="Picture 1" descr="Person sitting on bus">
          <a:extLst>
            <a:ext uri="{FF2B5EF4-FFF2-40B4-BE49-F238E27FC236}">
              <a16:creationId xmlns:a16="http://schemas.microsoft.com/office/drawing/2014/main" id="{F07B19D2-510C-4B13-B241-4E480E9B3C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559"/>
        <a:stretch>
          <a:fillRect/>
        </a:stretch>
      </xdr:blipFill>
      <xdr:spPr>
        <a:xfrm>
          <a:off x="0" y="95252"/>
          <a:ext cx="14544675" cy="7619998"/>
        </a:xfrm>
        <a:prstGeom prst="rect">
          <a:avLst/>
        </a:prstGeom>
      </xdr:spPr>
    </xdr:pic>
    <xdr:clientData/>
  </xdr:twoCellAnchor>
  <xdr:twoCellAnchor>
    <xdr:from>
      <xdr:col>0</xdr:col>
      <xdr:colOff>0</xdr:colOff>
      <xdr:row>0</xdr:row>
      <xdr:rowOff>0</xdr:rowOff>
    </xdr:from>
    <xdr:to>
      <xdr:col>25</xdr:col>
      <xdr:colOff>372537</xdr:colOff>
      <xdr:row>6</xdr:row>
      <xdr:rowOff>143932</xdr:rowOff>
    </xdr:to>
    <xdr:sp macro="" textlink="">
      <xdr:nvSpPr>
        <xdr:cNvPr id="3" name="Rectangle 2">
          <a:extLst>
            <a:ext uri="{FF2B5EF4-FFF2-40B4-BE49-F238E27FC236}">
              <a16:creationId xmlns:a16="http://schemas.microsoft.com/office/drawing/2014/main" id="{217C94A6-1BC7-4E4F-A94C-C268324DBB08}"/>
            </a:ext>
          </a:extLst>
        </xdr:cNvPr>
        <xdr:cNvSpPr/>
      </xdr:nvSpPr>
      <xdr:spPr>
        <a:xfrm>
          <a:off x="0" y="0"/>
          <a:ext cx="15340394" cy="1515532"/>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22</xdr:col>
      <xdr:colOff>354874</xdr:colOff>
      <xdr:row>11</xdr:row>
      <xdr:rowOff>0</xdr:rowOff>
    </xdr:from>
    <xdr:to>
      <xdr:col>22</xdr:col>
      <xdr:colOff>354874</xdr:colOff>
      <xdr:row>36</xdr:row>
      <xdr:rowOff>89261</xdr:rowOff>
    </xdr:to>
    <xdr:pic>
      <xdr:nvPicPr>
        <xdr:cNvPr id="4" name="Picture 3">
          <a:extLst>
            <a:ext uri="{FF2B5EF4-FFF2-40B4-BE49-F238E27FC236}">
              <a16:creationId xmlns:a16="http://schemas.microsoft.com/office/drawing/2014/main" id="{F53114D4-1E3C-4481-B952-8C433C7923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30794" y="2583180"/>
          <a:ext cx="0" cy="655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314887</xdr:colOff>
      <xdr:row>0</xdr:row>
      <xdr:rowOff>0</xdr:rowOff>
    </xdr:from>
    <xdr:to>
      <xdr:col>16</xdr:col>
      <xdr:colOff>304800</xdr:colOff>
      <xdr:row>6</xdr:row>
      <xdr:rowOff>4354</xdr:rowOff>
    </xdr:to>
    <xdr:grpSp>
      <xdr:nvGrpSpPr>
        <xdr:cNvPr id="5" name="Group 4">
          <a:extLst>
            <a:ext uri="{FF2B5EF4-FFF2-40B4-BE49-F238E27FC236}">
              <a16:creationId xmlns:a16="http://schemas.microsoft.com/office/drawing/2014/main" id="{3455E526-8B6F-4DFC-88D9-53A5820A2CBA}"/>
            </a:ext>
          </a:extLst>
        </xdr:cNvPr>
        <xdr:cNvGrpSpPr/>
      </xdr:nvGrpSpPr>
      <xdr:grpSpPr>
        <a:xfrm>
          <a:off x="314887" y="0"/>
          <a:ext cx="9324413" cy="1433104"/>
          <a:chOff x="420546" y="647283"/>
          <a:chExt cx="10262207" cy="1139559"/>
        </a:xfrm>
      </xdr:grpSpPr>
      <xdr:sp macro="" textlink="">
        <xdr:nvSpPr>
          <xdr:cNvPr id="6" name="CaixaDeTexto 10">
            <a:extLst>
              <a:ext uri="{FF2B5EF4-FFF2-40B4-BE49-F238E27FC236}">
                <a16:creationId xmlns:a16="http://schemas.microsoft.com/office/drawing/2014/main" id="{64265DCF-3327-C955-F1B3-4E04593BFA9B}"/>
              </a:ext>
            </a:extLst>
          </xdr:cNvPr>
          <xdr:cNvSpPr txBox="1"/>
        </xdr:nvSpPr>
        <xdr:spPr>
          <a:xfrm>
            <a:off x="420546" y="647283"/>
            <a:ext cx="10262207" cy="1139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pt-PT" sz="5400" b="1">
                <a:solidFill>
                  <a:srgbClr val="02A39C"/>
                </a:solidFill>
                <a:latin typeface="+mn-lt"/>
                <a:cs typeface="Poppins" panose="00000500000000000000" pitchFamily="2" charset="0"/>
              </a:rPr>
              <a:t>GEE_mobilidade</a:t>
            </a:r>
            <a:r>
              <a:rPr lang="pt-PT" sz="5400" b="1" baseline="0">
                <a:solidFill>
                  <a:srgbClr val="02A39C"/>
                </a:solidFill>
                <a:latin typeface="+mn-lt"/>
                <a:cs typeface="Poppins" panose="00000500000000000000" pitchFamily="2" charset="0"/>
              </a:rPr>
              <a:t> </a:t>
            </a:r>
            <a:endParaRPr lang="pt-PT" sz="5400" b="1">
              <a:solidFill>
                <a:srgbClr val="02A39C"/>
              </a:solidFill>
              <a:latin typeface="+mn-lt"/>
              <a:cs typeface="Poppins" panose="00000500000000000000" pitchFamily="2" charset="0"/>
            </a:endParaRPr>
          </a:p>
          <a:p>
            <a:r>
              <a:rPr lang="pt-PT" sz="2800" b="1">
                <a:solidFill>
                  <a:schemeClr val="accent6">
                    <a:lumMod val="60000"/>
                    <a:lumOff val="40000"/>
                  </a:schemeClr>
                </a:solidFill>
                <a:latin typeface="+mn-lt"/>
                <a:cs typeface="Poppins" panose="00000500000000000000" pitchFamily="2" charset="0"/>
              </a:rPr>
              <a:t>Calculadora de</a:t>
            </a:r>
            <a:r>
              <a:rPr lang="pt-PT" sz="2800" b="1" baseline="0">
                <a:solidFill>
                  <a:schemeClr val="accent6">
                    <a:lumMod val="60000"/>
                    <a:lumOff val="40000"/>
                  </a:schemeClr>
                </a:solidFill>
                <a:latin typeface="+mn-lt"/>
                <a:cs typeface="Poppins" panose="00000500000000000000" pitchFamily="2" charset="0"/>
              </a:rPr>
              <a:t> </a:t>
            </a:r>
            <a:r>
              <a:rPr lang="pt-PT" sz="2800" b="1">
                <a:solidFill>
                  <a:schemeClr val="accent6">
                    <a:lumMod val="60000"/>
                    <a:lumOff val="40000"/>
                  </a:schemeClr>
                </a:solidFill>
                <a:latin typeface="+mn-lt"/>
                <a:ea typeface="+mn-ea"/>
                <a:cs typeface="Poppins" panose="00000500000000000000" pitchFamily="2" charset="0"/>
              </a:rPr>
              <a:t>GEE para projetos de mobilidade urbana</a:t>
            </a:r>
          </a:p>
        </xdr:txBody>
      </xdr:sp>
      <xdr:sp macro="" textlink="">
        <xdr:nvSpPr>
          <xdr:cNvPr id="7" name="CaixaDeTexto 14">
            <a:extLst>
              <a:ext uri="{FF2B5EF4-FFF2-40B4-BE49-F238E27FC236}">
                <a16:creationId xmlns:a16="http://schemas.microsoft.com/office/drawing/2014/main" id="{A8A11DFC-E639-599D-89C2-5E5E00A944EB}"/>
              </a:ext>
            </a:extLst>
          </xdr:cNvPr>
          <xdr:cNvSpPr txBox="1"/>
        </xdr:nvSpPr>
        <xdr:spPr>
          <a:xfrm>
            <a:off x="5687626" y="801066"/>
            <a:ext cx="1431490" cy="533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PT" sz="1100" b="0">
                <a:solidFill>
                  <a:sysClr val="windowText" lastClr="000000"/>
                </a:solidFill>
                <a:latin typeface="Poppins" panose="00000500000000000000" pitchFamily="2" charset="0"/>
                <a:cs typeface="Poppins" panose="00000500000000000000" pitchFamily="2" charset="0"/>
              </a:rPr>
              <a:t>Versão de</a:t>
            </a:r>
          </a:p>
          <a:p>
            <a:r>
              <a:rPr lang="pt-PT" sz="1100" b="0">
                <a:solidFill>
                  <a:sysClr val="windowText" lastClr="000000"/>
                </a:solidFill>
                <a:latin typeface="Poppins" panose="00000500000000000000" pitchFamily="2" charset="0"/>
                <a:cs typeface="Poppins" panose="00000500000000000000" pitchFamily="2" charset="0"/>
              </a:rPr>
              <a:t>Outubro 2025</a:t>
            </a:r>
          </a:p>
        </xdr:txBody>
      </xdr:sp>
    </xdr:grpSp>
    <xdr:clientData/>
  </xdr:twoCellAnchor>
  <xdr:twoCellAnchor>
    <xdr:from>
      <xdr:col>0</xdr:col>
      <xdr:colOff>85042</xdr:colOff>
      <xdr:row>6</xdr:row>
      <xdr:rowOff>145676</xdr:rowOff>
    </xdr:from>
    <xdr:to>
      <xdr:col>13</xdr:col>
      <xdr:colOff>180975</xdr:colOff>
      <xdr:row>28</xdr:row>
      <xdr:rowOff>28574</xdr:rowOff>
    </xdr:to>
    <xdr:sp macro="" textlink="">
      <xdr:nvSpPr>
        <xdr:cNvPr id="8" name="Flowchart: Alternative Process 7">
          <a:extLst>
            <a:ext uri="{FF2B5EF4-FFF2-40B4-BE49-F238E27FC236}">
              <a16:creationId xmlns:a16="http://schemas.microsoft.com/office/drawing/2014/main" id="{B06571B7-1DF9-4583-A5F2-64924019BA46}"/>
            </a:ext>
          </a:extLst>
        </xdr:cNvPr>
        <xdr:cNvSpPr/>
      </xdr:nvSpPr>
      <xdr:spPr>
        <a:xfrm>
          <a:off x="85042" y="1517276"/>
          <a:ext cx="7773083" cy="6102723"/>
        </a:xfrm>
        <a:prstGeom prst="flowChartAlternateProcess">
          <a:avLst/>
        </a:prstGeom>
        <a:solidFill>
          <a:srgbClr val="A3D9FF">
            <a:alpha val="85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editAs="oneCell">
    <xdr:from>
      <xdr:col>16</xdr:col>
      <xdr:colOff>421062</xdr:colOff>
      <xdr:row>1</xdr:row>
      <xdr:rowOff>146050</xdr:rowOff>
    </xdr:from>
    <xdr:to>
      <xdr:col>25</xdr:col>
      <xdr:colOff>323090</xdr:colOff>
      <xdr:row>4</xdr:row>
      <xdr:rowOff>63512</xdr:rowOff>
    </xdr:to>
    <xdr:pic>
      <xdr:nvPicPr>
        <xdr:cNvPr id="9" name="Picture 8">
          <a:hlinkClick xmlns:r="http://schemas.openxmlformats.org/officeDocument/2006/relationships" r:id="rId3"/>
          <a:extLst>
            <a:ext uri="{FF2B5EF4-FFF2-40B4-BE49-F238E27FC236}">
              <a16:creationId xmlns:a16="http://schemas.microsoft.com/office/drawing/2014/main" id="{9B1874A0-B4A8-4193-AB0D-D8AE04B79A73}"/>
            </a:ext>
          </a:extLst>
        </xdr:cNvPr>
        <xdr:cNvPicPr>
          <a:picLocks noChangeAspect="1"/>
        </xdr:cNvPicPr>
      </xdr:nvPicPr>
      <xdr:blipFill>
        <a:blip xmlns:r="http://schemas.openxmlformats.org/officeDocument/2006/relationships" r:embed="rId4"/>
        <a:stretch>
          <a:fillRect/>
        </a:stretch>
      </xdr:blipFill>
      <xdr:spPr>
        <a:xfrm>
          <a:off x="9869862" y="374650"/>
          <a:ext cx="5216978" cy="603262"/>
        </a:xfrm>
        <a:prstGeom prst="rect">
          <a:avLst/>
        </a:prstGeom>
      </xdr:spPr>
    </xdr:pic>
    <xdr:clientData/>
  </xdr:twoCellAnchor>
  <xdr:twoCellAnchor>
    <xdr:from>
      <xdr:col>1</xdr:col>
      <xdr:colOff>205978</xdr:colOff>
      <xdr:row>7</xdr:row>
      <xdr:rowOff>15198</xdr:rowOff>
    </xdr:from>
    <xdr:to>
      <xdr:col>11</xdr:col>
      <xdr:colOff>253999</xdr:colOff>
      <xdr:row>27</xdr:row>
      <xdr:rowOff>76199</xdr:rowOff>
    </xdr:to>
    <xdr:sp macro="" textlink="">
      <xdr:nvSpPr>
        <xdr:cNvPr id="11" name="TextBox 10">
          <a:extLst>
            <a:ext uri="{FF2B5EF4-FFF2-40B4-BE49-F238E27FC236}">
              <a16:creationId xmlns:a16="http://schemas.microsoft.com/office/drawing/2014/main" id="{5C594028-ED58-4A71-9BBE-81CC0F75BEB8}"/>
            </a:ext>
          </a:extLst>
        </xdr:cNvPr>
        <xdr:cNvSpPr txBox="1"/>
      </xdr:nvSpPr>
      <xdr:spPr>
        <a:xfrm>
          <a:off x="802878" y="1615398"/>
          <a:ext cx="6017021" cy="5877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i="0">
              <a:solidFill>
                <a:srgbClr val="01635E"/>
              </a:solidFill>
              <a:effectLst/>
              <a:latin typeface="Aptos" panose="020B0004020202020204" pitchFamily="34" charset="0"/>
              <a:ea typeface="+mn-ea"/>
              <a:cs typeface="+mn-cs"/>
            </a:rPr>
            <a:t>Enquadramento</a:t>
          </a:r>
        </a:p>
        <a:p>
          <a:endParaRPr lang="en-GB" sz="2400">
            <a:solidFill>
              <a:srgbClr val="01635E"/>
            </a:solidFill>
            <a:effectLst/>
            <a:latin typeface="Aptos" panose="020B0004020202020204" pitchFamily="34" charset="0"/>
          </a:endParaRPr>
        </a:p>
        <a:p>
          <a:r>
            <a:rPr lang="en-GB" sz="1600">
              <a:solidFill>
                <a:srgbClr val="015F5B"/>
              </a:solidFill>
              <a:effectLst/>
              <a:latin typeface="Aptos" panose="020B0004020202020204" pitchFamily="34" charset="0"/>
              <a:ea typeface="+mn-ea"/>
              <a:cs typeface="+mn-cs"/>
            </a:rPr>
            <a:t>A </a:t>
          </a:r>
          <a:r>
            <a:rPr lang="en-GB" sz="1600" b="1">
              <a:solidFill>
                <a:srgbClr val="015F5B"/>
              </a:solidFill>
              <a:effectLst/>
              <a:latin typeface="Aptos" panose="020B0004020202020204" pitchFamily="34" charset="0"/>
              <a:ea typeface="+mn-ea"/>
              <a:cs typeface="+mn-cs"/>
            </a:rPr>
            <a:t>GEE_mobilidade</a:t>
          </a:r>
          <a:r>
            <a:rPr lang="en-GB" sz="1600" b="1" baseline="0">
              <a:solidFill>
                <a:srgbClr val="015F5B"/>
              </a:solidFill>
              <a:effectLst/>
              <a:latin typeface="Aptos" panose="020B0004020202020204" pitchFamily="34" charset="0"/>
              <a:ea typeface="+mn-ea"/>
              <a:cs typeface="+mn-cs"/>
            </a:rPr>
            <a:t> </a:t>
          </a:r>
          <a:r>
            <a:rPr lang="en-GB" sz="1600" baseline="0">
              <a:solidFill>
                <a:srgbClr val="015F5B"/>
              </a:solidFill>
              <a:effectLst/>
              <a:latin typeface="Aptos" panose="020B0004020202020204" pitchFamily="34" charset="0"/>
              <a:ea typeface="+mn-ea"/>
              <a:cs typeface="+mn-cs"/>
            </a:rPr>
            <a:t>é uma </a:t>
          </a:r>
          <a:r>
            <a:rPr lang="en-GB" sz="1600">
              <a:solidFill>
                <a:srgbClr val="015F5B"/>
              </a:solidFill>
              <a:effectLst/>
              <a:latin typeface="Aptos" panose="020B0004020202020204" pitchFamily="34" charset="0"/>
              <a:ea typeface="+mn-ea"/>
              <a:cs typeface="+mn-cs"/>
            </a:rPr>
            <a:t>calculadora de emissões de gases com efeito de estufa (</a:t>
          </a:r>
          <a:r>
            <a:rPr lang="en-GB" sz="1600" b="1">
              <a:solidFill>
                <a:srgbClr val="015F5B"/>
              </a:solidFill>
              <a:effectLst/>
              <a:latin typeface="Aptos" panose="020B0004020202020204" pitchFamily="34" charset="0"/>
              <a:ea typeface="+mn-ea"/>
              <a:cs typeface="+mn-cs"/>
            </a:rPr>
            <a:t>GEE</a:t>
          </a:r>
          <a:r>
            <a:rPr lang="en-GB" sz="1600">
              <a:solidFill>
                <a:srgbClr val="015F5B"/>
              </a:solidFill>
              <a:effectLst/>
              <a:latin typeface="Aptos" panose="020B0004020202020204" pitchFamily="34" charset="0"/>
              <a:ea typeface="+mn-ea"/>
              <a:cs typeface="+mn-cs"/>
            </a:rPr>
            <a:t>) para </a:t>
          </a:r>
          <a:r>
            <a:rPr lang="pt-PT" sz="1600" b="1">
              <a:solidFill>
                <a:srgbClr val="015F5B"/>
              </a:solidFill>
              <a:effectLst/>
              <a:latin typeface="Aptos" panose="020B0004020202020204" pitchFamily="34" charset="0"/>
              <a:ea typeface="+mn-ea"/>
              <a:cs typeface="+mn-cs"/>
            </a:rPr>
            <a:t>projetos de vias/infraestruturas de mobilidade, incluindo ferrovia e metros, mobilidade urbana e de transporte de passageiros urbano</a:t>
          </a:r>
          <a:r>
            <a:rPr lang="en-GB" sz="1600" b="0">
              <a:solidFill>
                <a:srgbClr val="015F5B"/>
              </a:solidFill>
              <a:effectLst/>
              <a:latin typeface="Aptos" panose="020B0004020202020204" pitchFamily="34" charset="0"/>
              <a:ea typeface="+mn-ea"/>
              <a:cs typeface="+mn-cs"/>
            </a:rPr>
            <a:t>.</a:t>
          </a:r>
          <a:r>
            <a:rPr lang="en-GB" sz="1600" b="0" baseline="0">
              <a:solidFill>
                <a:srgbClr val="015F5B"/>
              </a:solidFill>
              <a:effectLst/>
              <a:latin typeface="Aptos" panose="020B0004020202020204" pitchFamily="34" charset="0"/>
              <a:ea typeface="+mn-ea"/>
              <a:cs typeface="+mn-cs"/>
            </a:rPr>
            <a:t> D</a:t>
          </a:r>
          <a:r>
            <a:rPr lang="en-GB" sz="1600">
              <a:solidFill>
                <a:srgbClr val="015F5B"/>
              </a:solidFill>
              <a:effectLst/>
              <a:latin typeface="Aptos" panose="020B0004020202020204" pitchFamily="34" charset="0"/>
              <a:ea typeface="+mn-ea"/>
              <a:cs typeface="+mn-cs"/>
            </a:rPr>
            <a:t>estina-se a qualquer entidade</a:t>
          </a:r>
          <a:r>
            <a:rPr lang="en-GB" sz="1600" baseline="0">
              <a:solidFill>
                <a:srgbClr val="015F5B"/>
              </a:solidFill>
              <a:effectLst/>
              <a:latin typeface="Aptos" panose="020B0004020202020204" pitchFamily="34" charset="0"/>
              <a:ea typeface="+mn-ea"/>
              <a:cs typeface="+mn-cs"/>
            </a:rPr>
            <a:t> ou empresa</a:t>
          </a:r>
          <a:r>
            <a:rPr lang="en-GB" sz="1600">
              <a:solidFill>
                <a:srgbClr val="015F5B"/>
              </a:solidFill>
              <a:effectLst/>
              <a:latin typeface="Aptos" panose="020B0004020202020204" pitchFamily="34" charset="0"/>
              <a:ea typeface="+mn-ea"/>
              <a:cs typeface="+mn-cs"/>
            </a:rPr>
            <a:t> que pretenda calcular:  </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a) </a:t>
          </a:r>
          <a:r>
            <a:rPr lang="en-GB" sz="1600" b="1">
              <a:solidFill>
                <a:srgbClr val="015F5B"/>
              </a:solidFill>
              <a:effectLst/>
              <a:latin typeface="Aptos" panose="020B0004020202020204" pitchFamily="34" charset="0"/>
              <a:ea typeface="+mn-ea"/>
              <a:cs typeface="+mn-cs"/>
            </a:rPr>
            <a:t>Emissões absolutas</a:t>
          </a:r>
          <a:r>
            <a:rPr lang="en-GB" sz="1600">
              <a:solidFill>
                <a:srgbClr val="015F5B"/>
              </a:solidFill>
              <a:effectLst/>
              <a:latin typeface="Aptos" panose="020B0004020202020204" pitchFamily="34" charset="0"/>
              <a:ea typeface="+mn-ea"/>
              <a:cs typeface="+mn-cs"/>
            </a:rPr>
            <a:t>;</a:t>
          </a:r>
        </a:p>
        <a:p>
          <a:r>
            <a:rPr lang="en-GB" sz="1600">
              <a:solidFill>
                <a:srgbClr val="015F5B"/>
              </a:solidFill>
              <a:effectLst/>
              <a:latin typeface="Aptos" panose="020B0004020202020204" pitchFamily="34" charset="0"/>
              <a:ea typeface="+mn-ea"/>
              <a:cs typeface="+mn-cs"/>
            </a:rPr>
            <a:t> </a:t>
          </a:r>
        </a:p>
        <a:p>
          <a:r>
            <a:rPr lang="en-GB" sz="1600">
              <a:solidFill>
                <a:srgbClr val="015F5B"/>
              </a:solidFill>
              <a:effectLst/>
              <a:latin typeface="Aptos" panose="020B0004020202020204" pitchFamily="34" charset="0"/>
              <a:ea typeface="+mn-ea"/>
              <a:cs typeface="+mn-cs"/>
            </a:rPr>
            <a:t>b) </a:t>
          </a:r>
          <a:r>
            <a:rPr lang="en-GB" sz="1600" b="1">
              <a:solidFill>
                <a:srgbClr val="015F5B"/>
              </a:solidFill>
              <a:effectLst/>
              <a:latin typeface="Aptos" panose="020B0004020202020204" pitchFamily="34" charset="0"/>
              <a:ea typeface="+mn-ea"/>
              <a:cs typeface="+mn-cs"/>
            </a:rPr>
            <a:t>Emissões de referência</a:t>
          </a:r>
          <a:r>
            <a:rPr lang="en-GB" sz="1600">
              <a:solidFill>
                <a:srgbClr val="015F5B"/>
              </a:solidFill>
              <a:effectLst/>
              <a:latin typeface="Aptos" panose="020B0004020202020204" pitchFamily="34" charset="0"/>
              <a:ea typeface="+mn-ea"/>
              <a:cs typeface="+mn-cs"/>
            </a:rPr>
            <a:t>;</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c) </a:t>
          </a:r>
          <a:r>
            <a:rPr lang="en-GB" sz="1600" b="1">
              <a:solidFill>
                <a:srgbClr val="015F5B"/>
              </a:solidFill>
              <a:effectLst/>
              <a:latin typeface="Aptos" panose="020B0004020202020204" pitchFamily="34" charset="0"/>
              <a:ea typeface="+mn-ea"/>
              <a:cs typeface="+mn-cs"/>
            </a:rPr>
            <a:t>Emissões relativas</a:t>
          </a:r>
          <a:r>
            <a:rPr lang="en-GB" sz="1600">
              <a:solidFill>
                <a:srgbClr val="015F5B"/>
              </a:solidFill>
              <a:effectLst/>
              <a:latin typeface="Aptos" panose="020B0004020202020204" pitchFamily="34" charset="0"/>
              <a:ea typeface="+mn-ea"/>
              <a:cs typeface="+mn-cs"/>
            </a:rPr>
            <a:t>, num ano típico de funcionamento, relativamente a um cenário de referência (cenário provável na ausência do projeto).</a:t>
          </a:r>
        </a:p>
        <a:p>
          <a:endParaRPr lang="en-GB" sz="1600">
            <a:solidFill>
              <a:srgbClr val="015F5B"/>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rgbClr val="015F5B"/>
              </a:solidFill>
              <a:effectLst/>
              <a:latin typeface="Aptos" panose="020B0004020202020204" pitchFamily="34" charset="0"/>
              <a:ea typeface="+mn-ea"/>
              <a:cs typeface="+mn-cs"/>
            </a:rPr>
            <a:t>A calculadora foi concebida para a avaliação ex-ante (projetos que ainda não ocorreram) das emissões relativas de projetos relacionados com </a:t>
          </a:r>
          <a:r>
            <a:rPr lang="en-GB" sz="1600" b="1">
              <a:solidFill>
                <a:srgbClr val="015F5B"/>
              </a:solidFill>
              <a:effectLst/>
              <a:latin typeface="Aptos" panose="020B0004020202020204" pitchFamily="34" charset="0"/>
              <a:ea typeface="+mn-ea"/>
              <a:cs typeface="+mn-cs"/>
            </a:rPr>
            <a:t>vias/infraestruturas de mobilidade, incluindo ferrovia e metros,</a:t>
          </a:r>
          <a:r>
            <a:rPr lang="en-GB" sz="1600" b="1" baseline="0">
              <a:solidFill>
                <a:srgbClr val="015F5B"/>
              </a:solidFill>
              <a:effectLst/>
              <a:latin typeface="Aptos" panose="020B0004020202020204" pitchFamily="34" charset="0"/>
              <a:ea typeface="+mn-ea"/>
              <a:cs typeface="+mn-cs"/>
            </a:rPr>
            <a:t> mobilidade urbana e </a:t>
          </a:r>
          <a:r>
            <a:rPr lang="en-GB" sz="1600" b="1">
              <a:solidFill>
                <a:srgbClr val="015F5B"/>
              </a:solidFill>
              <a:effectLst/>
              <a:latin typeface="Aptos" panose="020B0004020202020204" pitchFamily="34" charset="0"/>
              <a:ea typeface="+mn-ea"/>
              <a:cs typeface="+mn-cs"/>
            </a:rPr>
            <a:t>transporte de passageiros.</a:t>
          </a:r>
        </a:p>
        <a:p>
          <a:endParaRPr lang="en-GB" sz="1600">
            <a:solidFill>
              <a:srgbClr val="015F5B"/>
            </a:solidFill>
            <a:effectLst/>
            <a:latin typeface="Aptos" panose="020B0004020202020204" pitchFamily="34" charset="0"/>
            <a:ea typeface="+mn-ea"/>
            <a:cs typeface="+mn-cs"/>
          </a:endParaRPr>
        </a:p>
        <a:p>
          <a:r>
            <a:rPr lang="en-GB" sz="1600">
              <a:solidFill>
                <a:srgbClr val="015F5B"/>
              </a:solidFill>
              <a:effectLst/>
              <a:latin typeface="Aptos" panose="020B0004020202020204" pitchFamily="34" charset="0"/>
              <a:ea typeface="+mn-ea"/>
              <a:cs typeface="+mn-cs"/>
            </a:rPr>
            <a:t>     </a:t>
          </a:r>
        </a:p>
        <a:p>
          <a:endParaRPr lang="en-GB" sz="1400">
            <a:solidFill>
              <a:srgbClr val="01635E"/>
            </a:solidFill>
            <a:latin typeface="Aptos" panose="020B0004020202020204" pitchFamily="34" charset="0"/>
          </a:endParaRPr>
        </a:p>
      </xdr:txBody>
    </xdr:sp>
    <xdr:clientData/>
  </xdr:twoCellAnchor>
  <xdr:twoCellAnchor>
    <xdr:from>
      <xdr:col>26</xdr:col>
      <xdr:colOff>121965</xdr:colOff>
      <xdr:row>6</xdr:row>
      <xdr:rowOff>144012</xdr:rowOff>
    </xdr:from>
    <xdr:to>
      <xdr:col>27</xdr:col>
      <xdr:colOff>279575</xdr:colOff>
      <xdr:row>9</xdr:row>
      <xdr:rowOff>254948</xdr:rowOff>
    </xdr:to>
    <xdr:grpSp>
      <xdr:nvGrpSpPr>
        <xdr:cNvPr id="24" name="Group 23">
          <a:extLst>
            <a:ext uri="{FF2B5EF4-FFF2-40B4-BE49-F238E27FC236}">
              <a16:creationId xmlns:a16="http://schemas.microsoft.com/office/drawing/2014/main" id="{F1829CD0-48F7-CAA8-1B6D-B87D2D6A7321}"/>
            </a:ext>
          </a:extLst>
        </xdr:cNvPr>
        <xdr:cNvGrpSpPr/>
      </xdr:nvGrpSpPr>
      <xdr:grpSpPr>
        <a:xfrm>
          <a:off x="15290528" y="1572762"/>
          <a:ext cx="741016" cy="825311"/>
          <a:chOff x="16676415" y="258312"/>
          <a:chExt cx="748160" cy="796736"/>
        </a:xfrm>
      </xdr:grpSpPr>
      <xdr:sp macro="" textlink="">
        <xdr:nvSpPr>
          <xdr:cNvPr id="18" name="TextBox 17">
            <a:extLst>
              <a:ext uri="{FF2B5EF4-FFF2-40B4-BE49-F238E27FC236}">
                <a16:creationId xmlns:a16="http://schemas.microsoft.com/office/drawing/2014/main" id="{A8B1FE17-33DC-A8C0-D017-631AA6CB6253}"/>
              </a:ext>
            </a:extLst>
          </xdr:cNvPr>
          <xdr:cNvSpPr txBox="1"/>
        </xdr:nvSpPr>
        <xdr:spPr>
          <a:xfrm>
            <a:off x="16676415" y="743552"/>
            <a:ext cx="748160" cy="31149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ysClr val="windowText" lastClr="000000"/>
                </a:solidFill>
                <a:latin typeface="Aptos" panose="020B0004020202020204" pitchFamily="34" charset="0"/>
              </a:rPr>
              <a:t>Índice</a:t>
            </a:r>
          </a:p>
        </xdr:txBody>
      </xdr:sp>
      <xdr:pic>
        <xdr:nvPicPr>
          <xdr:cNvPr id="19" name="Graphic 18" descr="Home outline">
            <a:hlinkClick xmlns:r="http://schemas.openxmlformats.org/officeDocument/2006/relationships" r:id="rId5"/>
            <a:extLst>
              <a:ext uri="{FF2B5EF4-FFF2-40B4-BE49-F238E27FC236}">
                <a16:creationId xmlns:a16="http://schemas.microsoft.com/office/drawing/2014/main" id="{8FF4879F-266D-2210-5C12-77A3CC2DC93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6744950" y="258312"/>
            <a:ext cx="511636" cy="513083"/>
          </a:xfrm>
          <a:prstGeom prst="rect">
            <a:avLst/>
          </a:prstGeom>
        </xdr:spPr>
      </xdr:pic>
    </xdr:grpSp>
    <xdr:clientData/>
  </xdr:twoCellAnchor>
  <xdr:twoCellAnchor>
    <xdr:from>
      <xdr:col>26</xdr:col>
      <xdr:colOff>123825</xdr:colOff>
      <xdr:row>10</xdr:row>
      <xdr:rowOff>142875</xdr:rowOff>
    </xdr:from>
    <xdr:to>
      <xdr:col>27</xdr:col>
      <xdr:colOff>171450</xdr:colOff>
      <xdr:row>12</xdr:row>
      <xdr:rowOff>28575</xdr:rowOff>
    </xdr:to>
    <xdr:pic>
      <xdr:nvPicPr>
        <xdr:cNvPr id="15" name="Graphic 14" descr="Badge Question Mark outline">
          <a:extLst>
            <a:ext uri="{FF2B5EF4-FFF2-40B4-BE49-F238E27FC236}">
              <a16:creationId xmlns:a16="http://schemas.microsoft.com/office/drawing/2014/main" id="{951D18C7-7FA6-3C1E-3266-ABDF9EC87C6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5478125" y="2495550"/>
          <a:ext cx="638175" cy="638175"/>
        </a:xfrm>
        <a:prstGeom prst="rect">
          <a:avLst/>
        </a:prstGeom>
      </xdr:spPr>
    </xdr:pic>
    <xdr:clientData/>
  </xdr:twoCellAnchor>
  <xdr:twoCellAnchor>
    <xdr:from>
      <xdr:col>25</xdr:col>
      <xdr:colOff>552449</xdr:colOff>
      <xdr:row>11</xdr:row>
      <xdr:rowOff>438149</xdr:rowOff>
    </xdr:from>
    <xdr:to>
      <xdr:col>27</xdr:col>
      <xdr:colOff>485774</xdr:colOff>
      <xdr:row>13</xdr:row>
      <xdr:rowOff>114300</xdr:rowOff>
    </xdr:to>
    <xdr:sp macro="" textlink="">
      <xdr:nvSpPr>
        <xdr:cNvPr id="16" name="TextBox 15">
          <a:hlinkClick xmlns:r="http://schemas.openxmlformats.org/officeDocument/2006/relationships" r:id="rId10"/>
          <a:extLst>
            <a:ext uri="{FF2B5EF4-FFF2-40B4-BE49-F238E27FC236}">
              <a16:creationId xmlns:a16="http://schemas.microsoft.com/office/drawing/2014/main" id="{F3898BCB-6466-4D62-9382-3E701A32E99C}"/>
            </a:ext>
          </a:extLst>
        </xdr:cNvPr>
        <xdr:cNvSpPr txBox="1"/>
      </xdr:nvSpPr>
      <xdr:spPr>
        <a:xfrm>
          <a:off x="15316199" y="3019424"/>
          <a:ext cx="1114425"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ysClr val="windowText" lastClr="000000"/>
              </a:solidFill>
              <a:latin typeface="Aptos" panose="020B0004020202020204" pitchFamily="34" charset="0"/>
            </a:rPr>
            <a:t>Instruções</a:t>
          </a:r>
          <a:r>
            <a:rPr lang="en-GB" sz="1400" baseline="0">
              <a:solidFill>
                <a:sysClr val="windowText" lastClr="000000"/>
              </a:solidFill>
              <a:latin typeface="Aptos" panose="020B0004020202020204" pitchFamily="34" charset="0"/>
            </a:rPr>
            <a:t> e PFs</a:t>
          </a:r>
          <a:endParaRPr lang="en-GB" sz="1400">
            <a:solidFill>
              <a:sysClr val="windowText" lastClr="000000"/>
            </a:solidFill>
            <a:latin typeface="Aptos" panose="020B0004020202020204" pitchFamily="34" charset="0"/>
          </a:endParaRPr>
        </a:p>
      </xdr:txBody>
    </xdr:sp>
    <xdr:clientData/>
  </xdr:twoCellAnchor>
  <xdr:twoCellAnchor>
    <xdr:from>
      <xdr:col>12</xdr:col>
      <xdr:colOff>485775</xdr:colOff>
      <xdr:row>6</xdr:row>
      <xdr:rowOff>152401</xdr:rowOff>
    </xdr:from>
    <xdr:to>
      <xdr:col>24</xdr:col>
      <xdr:colOff>400050</xdr:colOff>
      <xdr:row>28</xdr:row>
      <xdr:rowOff>142876</xdr:rowOff>
    </xdr:to>
    <xdr:sp macro="" textlink="">
      <xdr:nvSpPr>
        <xdr:cNvPr id="12" name="Flowchart: Alternative Process 11">
          <a:extLst>
            <a:ext uri="{FF2B5EF4-FFF2-40B4-BE49-F238E27FC236}">
              <a16:creationId xmlns:a16="http://schemas.microsoft.com/office/drawing/2014/main" id="{0673E2F9-B1AD-436D-BA1A-FE3E4501DA05}"/>
            </a:ext>
          </a:extLst>
        </xdr:cNvPr>
        <xdr:cNvSpPr/>
      </xdr:nvSpPr>
      <xdr:spPr>
        <a:xfrm>
          <a:off x="7572375" y="1524001"/>
          <a:ext cx="7000875" cy="6210300"/>
        </a:xfrm>
        <a:prstGeom prst="flowChartAlternateProcess">
          <a:avLst/>
        </a:prstGeom>
        <a:solidFill>
          <a:schemeClr val="accent6">
            <a:lumMod val="40000"/>
            <a:lumOff val="60000"/>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13</xdr:col>
      <xdr:colOff>400050</xdr:colOff>
      <xdr:row>5</xdr:row>
      <xdr:rowOff>9525</xdr:rowOff>
    </xdr:from>
    <xdr:to>
      <xdr:col>22</xdr:col>
      <xdr:colOff>509518</xdr:colOff>
      <xdr:row>22</xdr:row>
      <xdr:rowOff>131445</xdr:rowOff>
    </xdr:to>
    <xdr:sp macro="" textlink="">
      <xdr:nvSpPr>
        <xdr:cNvPr id="10" name="TextBox 9">
          <a:extLst>
            <a:ext uri="{FF2B5EF4-FFF2-40B4-BE49-F238E27FC236}">
              <a16:creationId xmlns:a16="http://schemas.microsoft.com/office/drawing/2014/main" id="{8D3A47F0-2E52-4E94-9EB2-3CED74E31A91}"/>
            </a:ext>
          </a:extLst>
        </xdr:cNvPr>
        <xdr:cNvSpPr txBox="1"/>
      </xdr:nvSpPr>
      <xdr:spPr>
        <a:xfrm>
          <a:off x="8077200" y="1152525"/>
          <a:ext cx="5424418" cy="524637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400">
            <a:solidFill>
              <a:srgbClr val="01635E"/>
            </a:solidFill>
            <a:latin typeface="Aptos" panose="020B0004020202020204" pitchFamily="34" charset="0"/>
            <a:ea typeface="+mn-ea"/>
            <a:cs typeface="+mn-cs"/>
          </a:endParaRPr>
        </a:p>
        <a:p>
          <a:pPr marL="0" indent="0" algn="l"/>
          <a:endParaRPr lang="en-GB" sz="1400">
            <a:solidFill>
              <a:srgbClr val="01635E"/>
            </a:solidFill>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rgbClr val="01635E"/>
            </a:solidFill>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600">
            <a:solidFill>
              <a:srgbClr val="015F5B"/>
            </a:solidFill>
            <a:effectLst/>
            <a:latin typeface="Aptos" panose="020B0004020202020204" pitchFamily="34" charset="0"/>
            <a:ea typeface="+mn-ea"/>
            <a:cs typeface="+mn-cs"/>
          </a:endParaRP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b="1">
              <a:solidFill>
                <a:srgbClr val="015F5B"/>
              </a:solidFill>
              <a:effectLst/>
              <a:latin typeface="Aptos" panose="020B0004020202020204" pitchFamily="34" charset="0"/>
              <a:ea typeface="+mn-ea"/>
              <a:cs typeface="+mn-cs"/>
            </a:rPr>
            <a:t>Como iniciar a análise de</a:t>
          </a:r>
          <a:r>
            <a:rPr lang="en-GB" sz="1600" b="1" baseline="0">
              <a:solidFill>
                <a:srgbClr val="015F5B"/>
              </a:solidFill>
              <a:effectLst/>
              <a:latin typeface="Aptos" panose="020B0004020202020204" pitchFamily="34" charset="0"/>
              <a:ea typeface="+mn-ea"/>
              <a:cs typeface="+mn-cs"/>
            </a:rPr>
            <a:t> um</a:t>
          </a:r>
          <a:r>
            <a:rPr lang="en-GB" sz="1600" b="1">
              <a:solidFill>
                <a:srgbClr val="015F5B"/>
              </a:solidFill>
              <a:effectLst/>
              <a:latin typeface="Aptos" panose="020B0004020202020204" pitchFamily="34" charset="0"/>
              <a:ea typeface="+mn-ea"/>
              <a:cs typeface="+mn-cs"/>
            </a:rPr>
            <a:t> projeto?</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Começar por </a:t>
          </a:r>
          <a:r>
            <a:rPr lang="en-GB" sz="1600" b="1">
              <a:solidFill>
                <a:srgbClr val="015F5B"/>
              </a:solidFill>
              <a:effectLst/>
              <a:latin typeface="Aptos" panose="020B0004020202020204" pitchFamily="34" charset="0"/>
              <a:ea typeface="+mn-ea"/>
              <a:cs typeface="+mn-cs"/>
            </a:rPr>
            <a:t>ler atentamente </a:t>
          </a:r>
          <a:r>
            <a:rPr lang="en-GB" sz="1600">
              <a:solidFill>
                <a:srgbClr val="015F5B"/>
              </a:solidFill>
              <a:effectLst/>
              <a:latin typeface="Aptos" panose="020B0004020202020204" pitchFamily="34" charset="0"/>
              <a:ea typeface="+mn-ea"/>
              <a:cs typeface="+mn-cs"/>
            </a:rPr>
            <a:t>as </a:t>
          </a:r>
          <a:r>
            <a:rPr lang="en-GB" sz="1600" b="1">
              <a:solidFill>
                <a:srgbClr val="015F5B"/>
              </a:solidFill>
              <a:effectLst/>
              <a:latin typeface="Aptos" panose="020B0004020202020204" pitchFamily="34" charset="0"/>
              <a:ea typeface="+mn-ea"/>
              <a:cs typeface="+mn-cs"/>
            </a:rPr>
            <a:t>Instruções/</a:t>
          </a:r>
          <a:r>
            <a:rPr lang="en-GB" sz="160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Perguntas Frequentes (PFs) </a:t>
          </a:r>
          <a:r>
            <a:rPr lang="en-GB" sz="1600">
              <a:solidFill>
                <a:srgbClr val="015F5B"/>
              </a:solidFill>
              <a:effectLst/>
              <a:latin typeface="Aptos" panose="020B0004020202020204" pitchFamily="34" charset="0"/>
              <a:ea typeface="+mn-ea"/>
              <a:cs typeface="+mn-cs"/>
            </a:rPr>
            <a:t>da ferramenta para conhecer:</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 1. Os </a:t>
          </a:r>
          <a:r>
            <a:rPr lang="en-GB" sz="1600" b="1">
              <a:solidFill>
                <a:srgbClr val="015F5B"/>
              </a:solidFill>
              <a:effectLst/>
              <a:latin typeface="Aptos" panose="020B0004020202020204" pitchFamily="34" charset="0"/>
              <a:ea typeface="+mn-ea"/>
              <a:cs typeface="+mn-cs"/>
            </a:rPr>
            <a:t>objetivos</a:t>
          </a:r>
          <a:r>
            <a:rPr lang="en-GB" sz="1600">
              <a:solidFill>
                <a:srgbClr val="015F5B"/>
              </a:solidFill>
              <a:effectLst/>
              <a:latin typeface="Aptos" panose="020B0004020202020204" pitchFamily="34" charset="0"/>
              <a:ea typeface="+mn-ea"/>
              <a:cs typeface="+mn-cs"/>
            </a:rPr>
            <a:t> da GEE_mobilidade;</a:t>
          </a:r>
        </a:p>
        <a:p>
          <a:pPr marL="0" indent="0" algn="l"/>
          <a:endParaRPr lang="en-GB" sz="1600" b="1">
            <a:solidFill>
              <a:srgbClr val="015F5B"/>
            </a:solidFill>
            <a:effectLst/>
            <a:latin typeface="Aptos" panose="020B0004020202020204" pitchFamily="34" charset="0"/>
            <a:ea typeface="+mn-ea"/>
            <a:cs typeface="+mn-cs"/>
          </a:endParaRPr>
        </a:p>
        <a:p>
          <a:pPr marL="0" indent="0" algn="l"/>
          <a:r>
            <a:rPr lang="en-GB" sz="1600" b="0">
              <a:solidFill>
                <a:srgbClr val="015F5B"/>
              </a:solidFill>
              <a:effectLst/>
              <a:latin typeface="Aptos" panose="020B0004020202020204" pitchFamily="34" charset="0"/>
              <a:ea typeface="+mn-ea"/>
              <a:cs typeface="+mn-cs"/>
            </a:rPr>
            <a:t>2. Os</a:t>
          </a:r>
          <a:r>
            <a:rPr lang="en-GB" sz="1600" b="1" baseline="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pressupostos metodológicos</a:t>
          </a:r>
          <a:r>
            <a:rPr lang="en-GB" sz="1600" baseline="0">
              <a:solidFill>
                <a:srgbClr val="015F5B"/>
              </a:solidFill>
              <a:effectLst/>
              <a:latin typeface="Aptos" panose="020B0004020202020204" pitchFamily="34" charset="0"/>
              <a:ea typeface="+mn-ea"/>
              <a:cs typeface="+mn-cs"/>
            </a:rPr>
            <a:t> utilizados na</a:t>
          </a:r>
        </a:p>
        <a:p>
          <a:pPr marL="0" indent="0" algn="l"/>
          <a:r>
            <a:rPr lang="en-GB" sz="1600" baseline="0">
              <a:solidFill>
                <a:srgbClr val="015F5B"/>
              </a:solidFill>
              <a:effectLst/>
              <a:latin typeface="Aptos" panose="020B0004020202020204" pitchFamily="34" charset="0"/>
              <a:ea typeface="+mn-ea"/>
              <a:cs typeface="+mn-cs"/>
            </a:rPr>
            <a:t>      ferramenta;</a:t>
          </a:r>
        </a:p>
        <a:p>
          <a:pPr marL="0" indent="0" algn="l"/>
          <a:endParaRPr lang="en-GB" sz="1600" baseline="0">
            <a:solidFill>
              <a:srgbClr val="015F5B"/>
            </a:solidFill>
            <a:effectLst/>
            <a:latin typeface="Aptos" panose="020B0004020202020204" pitchFamily="34" charset="0"/>
            <a:ea typeface="+mn-ea"/>
            <a:cs typeface="+mn-cs"/>
          </a:endParaRPr>
        </a:p>
        <a:p>
          <a:pPr marL="0" indent="0" algn="l"/>
          <a:r>
            <a:rPr lang="en-GB" sz="1600" baseline="0">
              <a:solidFill>
                <a:srgbClr val="015F5B"/>
              </a:solidFill>
              <a:effectLst/>
              <a:latin typeface="Aptos" panose="020B0004020202020204" pitchFamily="34" charset="0"/>
              <a:ea typeface="+mn-ea"/>
              <a:cs typeface="+mn-cs"/>
            </a:rPr>
            <a:t>3. A</a:t>
          </a:r>
          <a:r>
            <a:rPr lang="en-GB" sz="1600">
              <a:solidFill>
                <a:srgbClr val="015F5B"/>
              </a:solidFill>
              <a:effectLst/>
              <a:latin typeface="Aptos" panose="020B0004020202020204" pitchFamily="34" charset="0"/>
              <a:ea typeface="+mn-ea"/>
              <a:cs typeface="+mn-cs"/>
            </a:rPr>
            <a:t> </a:t>
          </a:r>
          <a:r>
            <a:rPr lang="en-GB" sz="1600" b="1">
              <a:solidFill>
                <a:srgbClr val="015F5B"/>
              </a:solidFill>
              <a:effectLst/>
              <a:latin typeface="Aptos" panose="020B0004020202020204" pitchFamily="34" charset="0"/>
              <a:ea typeface="+mn-ea"/>
              <a:cs typeface="+mn-cs"/>
            </a:rPr>
            <a:t>tipologia de projetos </a:t>
          </a:r>
          <a:r>
            <a:rPr lang="en-GB" sz="1600">
              <a:solidFill>
                <a:srgbClr val="015F5B"/>
              </a:solidFill>
              <a:effectLst/>
              <a:latin typeface="Aptos" panose="020B0004020202020204" pitchFamily="34" charset="0"/>
              <a:ea typeface="+mn-ea"/>
              <a:cs typeface="+mn-cs"/>
            </a:rPr>
            <a:t>abrangidos pela calculadora;</a:t>
          </a:r>
        </a:p>
        <a:p>
          <a:pPr marL="0" indent="0" algn="l"/>
          <a:endParaRPr lang="en-GB" sz="1600">
            <a:solidFill>
              <a:srgbClr val="015F5B"/>
            </a:solidFill>
            <a:effectLst/>
            <a:latin typeface="Aptos" panose="020B0004020202020204" pitchFamily="34" charset="0"/>
            <a:ea typeface="+mn-ea"/>
            <a:cs typeface="+mn-cs"/>
          </a:endParaRPr>
        </a:p>
        <a:p>
          <a:pPr marL="0" indent="0" algn="l"/>
          <a:r>
            <a:rPr lang="en-GB" sz="1600">
              <a:solidFill>
                <a:srgbClr val="015F5B"/>
              </a:solidFill>
              <a:effectLst/>
              <a:latin typeface="Aptos" panose="020B0004020202020204" pitchFamily="34" charset="0"/>
              <a:ea typeface="+mn-ea"/>
              <a:cs typeface="+mn-cs"/>
            </a:rPr>
            <a:t>4. Os </a:t>
          </a:r>
          <a:r>
            <a:rPr lang="en-GB" sz="1600" b="1">
              <a:solidFill>
                <a:srgbClr val="015F5B"/>
              </a:solidFill>
              <a:effectLst/>
              <a:latin typeface="Aptos" panose="020B0004020202020204" pitchFamily="34" charset="0"/>
              <a:ea typeface="+mn-ea"/>
              <a:cs typeface="+mn-cs"/>
            </a:rPr>
            <a:t>procedimentos</a:t>
          </a:r>
          <a:r>
            <a:rPr lang="en-GB" sz="1600">
              <a:solidFill>
                <a:srgbClr val="015F5B"/>
              </a:solidFill>
              <a:effectLst/>
              <a:latin typeface="Aptos" panose="020B0004020202020204" pitchFamily="34" charset="0"/>
              <a:ea typeface="+mn-ea"/>
              <a:cs typeface="+mn-cs"/>
            </a:rPr>
            <a:t> a adotar para o cálculo das emissões</a:t>
          </a:r>
        </a:p>
        <a:p>
          <a:pPr marL="0" indent="0" algn="l"/>
          <a:r>
            <a:rPr lang="en-GB" sz="1600">
              <a:solidFill>
                <a:srgbClr val="015F5B"/>
              </a:solidFill>
              <a:effectLst/>
              <a:latin typeface="Aptos" panose="020B0004020202020204" pitchFamily="34" charset="0"/>
              <a:ea typeface="+mn-ea"/>
              <a:cs typeface="+mn-cs"/>
            </a:rPr>
            <a:t>    de GEE</a:t>
          </a:r>
          <a:r>
            <a:rPr lang="en-GB" sz="1400">
              <a:solidFill>
                <a:srgbClr val="01635E"/>
              </a:solidFill>
              <a:latin typeface="Aptos" panose="020B0004020202020204" pitchFamily="34" charset="0"/>
              <a:ea typeface="+mn-ea"/>
              <a:cs typeface="+mn-cs"/>
            </a:rPr>
            <a:t>.</a:t>
          </a:r>
        </a:p>
        <a:p>
          <a:pPr marL="0" indent="0" algn="l"/>
          <a:r>
            <a:rPr lang="en-GB" sz="1400">
              <a:solidFill>
                <a:srgbClr val="01635E"/>
              </a:solidFill>
              <a:latin typeface="Aptos" panose="020B0004020202020204" pitchFamily="34" charset="0"/>
              <a:ea typeface="+mn-ea"/>
              <a:cs typeface="+mn-cs"/>
            </a:rPr>
            <a:t>     </a:t>
          </a:r>
        </a:p>
        <a:p>
          <a:pPr marL="0" indent="0" algn="l"/>
          <a:endParaRPr lang="en-GB" sz="1400">
            <a:solidFill>
              <a:srgbClr val="01635E"/>
            </a:solidFill>
            <a:latin typeface="Aptos" panose="020B0004020202020204" pitchFamily="34" charset="0"/>
            <a:ea typeface="+mn-ea"/>
            <a:cs typeface="+mn-cs"/>
          </a:endParaRPr>
        </a:p>
      </xdr:txBody>
    </xdr:sp>
    <xdr:clientData/>
  </xdr:twoCellAnchor>
  <xdr:twoCellAnchor editAs="oneCell">
    <xdr:from>
      <xdr:col>22</xdr:col>
      <xdr:colOff>293608</xdr:colOff>
      <xdr:row>11</xdr:row>
      <xdr:rowOff>180975</xdr:rowOff>
    </xdr:from>
    <xdr:to>
      <xdr:col>23</xdr:col>
      <xdr:colOff>188833</xdr:colOff>
      <xdr:row>12</xdr:row>
      <xdr:rowOff>142875</xdr:rowOff>
    </xdr:to>
    <xdr:pic>
      <xdr:nvPicPr>
        <xdr:cNvPr id="25" name="Picture 24">
          <a:hlinkClick xmlns:r="http://schemas.openxmlformats.org/officeDocument/2006/relationships" r:id="rId10"/>
          <a:extLst>
            <a:ext uri="{FF2B5EF4-FFF2-40B4-BE49-F238E27FC236}">
              <a16:creationId xmlns:a16="http://schemas.microsoft.com/office/drawing/2014/main" id="{C00BEF4B-2201-813E-0D56-CAF5335E679D}"/>
            </a:ext>
          </a:extLst>
        </xdr:cNvPr>
        <xdr:cNvPicPr>
          <a:picLocks noChangeAspect="1"/>
        </xdr:cNvPicPr>
      </xdr:nvPicPr>
      <xdr:blipFill>
        <a:blip xmlns:r="http://schemas.openxmlformats.org/officeDocument/2006/relationships" r:embed="rId11"/>
        <a:stretch>
          <a:fillRect/>
        </a:stretch>
      </xdr:blipFill>
      <xdr:spPr>
        <a:xfrm>
          <a:off x="13285708" y="2762250"/>
          <a:ext cx="485775"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174171</xdr:colOff>
      <xdr:row>67</xdr:row>
      <xdr:rowOff>32657</xdr:rowOff>
    </xdr:from>
    <xdr:to>
      <xdr:col>2</xdr:col>
      <xdr:colOff>178525</xdr:colOff>
      <xdr:row>69</xdr:row>
      <xdr:rowOff>0</xdr:rowOff>
    </xdr:to>
    <xdr:cxnSp macro="">
      <xdr:nvCxnSpPr>
        <xdr:cNvPr id="45" name="Straight Arrow Connector 44">
          <a:extLst>
            <a:ext uri="{FF2B5EF4-FFF2-40B4-BE49-F238E27FC236}">
              <a16:creationId xmlns:a16="http://schemas.microsoft.com/office/drawing/2014/main" id="{2D5F0E97-0111-48FF-8489-C04C90919340}"/>
            </a:ext>
          </a:extLst>
        </xdr:cNvPr>
        <xdr:cNvCxnSpPr/>
      </xdr:nvCxnSpPr>
      <xdr:spPr>
        <a:xfrm flipH="1">
          <a:off x="959031" y="52724957"/>
          <a:ext cx="4354" cy="27867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122</xdr:row>
      <xdr:rowOff>65315</xdr:rowOff>
    </xdr:from>
    <xdr:to>
      <xdr:col>2</xdr:col>
      <xdr:colOff>228602</xdr:colOff>
      <xdr:row>124</xdr:row>
      <xdr:rowOff>0</xdr:rowOff>
    </xdr:to>
    <xdr:cxnSp macro="">
      <xdr:nvCxnSpPr>
        <xdr:cNvPr id="46" name="Straight Arrow Connector 45">
          <a:extLst>
            <a:ext uri="{FF2B5EF4-FFF2-40B4-BE49-F238E27FC236}">
              <a16:creationId xmlns:a16="http://schemas.microsoft.com/office/drawing/2014/main" id="{BD241A5F-41D9-4915-9179-A2EC6582938D}"/>
            </a:ext>
          </a:extLst>
        </xdr:cNvPr>
        <xdr:cNvCxnSpPr/>
      </xdr:nvCxnSpPr>
      <xdr:spPr>
        <a:xfrm flipH="1">
          <a:off x="980806" y="82551815"/>
          <a:ext cx="32656" cy="29826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220621</xdr:colOff>
      <xdr:row>169</xdr:row>
      <xdr:rowOff>55023</xdr:rowOff>
    </xdr:from>
    <xdr:to>
      <xdr:col>2</xdr:col>
      <xdr:colOff>231507</xdr:colOff>
      <xdr:row>172</xdr:row>
      <xdr:rowOff>237810</xdr:rowOff>
    </xdr:to>
    <xdr:cxnSp macro="">
      <xdr:nvCxnSpPr>
        <xdr:cNvPr id="17" name="Straight Arrow Connector 16">
          <a:extLst>
            <a:ext uri="{FF2B5EF4-FFF2-40B4-BE49-F238E27FC236}">
              <a16:creationId xmlns:a16="http://schemas.microsoft.com/office/drawing/2014/main" id="{96BB688E-7B35-41E4-B79E-EE885821146E}"/>
            </a:ext>
          </a:extLst>
        </xdr:cNvPr>
        <xdr:cNvCxnSpPr/>
      </xdr:nvCxnSpPr>
      <xdr:spPr>
        <a:xfrm>
          <a:off x="666098" y="108938961"/>
          <a:ext cx="10886" cy="17067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8</xdr:col>
      <xdr:colOff>304801</xdr:colOff>
      <xdr:row>125</xdr:row>
      <xdr:rowOff>222738</xdr:rowOff>
    </xdr:from>
    <xdr:to>
      <xdr:col>12</xdr:col>
      <xdr:colOff>738557</xdr:colOff>
      <xdr:row>134</xdr:row>
      <xdr:rowOff>304800</xdr:rowOff>
    </xdr:to>
    <xdr:graphicFrame macro="">
      <xdr:nvGraphicFramePr>
        <xdr:cNvPr id="7" name="Chart 6">
          <a:extLst>
            <a:ext uri="{FF2B5EF4-FFF2-40B4-BE49-F238E27FC236}">
              <a16:creationId xmlns:a16="http://schemas.microsoft.com/office/drawing/2014/main" id="{899E7FF3-C872-4EFD-BFF7-272A6D0341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1348155</xdr:colOff>
      <xdr:row>1</xdr:row>
      <xdr:rowOff>205544</xdr:rowOff>
    </xdr:from>
    <xdr:to>
      <xdr:col>3</xdr:col>
      <xdr:colOff>1840523</xdr:colOff>
      <xdr:row>1</xdr:row>
      <xdr:rowOff>706802</xdr:rowOff>
    </xdr:to>
    <xdr:pic>
      <xdr:nvPicPr>
        <xdr:cNvPr id="24" name="Graphic 23" descr="Train outline">
          <a:extLst>
            <a:ext uri="{FF2B5EF4-FFF2-40B4-BE49-F238E27FC236}">
              <a16:creationId xmlns:a16="http://schemas.microsoft.com/office/drawing/2014/main" id="{ECB4E988-0983-A52B-0644-2D00628108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056555" y="804984"/>
          <a:ext cx="492368" cy="501258"/>
        </a:xfrm>
        <a:prstGeom prst="rect">
          <a:avLst/>
        </a:prstGeom>
      </xdr:spPr>
    </xdr:pic>
    <xdr:clientData/>
  </xdr:twoCellAnchor>
  <xdr:twoCellAnchor>
    <xdr:from>
      <xdr:col>8</xdr:col>
      <xdr:colOff>316523</xdr:colOff>
      <xdr:row>2</xdr:row>
      <xdr:rowOff>316523</xdr:rowOff>
    </xdr:from>
    <xdr:to>
      <xdr:col>9</xdr:col>
      <xdr:colOff>750275</xdr:colOff>
      <xdr:row>3</xdr:row>
      <xdr:rowOff>110380</xdr:rowOff>
    </xdr:to>
    <xdr:sp macro="" textlink="">
      <xdr:nvSpPr>
        <xdr:cNvPr id="36" name="Flowchart: Connector 35">
          <a:extLst>
            <a:ext uri="{FF2B5EF4-FFF2-40B4-BE49-F238E27FC236}">
              <a16:creationId xmlns:a16="http://schemas.microsoft.com/office/drawing/2014/main" id="{22B3660A-CEC2-41D1-B549-7338261C6810}"/>
            </a:ext>
          </a:extLst>
        </xdr:cNvPr>
        <xdr:cNvSpPr/>
      </xdr:nvSpPr>
      <xdr:spPr>
        <a:xfrm>
          <a:off x="13036061" y="1500554"/>
          <a:ext cx="1055076" cy="297949"/>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10</xdr:col>
      <xdr:colOff>1746737</xdr:colOff>
      <xdr:row>1</xdr:row>
      <xdr:rowOff>70339</xdr:rowOff>
    </xdr:from>
    <xdr:to>
      <xdr:col>11</xdr:col>
      <xdr:colOff>679937</xdr:colOff>
      <xdr:row>1</xdr:row>
      <xdr:rowOff>867508</xdr:rowOff>
    </xdr:to>
    <xdr:grpSp>
      <xdr:nvGrpSpPr>
        <xdr:cNvPr id="92" name="Group 91">
          <a:extLst>
            <a:ext uri="{FF2B5EF4-FFF2-40B4-BE49-F238E27FC236}">
              <a16:creationId xmlns:a16="http://schemas.microsoft.com/office/drawing/2014/main" id="{1CB41F92-A829-42E8-86EE-751A6677C7E9}"/>
            </a:ext>
          </a:extLst>
        </xdr:cNvPr>
        <xdr:cNvGrpSpPr/>
      </xdr:nvGrpSpPr>
      <xdr:grpSpPr>
        <a:xfrm>
          <a:off x="17881510" y="373407"/>
          <a:ext cx="708313" cy="797169"/>
          <a:chOff x="18557628" y="410308"/>
          <a:chExt cx="750277" cy="808892"/>
        </a:xfrm>
      </xdr:grpSpPr>
      <xdr:pic>
        <xdr:nvPicPr>
          <xdr:cNvPr id="95" name="Graphic 94" descr="Home outline">
            <a:hlinkClick xmlns:r="http://schemas.openxmlformats.org/officeDocument/2006/relationships" r:id="rId4"/>
            <a:extLst>
              <a:ext uri="{FF2B5EF4-FFF2-40B4-BE49-F238E27FC236}">
                <a16:creationId xmlns:a16="http://schemas.microsoft.com/office/drawing/2014/main" id="{E111B455-1FA9-C442-9830-3C3E3EB6867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8604519" y="410308"/>
            <a:ext cx="504093" cy="507072"/>
          </a:xfrm>
          <a:prstGeom prst="rect">
            <a:avLst/>
          </a:prstGeom>
        </xdr:spPr>
      </xdr:pic>
      <xdr:sp macro="" textlink="">
        <xdr:nvSpPr>
          <xdr:cNvPr id="96" name="TextBox 95">
            <a:hlinkClick xmlns:r="http://schemas.openxmlformats.org/officeDocument/2006/relationships" r:id="rId4"/>
            <a:extLst>
              <a:ext uri="{FF2B5EF4-FFF2-40B4-BE49-F238E27FC236}">
                <a16:creationId xmlns:a16="http://schemas.microsoft.com/office/drawing/2014/main" id="{5162987F-1308-7AD0-EC83-43A17825C946}"/>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937844</xdr:colOff>
      <xdr:row>1</xdr:row>
      <xdr:rowOff>0</xdr:rowOff>
    </xdr:from>
    <xdr:to>
      <xdr:col>10</xdr:col>
      <xdr:colOff>477713</xdr:colOff>
      <xdr:row>2</xdr:row>
      <xdr:rowOff>296496</xdr:rowOff>
    </xdr:to>
    <xdr:grpSp>
      <xdr:nvGrpSpPr>
        <xdr:cNvPr id="97" name="Group 96">
          <a:hlinkClick xmlns:r="http://schemas.openxmlformats.org/officeDocument/2006/relationships" r:id="rId7"/>
          <a:extLst>
            <a:ext uri="{FF2B5EF4-FFF2-40B4-BE49-F238E27FC236}">
              <a16:creationId xmlns:a16="http://schemas.microsoft.com/office/drawing/2014/main" id="{59E9F2B8-23AC-43CB-B954-8B85CF972CAE}"/>
            </a:ext>
          </a:extLst>
        </xdr:cNvPr>
        <xdr:cNvGrpSpPr/>
      </xdr:nvGrpSpPr>
      <xdr:grpSpPr>
        <a:xfrm>
          <a:off x="14878980" y="303068"/>
          <a:ext cx="1733506" cy="1176837"/>
          <a:chOff x="17335500" y="165100"/>
          <a:chExt cx="1790700" cy="1187450"/>
        </a:xfrm>
      </xdr:grpSpPr>
      <xdr:pic>
        <xdr:nvPicPr>
          <xdr:cNvPr id="98" name="Graphic 97" descr="Badge Question Mark outline">
            <a:extLst>
              <a:ext uri="{FF2B5EF4-FFF2-40B4-BE49-F238E27FC236}">
                <a16:creationId xmlns:a16="http://schemas.microsoft.com/office/drawing/2014/main" id="{85BD1EF0-E7E2-4F67-4C58-929CD6F33C6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7802226" y="165100"/>
            <a:ext cx="638175" cy="638175"/>
          </a:xfrm>
          <a:prstGeom prst="rect">
            <a:avLst/>
          </a:prstGeom>
        </xdr:spPr>
      </xdr:pic>
      <xdr:sp macro="" textlink="">
        <xdr:nvSpPr>
          <xdr:cNvPr id="99" name="TextBox 98">
            <a:hlinkClick xmlns:r="http://schemas.openxmlformats.org/officeDocument/2006/relationships" r:id="rId7"/>
            <a:extLst>
              <a:ext uri="{FF2B5EF4-FFF2-40B4-BE49-F238E27FC236}">
                <a16:creationId xmlns:a16="http://schemas.microsoft.com/office/drawing/2014/main" id="{3FF1C0D9-D7DD-ECF0-FF46-8E457B9E8523}"/>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550983</xdr:colOff>
      <xdr:row>1</xdr:row>
      <xdr:rowOff>70338</xdr:rowOff>
    </xdr:from>
    <xdr:to>
      <xdr:col>10</xdr:col>
      <xdr:colOff>1406767</xdr:colOff>
      <xdr:row>1</xdr:row>
      <xdr:rowOff>867508</xdr:rowOff>
    </xdr:to>
    <xdr:grpSp>
      <xdr:nvGrpSpPr>
        <xdr:cNvPr id="100" name="Group 99">
          <a:hlinkClick xmlns:r="http://schemas.openxmlformats.org/officeDocument/2006/relationships" r:id="rId10"/>
          <a:extLst>
            <a:ext uri="{FF2B5EF4-FFF2-40B4-BE49-F238E27FC236}">
              <a16:creationId xmlns:a16="http://schemas.microsoft.com/office/drawing/2014/main" id="{700095D4-174B-400A-B7D8-6B44545B44BD}"/>
            </a:ext>
          </a:extLst>
        </xdr:cNvPr>
        <xdr:cNvGrpSpPr/>
      </xdr:nvGrpSpPr>
      <xdr:grpSpPr>
        <a:xfrm>
          <a:off x="16685756" y="373406"/>
          <a:ext cx="855784" cy="797170"/>
          <a:chOff x="17783906" y="410307"/>
          <a:chExt cx="855784" cy="808893"/>
        </a:xfrm>
      </xdr:grpSpPr>
      <xdr:sp macro="" textlink="">
        <xdr:nvSpPr>
          <xdr:cNvPr id="101" name="TextBox 100">
            <a:hlinkClick xmlns:r="http://schemas.openxmlformats.org/officeDocument/2006/relationships" r:id="rId10"/>
            <a:extLst>
              <a:ext uri="{FF2B5EF4-FFF2-40B4-BE49-F238E27FC236}">
                <a16:creationId xmlns:a16="http://schemas.microsoft.com/office/drawing/2014/main" id="{F94C8458-2DF5-98A4-F5E8-3FE03B40620A}"/>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102" name="Graphic 101" descr="List outline">
            <a:extLst>
              <a:ext uri="{FF2B5EF4-FFF2-40B4-BE49-F238E27FC236}">
                <a16:creationId xmlns:a16="http://schemas.microsoft.com/office/drawing/2014/main" id="{1978A862-53DE-6BDA-F216-5B6B0892208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901138" y="410307"/>
            <a:ext cx="539260" cy="531557"/>
          </a:xfrm>
          <a:prstGeom prst="rect">
            <a:avLst/>
          </a:prstGeom>
        </xdr:spPr>
      </xdr:pic>
    </xdr:grpSp>
    <xdr:clientData/>
  </xdr:twoCellAnchor>
  <xdr:twoCellAnchor>
    <xdr:from>
      <xdr:col>2</xdr:col>
      <xdr:colOff>796328</xdr:colOff>
      <xdr:row>172</xdr:row>
      <xdr:rowOff>175850</xdr:rowOff>
    </xdr:from>
    <xdr:to>
      <xdr:col>4</xdr:col>
      <xdr:colOff>262927</xdr:colOff>
      <xdr:row>177</xdr:row>
      <xdr:rowOff>88765</xdr:rowOff>
    </xdr:to>
    <xdr:sp macro="" textlink="">
      <xdr:nvSpPr>
        <xdr:cNvPr id="3" name="TextBox 2">
          <a:hlinkClick xmlns:r="http://schemas.openxmlformats.org/officeDocument/2006/relationships" r:id="rId13"/>
          <a:extLst>
            <a:ext uri="{FF2B5EF4-FFF2-40B4-BE49-F238E27FC236}">
              <a16:creationId xmlns:a16="http://schemas.microsoft.com/office/drawing/2014/main" id="{A38B1F56-297B-4F15-84BD-7A8DB1362693}"/>
            </a:ext>
          </a:extLst>
        </xdr:cNvPr>
        <xdr:cNvSpPr txBox="1"/>
      </xdr:nvSpPr>
      <xdr:spPr>
        <a:xfrm>
          <a:off x="1230082" y="84183419"/>
          <a:ext cx="4542691"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11718</xdr:colOff>
      <xdr:row>173</xdr:row>
      <xdr:rowOff>25125</xdr:rowOff>
    </xdr:from>
    <xdr:to>
      <xdr:col>2</xdr:col>
      <xdr:colOff>738549</xdr:colOff>
      <xdr:row>176</xdr:row>
      <xdr:rowOff>34015</xdr:rowOff>
    </xdr:to>
    <xdr:pic>
      <xdr:nvPicPr>
        <xdr:cNvPr id="4" name="Graphic 3" descr="CheckList outline">
          <a:hlinkClick xmlns:r="http://schemas.openxmlformats.org/officeDocument/2006/relationships" r:id="rId13"/>
          <a:extLst>
            <a:ext uri="{FF2B5EF4-FFF2-40B4-BE49-F238E27FC236}">
              <a16:creationId xmlns:a16="http://schemas.microsoft.com/office/drawing/2014/main" id="{5237ABC4-DDEE-411A-BED6-DED1D97D0782}"/>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257903" y="84337494"/>
          <a:ext cx="914400" cy="914400"/>
        </a:xfrm>
        <a:prstGeom prst="rect">
          <a:avLst/>
        </a:prstGeom>
      </xdr:spPr>
    </xdr:pic>
    <xdr:clientData/>
  </xdr:twoCellAnchor>
  <xdr:twoCellAnchor>
    <xdr:from>
      <xdr:col>8</xdr:col>
      <xdr:colOff>274320</xdr:colOff>
      <xdr:row>18</xdr:row>
      <xdr:rowOff>142240</xdr:rowOff>
    </xdr:from>
    <xdr:to>
      <xdr:col>9</xdr:col>
      <xdr:colOff>743243</xdr:colOff>
      <xdr:row>19</xdr:row>
      <xdr:rowOff>153963</xdr:rowOff>
    </xdr:to>
    <xdr:sp macro="" textlink="">
      <xdr:nvSpPr>
        <xdr:cNvPr id="2" name="Flowchart: Connector 1">
          <a:extLst>
            <a:ext uri="{FF2B5EF4-FFF2-40B4-BE49-F238E27FC236}">
              <a16:creationId xmlns:a16="http://schemas.microsoft.com/office/drawing/2014/main" id="{0646BDD1-D0F9-4433-8FD8-506E1546D491}"/>
            </a:ext>
          </a:extLst>
        </xdr:cNvPr>
        <xdr:cNvSpPr/>
      </xdr:nvSpPr>
      <xdr:spPr>
        <a:xfrm>
          <a:off x="14000480" y="10068560"/>
          <a:ext cx="108868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174171</xdr:colOff>
      <xdr:row>46</xdr:row>
      <xdr:rowOff>32657</xdr:rowOff>
    </xdr:from>
    <xdr:to>
      <xdr:col>2</xdr:col>
      <xdr:colOff>178525</xdr:colOff>
      <xdr:row>48</xdr:row>
      <xdr:rowOff>76201</xdr:rowOff>
    </xdr:to>
    <xdr:cxnSp macro="">
      <xdr:nvCxnSpPr>
        <xdr:cNvPr id="6" name="Straight Arrow Connector 5">
          <a:extLst>
            <a:ext uri="{FF2B5EF4-FFF2-40B4-BE49-F238E27FC236}">
              <a16:creationId xmlns:a16="http://schemas.microsoft.com/office/drawing/2014/main" id="{552097BC-1055-4A1C-802C-F1B22D573178}"/>
            </a:ext>
          </a:extLst>
        </xdr:cNvPr>
        <xdr:cNvCxnSpPr/>
      </xdr:nvCxnSpPr>
      <xdr:spPr>
        <a:xfrm flipH="1">
          <a:off x="959031" y="45485957"/>
          <a:ext cx="4354" cy="27867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222739</xdr:colOff>
      <xdr:row>71</xdr:row>
      <xdr:rowOff>65315</xdr:rowOff>
    </xdr:from>
    <xdr:to>
      <xdr:col>2</xdr:col>
      <xdr:colOff>228602</xdr:colOff>
      <xdr:row>73</xdr:row>
      <xdr:rowOff>269631</xdr:rowOff>
    </xdr:to>
    <xdr:cxnSp macro="">
      <xdr:nvCxnSpPr>
        <xdr:cNvPr id="7" name="Straight Arrow Connector 6">
          <a:extLst>
            <a:ext uri="{FF2B5EF4-FFF2-40B4-BE49-F238E27FC236}">
              <a16:creationId xmlns:a16="http://schemas.microsoft.com/office/drawing/2014/main" id="{EC2F4A4B-664F-4702-A9A7-3C55B90ED586}"/>
            </a:ext>
          </a:extLst>
        </xdr:cNvPr>
        <xdr:cNvCxnSpPr/>
      </xdr:nvCxnSpPr>
      <xdr:spPr>
        <a:xfrm flipH="1">
          <a:off x="1008185" y="38305992"/>
          <a:ext cx="5863" cy="81391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408182</xdr:colOff>
      <xdr:row>101</xdr:row>
      <xdr:rowOff>23444</xdr:rowOff>
    </xdr:from>
    <xdr:to>
      <xdr:col>2</xdr:col>
      <xdr:colOff>419068</xdr:colOff>
      <xdr:row>103</xdr:row>
      <xdr:rowOff>206231</xdr:rowOff>
    </xdr:to>
    <xdr:cxnSp macro="">
      <xdr:nvCxnSpPr>
        <xdr:cNvPr id="34" name="Straight Arrow Connector 33">
          <a:extLst>
            <a:ext uri="{FF2B5EF4-FFF2-40B4-BE49-F238E27FC236}">
              <a16:creationId xmlns:a16="http://schemas.microsoft.com/office/drawing/2014/main" id="{5C9A4C7D-897D-41D1-9920-684863633096}"/>
            </a:ext>
          </a:extLst>
        </xdr:cNvPr>
        <xdr:cNvCxnSpPr/>
      </xdr:nvCxnSpPr>
      <xdr:spPr>
        <a:xfrm>
          <a:off x="1193628" y="50080982"/>
          <a:ext cx="10886" cy="17067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4</xdr:col>
      <xdr:colOff>1435886</xdr:colOff>
      <xdr:row>1</xdr:row>
      <xdr:rowOff>203200</xdr:rowOff>
    </xdr:from>
    <xdr:to>
      <xdr:col>4</xdr:col>
      <xdr:colOff>2114846</xdr:colOff>
      <xdr:row>1</xdr:row>
      <xdr:rowOff>719016</xdr:rowOff>
    </xdr:to>
    <xdr:grpSp>
      <xdr:nvGrpSpPr>
        <xdr:cNvPr id="44" name="Group 43">
          <a:extLst>
            <a:ext uri="{FF2B5EF4-FFF2-40B4-BE49-F238E27FC236}">
              <a16:creationId xmlns:a16="http://schemas.microsoft.com/office/drawing/2014/main" id="{16CC0E67-9727-E248-4F42-A95096A622F7}"/>
            </a:ext>
          </a:extLst>
        </xdr:cNvPr>
        <xdr:cNvGrpSpPr/>
      </xdr:nvGrpSpPr>
      <xdr:grpSpPr>
        <a:xfrm>
          <a:off x="6799194" y="510931"/>
          <a:ext cx="678960" cy="515816"/>
          <a:chOff x="15286892" y="328245"/>
          <a:chExt cx="707205" cy="772785"/>
        </a:xfrm>
      </xdr:grpSpPr>
      <xdr:pic>
        <xdr:nvPicPr>
          <xdr:cNvPr id="14" name="Graphic 13" descr="Cruise ship with solid fill">
            <a:extLst>
              <a:ext uri="{FF2B5EF4-FFF2-40B4-BE49-F238E27FC236}">
                <a16:creationId xmlns:a16="http://schemas.microsoft.com/office/drawing/2014/main" id="{DA683D45-DFBC-4777-812D-3173A642683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286892" y="328245"/>
            <a:ext cx="707205" cy="772785"/>
          </a:xfrm>
          <a:prstGeom prst="rect">
            <a:avLst/>
          </a:prstGeom>
        </xdr:spPr>
      </xdr:pic>
      <xdr:sp macro="" textlink="">
        <xdr:nvSpPr>
          <xdr:cNvPr id="12" name="Rectangle: Rounded Corners 11">
            <a:extLst>
              <a:ext uri="{FF2B5EF4-FFF2-40B4-BE49-F238E27FC236}">
                <a16:creationId xmlns:a16="http://schemas.microsoft.com/office/drawing/2014/main" id="{1E937AC4-BC54-4B33-893B-D28EFBA7CE63}"/>
              </a:ext>
            </a:extLst>
          </xdr:cNvPr>
          <xdr:cNvSpPr/>
        </xdr:nvSpPr>
        <xdr:spPr>
          <a:xfrm>
            <a:off x="15439293" y="445478"/>
            <a:ext cx="339969" cy="164123"/>
          </a:xfrm>
          <a:prstGeom prst="roundRect">
            <a:avLst/>
          </a:prstGeom>
          <a:solidFill>
            <a:srgbClr val="02A39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6</xdr:col>
      <xdr:colOff>2446606</xdr:colOff>
      <xdr:row>75</xdr:row>
      <xdr:rowOff>113712</xdr:rowOff>
    </xdr:from>
    <xdr:to>
      <xdr:col>12</xdr:col>
      <xdr:colOff>1172</xdr:colOff>
      <xdr:row>83</xdr:row>
      <xdr:rowOff>414408</xdr:rowOff>
    </xdr:to>
    <xdr:graphicFrame macro="">
      <xdr:nvGraphicFramePr>
        <xdr:cNvPr id="4" name="Chart 3">
          <a:extLst>
            <a:ext uri="{FF2B5EF4-FFF2-40B4-BE49-F238E27FC236}">
              <a16:creationId xmlns:a16="http://schemas.microsoft.com/office/drawing/2014/main" id="{0AF5972E-BA6A-4F9B-A4A8-15A2C181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128952</xdr:colOff>
      <xdr:row>1</xdr:row>
      <xdr:rowOff>70339</xdr:rowOff>
    </xdr:from>
    <xdr:to>
      <xdr:col>11</xdr:col>
      <xdr:colOff>879229</xdr:colOff>
      <xdr:row>1</xdr:row>
      <xdr:rowOff>879231</xdr:rowOff>
    </xdr:to>
    <xdr:grpSp>
      <xdr:nvGrpSpPr>
        <xdr:cNvPr id="24" name="Group 23">
          <a:extLst>
            <a:ext uri="{FF2B5EF4-FFF2-40B4-BE49-F238E27FC236}">
              <a16:creationId xmlns:a16="http://schemas.microsoft.com/office/drawing/2014/main" id="{EFD40BDD-D848-4A36-8C24-E57423C9863C}"/>
            </a:ext>
          </a:extLst>
        </xdr:cNvPr>
        <xdr:cNvGrpSpPr/>
      </xdr:nvGrpSpPr>
      <xdr:grpSpPr>
        <a:xfrm>
          <a:off x="18534183" y="378070"/>
          <a:ext cx="750277" cy="808892"/>
          <a:chOff x="18557628" y="410308"/>
          <a:chExt cx="750277" cy="808892"/>
        </a:xfrm>
      </xdr:grpSpPr>
      <xdr:pic>
        <xdr:nvPicPr>
          <xdr:cNvPr id="25" name="Graphic 24" descr="Home outline">
            <a:hlinkClick xmlns:r="http://schemas.openxmlformats.org/officeDocument/2006/relationships" r:id="rId4"/>
            <a:extLst>
              <a:ext uri="{FF2B5EF4-FFF2-40B4-BE49-F238E27FC236}">
                <a16:creationId xmlns:a16="http://schemas.microsoft.com/office/drawing/2014/main" id="{9FA7AD57-7317-D47D-DB00-DECB142CFD7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8604519" y="410308"/>
            <a:ext cx="504093" cy="507072"/>
          </a:xfrm>
          <a:prstGeom prst="rect">
            <a:avLst/>
          </a:prstGeom>
        </xdr:spPr>
      </xdr:pic>
      <xdr:sp macro="" textlink="">
        <xdr:nvSpPr>
          <xdr:cNvPr id="26" name="TextBox 25">
            <a:hlinkClick xmlns:r="http://schemas.openxmlformats.org/officeDocument/2006/relationships" r:id="rId4"/>
            <a:extLst>
              <a:ext uri="{FF2B5EF4-FFF2-40B4-BE49-F238E27FC236}">
                <a16:creationId xmlns:a16="http://schemas.microsoft.com/office/drawing/2014/main" id="{4FB897D2-5E2E-6881-D7E3-59296A627902}"/>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1397000</xdr:colOff>
      <xdr:row>1</xdr:row>
      <xdr:rowOff>0</xdr:rowOff>
    </xdr:from>
    <xdr:to>
      <xdr:col>10</xdr:col>
      <xdr:colOff>736600</xdr:colOff>
      <xdr:row>2</xdr:row>
      <xdr:rowOff>298450</xdr:rowOff>
    </xdr:to>
    <xdr:grpSp>
      <xdr:nvGrpSpPr>
        <xdr:cNvPr id="33" name="Group 32">
          <a:hlinkClick xmlns:r="http://schemas.openxmlformats.org/officeDocument/2006/relationships" r:id="rId7"/>
          <a:extLst>
            <a:ext uri="{FF2B5EF4-FFF2-40B4-BE49-F238E27FC236}">
              <a16:creationId xmlns:a16="http://schemas.microsoft.com/office/drawing/2014/main" id="{BFA7D3EB-A74A-4E7A-AC04-04C33537F309}"/>
            </a:ext>
          </a:extLst>
        </xdr:cNvPr>
        <xdr:cNvGrpSpPr/>
      </xdr:nvGrpSpPr>
      <xdr:grpSpPr>
        <a:xfrm>
          <a:off x="15025077" y="307731"/>
          <a:ext cx="1728177" cy="1177681"/>
          <a:chOff x="17335500" y="165100"/>
          <a:chExt cx="1790700" cy="1187450"/>
        </a:xfrm>
      </xdr:grpSpPr>
      <xdr:pic>
        <xdr:nvPicPr>
          <xdr:cNvPr id="35" name="Graphic 34" descr="Badge Question Mark outline">
            <a:extLst>
              <a:ext uri="{FF2B5EF4-FFF2-40B4-BE49-F238E27FC236}">
                <a16:creationId xmlns:a16="http://schemas.microsoft.com/office/drawing/2014/main" id="{54614DB4-8EBE-6283-2724-DFCD6AD2B78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7802226" y="165100"/>
            <a:ext cx="638175" cy="638175"/>
          </a:xfrm>
          <a:prstGeom prst="rect">
            <a:avLst/>
          </a:prstGeom>
        </xdr:spPr>
      </xdr:pic>
      <xdr:sp macro="" textlink="">
        <xdr:nvSpPr>
          <xdr:cNvPr id="40" name="TextBox 39">
            <a:hlinkClick xmlns:r="http://schemas.openxmlformats.org/officeDocument/2006/relationships" r:id="rId7"/>
            <a:extLst>
              <a:ext uri="{FF2B5EF4-FFF2-40B4-BE49-F238E27FC236}">
                <a16:creationId xmlns:a16="http://schemas.microsoft.com/office/drawing/2014/main" id="{175E8F5D-11B5-04A3-6643-5361CB75BF95}"/>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1126392</xdr:colOff>
      <xdr:row>1</xdr:row>
      <xdr:rowOff>70338</xdr:rowOff>
    </xdr:from>
    <xdr:to>
      <xdr:col>10</xdr:col>
      <xdr:colOff>1982176</xdr:colOff>
      <xdr:row>1</xdr:row>
      <xdr:rowOff>879231</xdr:rowOff>
    </xdr:to>
    <xdr:grpSp>
      <xdr:nvGrpSpPr>
        <xdr:cNvPr id="41" name="Group 40">
          <a:hlinkClick xmlns:r="http://schemas.openxmlformats.org/officeDocument/2006/relationships" r:id="rId10"/>
          <a:extLst>
            <a:ext uri="{FF2B5EF4-FFF2-40B4-BE49-F238E27FC236}">
              <a16:creationId xmlns:a16="http://schemas.microsoft.com/office/drawing/2014/main" id="{7834C955-3633-49CF-8184-EF949DA10B59}"/>
            </a:ext>
          </a:extLst>
        </xdr:cNvPr>
        <xdr:cNvGrpSpPr/>
      </xdr:nvGrpSpPr>
      <xdr:grpSpPr>
        <a:xfrm>
          <a:off x="17143046" y="378069"/>
          <a:ext cx="855784" cy="808893"/>
          <a:chOff x="17783906" y="410307"/>
          <a:chExt cx="855784" cy="808893"/>
        </a:xfrm>
      </xdr:grpSpPr>
      <xdr:sp macro="" textlink="">
        <xdr:nvSpPr>
          <xdr:cNvPr id="42" name="TextBox 41">
            <a:hlinkClick xmlns:r="http://schemas.openxmlformats.org/officeDocument/2006/relationships" r:id="rId10"/>
            <a:extLst>
              <a:ext uri="{FF2B5EF4-FFF2-40B4-BE49-F238E27FC236}">
                <a16:creationId xmlns:a16="http://schemas.microsoft.com/office/drawing/2014/main" id="{6B3298D4-610B-3332-611C-FFDF9B02AD80}"/>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46" name="Graphic 45" descr="List outline">
            <a:extLst>
              <a:ext uri="{FF2B5EF4-FFF2-40B4-BE49-F238E27FC236}">
                <a16:creationId xmlns:a16="http://schemas.microsoft.com/office/drawing/2014/main" id="{B272ADB2-74CB-CC4A-7C0F-B459E4A50044}"/>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901138" y="410307"/>
            <a:ext cx="539260" cy="531557"/>
          </a:xfrm>
          <a:prstGeom prst="rect">
            <a:avLst/>
          </a:prstGeom>
        </xdr:spPr>
      </xdr:pic>
    </xdr:grpSp>
    <xdr:clientData/>
  </xdr:twoCellAnchor>
  <xdr:twoCellAnchor>
    <xdr:from>
      <xdr:col>2</xdr:col>
      <xdr:colOff>925280</xdr:colOff>
      <xdr:row>103</xdr:row>
      <xdr:rowOff>222742</xdr:rowOff>
    </xdr:from>
    <xdr:to>
      <xdr:col>4</xdr:col>
      <xdr:colOff>778741</xdr:colOff>
      <xdr:row>109</xdr:row>
      <xdr:rowOff>123934</xdr:rowOff>
    </xdr:to>
    <xdr:sp macro="" textlink="">
      <xdr:nvSpPr>
        <xdr:cNvPr id="47" name="TextBox 46">
          <a:hlinkClick xmlns:r="http://schemas.openxmlformats.org/officeDocument/2006/relationships" r:id="rId13"/>
          <a:extLst>
            <a:ext uri="{FF2B5EF4-FFF2-40B4-BE49-F238E27FC236}">
              <a16:creationId xmlns:a16="http://schemas.microsoft.com/office/drawing/2014/main" id="{2D8490E5-9979-4359-9C8E-ADB1BBC7ACF4}"/>
            </a:ext>
          </a:extLst>
        </xdr:cNvPr>
        <xdr:cNvSpPr txBox="1"/>
      </xdr:nvSpPr>
      <xdr:spPr>
        <a:xfrm>
          <a:off x="1359034" y="51593265"/>
          <a:ext cx="4941276" cy="1729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140670</xdr:colOff>
      <xdr:row>104</xdr:row>
      <xdr:rowOff>72017</xdr:rowOff>
    </xdr:from>
    <xdr:to>
      <xdr:col>2</xdr:col>
      <xdr:colOff>867501</xdr:colOff>
      <xdr:row>107</xdr:row>
      <xdr:rowOff>80907</xdr:rowOff>
    </xdr:to>
    <xdr:pic>
      <xdr:nvPicPr>
        <xdr:cNvPr id="49" name="Graphic 48" descr="CheckList outline">
          <a:hlinkClick xmlns:r="http://schemas.openxmlformats.org/officeDocument/2006/relationships" r:id="rId13"/>
          <a:extLst>
            <a:ext uri="{FF2B5EF4-FFF2-40B4-BE49-F238E27FC236}">
              <a16:creationId xmlns:a16="http://schemas.microsoft.com/office/drawing/2014/main" id="{DE6C26AE-2FD3-457C-83FD-CB521D681A0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386855" y="51747340"/>
          <a:ext cx="914400" cy="923290"/>
        </a:xfrm>
        <a:prstGeom prst="rect">
          <a:avLst/>
        </a:prstGeom>
      </xdr:spPr>
    </xdr:pic>
    <xdr:clientData/>
  </xdr:twoCellAnchor>
  <xdr:twoCellAnchor>
    <xdr:from>
      <xdr:col>8</xdr:col>
      <xdr:colOff>293077</xdr:colOff>
      <xdr:row>2</xdr:row>
      <xdr:rowOff>128954</xdr:rowOff>
    </xdr:from>
    <xdr:to>
      <xdr:col>9</xdr:col>
      <xdr:colOff>797169</xdr:colOff>
      <xdr:row>3</xdr:row>
      <xdr:rowOff>128954</xdr:rowOff>
    </xdr:to>
    <xdr:sp macro="" textlink="">
      <xdr:nvSpPr>
        <xdr:cNvPr id="54" name="Flowchart: Connector 53">
          <a:extLst>
            <a:ext uri="{FF2B5EF4-FFF2-40B4-BE49-F238E27FC236}">
              <a16:creationId xmlns:a16="http://schemas.microsoft.com/office/drawing/2014/main" id="{C0D8C547-CDB6-439E-BA73-EF810CA716D6}"/>
            </a:ext>
          </a:extLst>
        </xdr:cNvPr>
        <xdr:cNvSpPr/>
      </xdr:nvSpPr>
      <xdr:spPr>
        <a:xfrm>
          <a:off x="13704277" y="1324708"/>
          <a:ext cx="1125415" cy="30480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174171</xdr:colOff>
      <xdr:row>64</xdr:row>
      <xdr:rowOff>32657</xdr:rowOff>
    </xdr:from>
    <xdr:to>
      <xdr:col>2</xdr:col>
      <xdr:colOff>178525</xdr:colOff>
      <xdr:row>68</xdr:row>
      <xdr:rowOff>76201</xdr:rowOff>
    </xdr:to>
    <xdr:cxnSp macro="">
      <xdr:nvCxnSpPr>
        <xdr:cNvPr id="2" name="Straight Arrow Connector 1">
          <a:extLst>
            <a:ext uri="{FF2B5EF4-FFF2-40B4-BE49-F238E27FC236}">
              <a16:creationId xmlns:a16="http://schemas.microsoft.com/office/drawing/2014/main" id="{5994CBB1-E5CF-4912-85F4-9D063D08C00B}"/>
            </a:ext>
          </a:extLst>
        </xdr:cNvPr>
        <xdr:cNvCxnSpPr/>
      </xdr:nvCxnSpPr>
      <xdr:spPr>
        <a:xfrm flipH="1">
          <a:off x="608511" y="30177377"/>
          <a:ext cx="4354" cy="10341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130</xdr:row>
      <xdr:rowOff>65315</xdr:rowOff>
    </xdr:from>
    <xdr:to>
      <xdr:col>2</xdr:col>
      <xdr:colOff>228602</xdr:colOff>
      <xdr:row>136</xdr:row>
      <xdr:rowOff>0</xdr:rowOff>
    </xdr:to>
    <xdr:cxnSp macro="">
      <xdr:nvCxnSpPr>
        <xdr:cNvPr id="3" name="Straight Arrow Connector 2">
          <a:extLst>
            <a:ext uri="{FF2B5EF4-FFF2-40B4-BE49-F238E27FC236}">
              <a16:creationId xmlns:a16="http://schemas.microsoft.com/office/drawing/2014/main" id="{A94E77AE-25F3-4186-BF64-EAAC2C94681A}"/>
            </a:ext>
          </a:extLst>
        </xdr:cNvPr>
        <xdr:cNvCxnSpPr/>
      </xdr:nvCxnSpPr>
      <xdr:spPr>
        <a:xfrm flipH="1">
          <a:off x="630286" y="61840655"/>
          <a:ext cx="32656" cy="103196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206829</xdr:colOff>
      <xdr:row>176</xdr:row>
      <xdr:rowOff>119744</xdr:rowOff>
    </xdr:from>
    <xdr:to>
      <xdr:col>2</xdr:col>
      <xdr:colOff>228600</xdr:colOff>
      <xdr:row>181</xdr:row>
      <xdr:rowOff>76200</xdr:rowOff>
    </xdr:to>
    <xdr:cxnSp macro="">
      <xdr:nvCxnSpPr>
        <xdr:cNvPr id="5" name="Straight Arrow Connector 4">
          <a:extLst>
            <a:ext uri="{FF2B5EF4-FFF2-40B4-BE49-F238E27FC236}">
              <a16:creationId xmlns:a16="http://schemas.microsoft.com/office/drawing/2014/main" id="{A906D3D3-967B-4D8C-A4E3-539B1CF6240D}"/>
            </a:ext>
          </a:extLst>
        </xdr:cNvPr>
        <xdr:cNvCxnSpPr/>
      </xdr:nvCxnSpPr>
      <xdr:spPr>
        <a:xfrm flipH="1">
          <a:off x="641169" y="83535884"/>
          <a:ext cx="21771" cy="88609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308066</xdr:colOff>
      <xdr:row>112</xdr:row>
      <xdr:rowOff>3266</xdr:rowOff>
    </xdr:from>
    <xdr:to>
      <xdr:col>7</xdr:col>
      <xdr:colOff>10885</xdr:colOff>
      <xdr:row>113</xdr:row>
      <xdr:rowOff>413658</xdr:rowOff>
    </xdr:to>
    <xdr:sp macro="" textlink="">
      <xdr:nvSpPr>
        <xdr:cNvPr id="6" name="TextBox 5">
          <a:extLst>
            <a:ext uri="{FF2B5EF4-FFF2-40B4-BE49-F238E27FC236}">
              <a16:creationId xmlns:a16="http://schemas.microsoft.com/office/drawing/2014/main" id="{4E25740D-D569-4D42-B992-FBFC4C13ABB5}"/>
            </a:ext>
          </a:extLst>
        </xdr:cNvPr>
        <xdr:cNvSpPr txBox="1"/>
      </xdr:nvSpPr>
      <xdr:spPr>
        <a:xfrm>
          <a:off x="742406" y="61584840"/>
          <a:ext cx="11917679" cy="0"/>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0" i="0" u="none" strike="noStrike" baseline="0">
              <a:solidFill>
                <a:srgbClr val="993300"/>
              </a:solidFill>
              <a:effectLst/>
              <a:latin typeface="Aptos" panose="020B0004020202020204" pitchFamily="34" charset="0"/>
              <a:ea typeface="+mn-ea"/>
              <a:cs typeface="+mn-cs"/>
            </a:rPr>
            <a:t>             1. Completar esta secção caso tenha seleccionado a opção II;</a:t>
          </a:r>
        </a:p>
        <a:p>
          <a:pPr algn="l"/>
          <a:r>
            <a:rPr lang="en-GB" sz="1400" b="0" i="0" u="none" strike="noStrike" baseline="0">
              <a:solidFill>
                <a:srgbClr val="993300"/>
              </a:solidFill>
              <a:effectLst/>
              <a:latin typeface="Aptos" panose="020B0004020202020204" pitchFamily="34" charset="0"/>
              <a:ea typeface="+mn-ea"/>
              <a:cs typeface="+mn-cs"/>
            </a:rPr>
            <a:t>             2. Definir os tempos de viagem em movimentos pendulares para os vários modos de transporte;</a:t>
          </a:r>
        </a:p>
        <a:p>
          <a:pPr algn="l"/>
          <a:r>
            <a:rPr lang="en-GB" sz="1400" b="0" i="0" u="none" strike="noStrike" baseline="0">
              <a:solidFill>
                <a:srgbClr val="993300"/>
              </a:solidFill>
              <a:effectLst/>
              <a:latin typeface="Aptos" panose="020B0004020202020204" pitchFamily="34" charset="0"/>
              <a:ea typeface="+mn-ea"/>
              <a:cs typeface="+mn-cs"/>
            </a:rPr>
            <a:t>             3. Especificar a </a:t>
          </a:r>
          <a:r>
            <a:rPr lang="en-GB" sz="1400" b="1" i="0" u="none" strike="noStrike" baseline="0">
              <a:solidFill>
                <a:srgbClr val="993300"/>
              </a:solidFill>
              <a:effectLst/>
              <a:latin typeface="Aptos" panose="020B0004020202020204" pitchFamily="34" charset="0"/>
              <a:ea typeface="+mn-ea"/>
              <a:cs typeface="+mn-cs"/>
            </a:rPr>
            <a:t>fonte dos dados </a:t>
          </a:r>
          <a:r>
            <a:rPr lang="en-GB" sz="1400" b="0" i="0" u="none" strike="noStrike" baseline="0">
              <a:solidFill>
                <a:srgbClr val="993300"/>
              </a:solidFill>
              <a:effectLst/>
              <a:latin typeface="Aptos" panose="020B0004020202020204" pitchFamily="34" charset="0"/>
              <a:ea typeface="+mn-ea"/>
              <a:cs typeface="+mn-cs"/>
            </a:rPr>
            <a:t>e a </a:t>
          </a:r>
          <a:r>
            <a:rPr lang="en-GB" sz="1400" b="1" i="0" u="none" strike="noStrike" baseline="0">
              <a:solidFill>
                <a:srgbClr val="993300"/>
              </a:solidFill>
              <a:effectLst/>
              <a:latin typeface="Aptos" panose="020B0004020202020204" pitchFamily="34" charset="0"/>
              <a:ea typeface="+mn-ea"/>
              <a:cs typeface="+mn-cs"/>
            </a:rPr>
            <a:t>metodologia</a:t>
          </a:r>
          <a:r>
            <a:rPr lang="en-GB" sz="1400" b="0" i="0" u="none" strike="noStrike" baseline="0">
              <a:solidFill>
                <a:srgbClr val="993300"/>
              </a:solidFill>
              <a:effectLst/>
              <a:latin typeface="Aptos" panose="020B0004020202020204" pitchFamily="34" charset="0"/>
              <a:ea typeface="+mn-ea"/>
              <a:cs typeface="+mn-cs"/>
            </a:rPr>
            <a:t> utilizada para estimar os tempos médios de viagem.</a:t>
          </a:r>
        </a:p>
        <a:p>
          <a:pPr algn="l"/>
          <a:r>
            <a:rPr lang="en-GB" sz="1400" b="0" i="0" u="none" strike="noStrike" baseline="0">
              <a:solidFill>
                <a:srgbClr val="993300"/>
              </a:solidFill>
              <a:effectLst/>
              <a:latin typeface="Aptos" panose="020B0004020202020204" pitchFamily="34" charset="0"/>
              <a:ea typeface="+mn-ea"/>
              <a:cs typeface="+mn-cs"/>
            </a:rPr>
            <a:t>             4. Sugestão: Utilizar a ferramenta                                      para calcular os tempos de viagem.</a:t>
          </a:r>
        </a:p>
      </xdr:txBody>
    </xdr:sp>
    <xdr:clientData/>
  </xdr:twoCellAnchor>
  <xdr:twoCellAnchor>
    <xdr:from>
      <xdr:col>1</xdr:col>
      <xdr:colOff>185057</xdr:colOff>
      <xdr:row>111</xdr:row>
      <xdr:rowOff>130628</xdr:rowOff>
    </xdr:from>
    <xdr:to>
      <xdr:col>2</xdr:col>
      <xdr:colOff>729342</xdr:colOff>
      <xdr:row>112</xdr:row>
      <xdr:rowOff>261256</xdr:rowOff>
    </xdr:to>
    <xdr:sp macro="" textlink="">
      <xdr:nvSpPr>
        <xdr:cNvPr id="7" name="Flowchart: Connector 6">
          <a:extLst>
            <a:ext uri="{FF2B5EF4-FFF2-40B4-BE49-F238E27FC236}">
              <a16:creationId xmlns:a16="http://schemas.microsoft.com/office/drawing/2014/main" id="{A4C2EF56-9251-4E0C-9A9F-8207E3CB3596}"/>
            </a:ext>
          </a:extLst>
        </xdr:cNvPr>
        <xdr:cNvSpPr/>
      </xdr:nvSpPr>
      <xdr:spPr>
        <a:xfrm>
          <a:off x="436517" y="61584840"/>
          <a:ext cx="727165" cy="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i="0">
              <a:solidFill>
                <a:srgbClr val="993300"/>
              </a:solidFill>
              <a:latin typeface="Aptos" panose="020B0004020202020204" pitchFamily="34" charset="0"/>
            </a:rPr>
            <a:t>info</a:t>
          </a:r>
        </a:p>
      </xdr:txBody>
    </xdr:sp>
    <xdr:clientData/>
  </xdr:twoCellAnchor>
  <xdr:twoCellAnchor>
    <xdr:from>
      <xdr:col>3</xdr:col>
      <xdr:colOff>587829</xdr:colOff>
      <xdr:row>112</xdr:row>
      <xdr:rowOff>718457</xdr:rowOff>
    </xdr:from>
    <xdr:to>
      <xdr:col>4</xdr:col>
      <xdr:colOff>957943</xdr:colOff>
      <xdr:row>113</xdr:row>
      <xdr:rowOff>283028</xdr:rowOff>
    </xdr:to>
    <xdr:sp macro="" textlink="">
      <xdr:nvSpPr>
        <xdr:cNvPr id="8" name="TextBox 7">
          <a:hlinkClick xmlns:r="http://schemas.openxmlformats.org/officeDocument/2006/relationships" r:id="rId1"/>
          <a:extLst>
            <a:ext uri="{FF2B5EF4-FFF2-40B4-BE49-F238E27FC236}">
              <a16:creationId xmlns:a16="http://schemas.microsoft.com/office/drawing/2014/main" id="{4D0BBD76-57F7-453D-B99B-7F77C8909BDA}"/>
            </a:ext>
          </a:extLst>
        </xdr:cNvPr>
        <xdr:cNvSpPr txBox="1"/>
      </xdr:nvSpPr>
      <xdr:spPr>
        <a:xfrm>
          <a:off x="4314009" y="61584840"/>
          <a:ext cx="1490254" cy="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i="0" u="none" strike="noStrike" baseline="0">
              <a:solidFill>
                <a:schemeClr val="bg1"/>
              </a:solidFill>
              <a:effectLst/>
              <a:latin typeface="Aptos" panose="020B0004020202020204" pitchFamily="34" charset="0"/>
              <a:ea typeface="+mn-ea"/>
              <a:cs typeface="+mn-cs"/>
            </a:rPr>
            <a:t>"googlemaps" </a:t>
          </a:r>
        </a:p>
      </xdr:txBody>
    </xdr:sp>
    <xdr:clientData/>
  </xdr:twoCellAnchor>
  <xdr:twoCellAnchor>
    <xdr:from>
      <xdr:col>11</xdr:col>
      <xdr:colOff>398585</xdr:colOff>
      <xdr:row>1</xdr:row>
      <xdr:rowOff>105508</xdr:rowOff>
    </xdr:from>
    <xdr:to>
      <xdr:col>11</xdr:col>
      <xdr:colOff>1148862</xdr:colOff>
      <xdr:row>1</xdr:row>
      <xdr:rowOff>874204</xdr:rowOff>
    </xdr:to>
    <xdr:grpSp>
      <xdr:nvGrpSpPr>
        <xdr:cNvPr id="9" name="Group 8">
          <a:hlinkClick xmlns:r="http://schemas.openxmlformats.org/officeDocument/2006/relationships" r:id="rId2"/>
          <a:extLst>
            <a:ext uri="{FF2B5EF4-FFF2-40B4-BE49-F238E27FC236}">
              <a16:creationId xmlns:a16="http://schemas.microsoft.com/office/drawing/2014/main" id="{E5C73B6B-DECC-4232-80F1-754230B7BF3C}"/>
            </a:ext>
          </a:extLst>
        </xdr:cNvPr>
        <xdr:cNvGrpSpPr/>
      </xdr:nvGrpSpPr>
      <xdr:grpSpPr>
        <a:xfrm>
          <a:off x="17558017" y="293122"/>
          <a:ext cx="750277" cy="768696"/>
          <a:chOff x="17877692" y="281353"/>
          <a:chExt cx="750277" cy="768696"/>
        </a:xfrm>
      </xdr:grpSpPr>
      <xdr:pic>
        <xdr:nvPicPr>
          <xdr:cNvPr id="10" name="Graphic 9" descr="Home outline">
            <a:extLst>
              <a:ext uri="{FF2B5EF4-FFF2-40B4-BE49-F238E27FC236}">
                <a16:creationId xmlns:a16="http://schemas.microsoft.com/office/drawing/2014/main" id="{86B95407-4883-8407-C20D-23A00BB3933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7971483" y="281353"/>
            <a:ext cx="504093" cy="504093"/>
          </a:xfrm>
          <a:prstGeom prst="rect">
            <a:avLst/>
          </a:prstGeom>
        </xdr:spPr>
      </xdr:pic>
      <xdr:sp macro="" textlink="">
        <xdr:nvSpPr>
          <xdr:cNvPr id="11" name="TextBox 10">
            <a:extLst>
              <a:ext uri="{FF2B5EF4-FFF2-40B4-BE49-F238E27FC236}">
                <a16:creationId xmlns:a16="http://schemas.microsoft.com/office/drawing/2014/main" id="{14C7ABE8-BA05-16E2-B2A0-0FE9F0125580}"/>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xdr:from>
      <xdr:col>7</xdr:col>
      <xdr:colOff>90264</xdr:colOff>
      <xdr:row>137</xdr:row>
      <xdr:rowOff>286042</xdr:rowOff>
    </xdr:from>
    <xdr:to>
      <xdr:col>13</xdr:col>
      <xdr:colOff>406790</xdr:colOff>
      <xdr:row>147</xdr:row>
      <xdr:rowOff>187569</xdr:rowOff>
    </xdr:to>
    <xdr:graphicFrame macro="">
      <xdr:nvGraphicFramePr>
        <xdr:cNvPr id="12" name="Chart 11">
          <a:extLst>
            <a:ext uri="{FF2B5EF4-FFF2-40B4-BE49-F238E27FC236}">
              <a16:creationId xmlns:a16="http://schemas.microsoft.com/office/drawing/2014/main" id="{B2B63A0F-F200-4949-A38C-D6E9A8F10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1957753</xdr:colOff>
      <xdr:row>182</xdr:row>
      <xdr:rowOff>164122</xdr:rowOff>
    </xdr:from>
    <xdr:to>
      <xdr:col>8</xdr:col>
      <xdr:colOff>357407</xdr:colOff>
      <xdr:row>188</xdr:row>
      <xdr:rowOff>37623</xdr:rowOff>
    </xdr:to>
    <xdr:grpSp>
      <xdr:nvGrpSpPr>
        <xdr:cNvPr id="13" name="Group 12">
          <a:extLst>
            <a:ext uri="{FF2B5EF4-FFF2-40B4-BE49-F238E27FC236}">
              <a16:creationId xmlns:a16="http://schemas.microsoft.com/office/drawing/2014/main" id="{28ECBBAA-D478-4368-982F-97EF24B6F558}"/>
            </a:ext>
          </a:extLst>
        </xdr:cNvPr>
        <xdr:cNvGrpSpPr/>
      </xdr:nvGrpSpPr>
      <xdr:grpSpPr>
        <a:xfrm>
          <a:off x="11756958" y="75642531"/>
          <a:ext cx="1156131" cy="999183"/>
          <a:chOff x="7491046" y="107078585"/>
          <a:chExt cx="1224916" cy="998916"/>
        </a:xfrm>
      </xdr:grpSpPr>
      <xdr:pic>
        <xdr:nvPicPr>
          <xdr:cNvPr id="14" name="Graphic 13" descr="Caret Up outline">
            <a:extLst>
              <a:ext uri="{FF2B5EF4-FFF2-40B4-BE49-F238E27FC236}">
                <a16:creationId xmlns:a16="http://schemas.microsoft.com/office/drawing/2014/main" id="{A8CD7255-7730-407F-2849-D339C1CC7BB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7491046" y="107078585"/>
            <a:ext cx="914400" cy="914400"/>
          </a:xfrm>
          <a:prstGeom prst="rect">
            <a:avLst/>
          </a:prstGeom>
        </xdr:spPr>
      </xdr:pic>
      <xdr:sp macro="" textlink="">
        <xdr:nvSpPr>
          <xdr:cNvPr id="15" name="TextBox 14">
            <a:hlinkClick xmlns:r="http://schemas.openxmlformats.org/officeDocument/2006/relationships" r:id="rId8"/>
            <a:extLst>
              <a:ext uri="{FF2B5EF4-FFF2-40B4-BE49-F238E27FC236}">
                <a16:creationId xmlns:a16="http://schemas.microsoft.com/office/drawing/2014/main" id="{C8E4C8AE-B91E-B946-2381-BDC0F3C4C6B1}"/>
              </a:ext>
            </a:extLst>
          </xdr:cNvPr>
          <xdr:cNvSpPr txBox="1"/>
        </xdr:nvSpPr>
        <xdr:spPr>
          <a:xfrm>
            <a:off x="7597726" y="107703425"/>
            <a:ext cx="1118236" cy="374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800">
                <a:solidFill>
                  <a:sysClr val="windowText" lastClr="000000"/>
                </a:solidFill>
                <a:latin typeface="Aptos" panose="020B0004020202020204" pitchFamily="34" charset="0"/>
              </a:rPr>
              <a:t>Início</a:t>
            </a:r>
          </a:p>
        </xdr:txBody>
      </xdr:sp>
    </xdr:grpSp>
    <xdr:clientData/>
  </xdr:twoCellAnchor>
  <xdr:twoCellAnchor>
    <xdr:from>
      <xdr:col>8</xdr:col>
      <xdr:colOff>351692</xdr:colOff>
      <xdr:row>2</xdr:row>
      <xdr:rowOff>164123</xdr:rowOff>
    </xdr:from>
    <xdr:to>
      <xdr:col>9</xdr:col>
      <xdr:colOff>761998</xdr:colOff>
      <xdr:row>4</xdr:row>
      <xdr:rowOff>86933</xdr:rowOff>
    </xdr:to>
    <xdr:sp macro="" textlink="">
      <xdr:nvSpPr>
        <xdr:cNvPr id="16" name="Flowchart: Connector 15">
          <a:extLst>
            <a:ext uri="{FF2B5EF4-FFF2-40B4-BE49-F238E27FC236}">
              <a16:creationId xmlns:a16="http://schemas.microsoft.com/office/drawing/2014/main" id="{056BB1CC-CDE0-4F4D-89F7-34EBE5FD1FED}"/>
            </a:ext>
          </a:extLst>
        </xdr:cNvPr>
        <xdr:cNvSpPr/>
      </xdr:nvSpPr>
      <xdr:spPr>
        <a:xfrm>
          <a:off x="13252352" y="1238543"/>
          <a:ext cx="1050386" cy="296190"/>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8</xdr:col>
      <xdr:colOff>293076</xdr:colOff>
      <xdr:row>18</xdr:row>
      <xdr:rowOff>23446</xdr:rowOff>
    </xdr:from>
    <xdr:to>
      <xdr:col>9</xdr:col>
      <xdr:colOff>761999</xdr:colOff>
      <xdr:row>19</xdr:row>
      <xdr:rowOff>35169</xdr:rowOff>
    </xdr:to>
    <xdr:sp macro="" textlink="">
      <xdr:nvSpPr>
        <xdr:cNvPr id="17" name="Flowchart: Connector 16">
          <a:extLst>
            <a:ext uri="{FF2B5EF4-FFF2-40B4-BE49-F238E27FC236}">
              <a16:creationId xmlns:a16="http://schemas.microsoft.com/office/drawing/2014/main" id="{47C72355-CB3F-4C84-90CB-00C00B3D2E76}"/>
            </a:ext>
          </a:extLst>
        </xdr:cNvPr>
        <xdr:cNvSpPr/>
      </xdr:nvSpPr>
      <xdr:spPr>
        <a:xfrm>
          <a:off x="13193736" y="7399606"/>
          <a:ext cx="110900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2</xdr:col>
      <xdr:colOff>697859</xdr:colOff>
      <xdr:row>181</xdr:row>
      <xdr:rowOff>137160</xdr:rowOff>
    </xdr:from>
    <xdr:to>
      <xdr:col>4</xdr:col>
      <xdr:colOff>1219535</xdr:colOff>
      <xdr:row>189</xdr:row>
      <xdr:rowOff>111035</xdr:rowOff>
    </xdr:to>
    <xdr:sp macro="" textlink="">
      <xdr:nvSpPr>
        <xdr:cNvPr id="18" name="TextBox 17">
          <a:hlinkClick xmlns:r="http://schemas.openxmlformats.org/officeDocument/2006/relationships" r:id="rId9"/>
          <a:extLst>
            <a:ext uri="{FF2B5EF4-FFF2-40B4-BE49-F238E27FC236}">
              <a16:creationId xmlns:a16="http://schemas.microsoft.com/office/drawing/2014/main" id="{15EFB0AA-BEFC-4C10-9662-AE09C491E2AD}"/>
            </a:ext>
          </a:extLst>
        </xdr:cNvPr>
        <xdr:cNvSpPr txBox="1"/>
      </xdr:nvSpPr>
      <xdr:spPr>
        <a:xfrm>
          <a:off x="1132199" y="84482940"/>
          <a:ext cx="493365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0</xdr:col>
      <xdr:colOff>167640</xdr:colOff>
      <xdr:row>182</xdr:row>
      <xdr:rowOff>108355</xdr:rowOff>
    </xdr:from>
    <xdr:to>
      <xdr:col>2</xdr:col>
      <xdr:colOff>640080</xdr:colOff>
      <xdr:row>187</xdr:row>
      <xdr:rowOff>108354</xdr:rowOff>
    </xdr:to>
    <xdr:pic>
      <xdr:nvPicPr>
        <xdr:cNvPr id="19" name="Graphic 18" descr="CheckList outline">
          <a:hlinkClick xmlns:r="http://schemas.openxmlformats.org/officeDocument/2006/relationships" r:id="rId9"/>
          <a:extLst>
            <a:ext uri="{FF2B5EF4-FFF2-40B4-BE49-F238E27FC236}">
              <a16:creationId xmlns:a16="http://schemas.microsoft.com/office/drawing/2014/main" id="{9934B2E6-AA2C-4BAC-822E-54C9C8D38A6E}"/>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67640" y="84637015"/>
          <a:ext cx="906780" cy="914401"/>
        </a:xfrm>
        <a:prstGeom prst="rect">
          <a:avLst/>
        </a:prstGeom>
      </xdr:spPr>
    </xdr:pic>
    <xdr:clientData/>
  </xdr:twoCellAnchor>
  <xdr:twoCellAnchor editAs="oneCell">
    <xdr:from>
      <xdr:col>4</xdr:col>
      <xdr:colOff>2438401</xdr:colOff>
      <xdr:row>1</xdr:row>
      <xdr:rowOff>175846</xdr:rowOff>
    </xdr:from>
    <xdr:to>
      <xdr:col>5</xdr:col>
      <xdr:colOff>433754</xdr:colOff>
      <xdr:row>1</xdr:row>
      <xdr:rowOff>808891</xdr:rowOff>
    </xdr:to>
    <xdr:pic>
      <xdr:nvPicPr>
        <xdr:cNvPr id="21" name="Graphic 20" descr="Car outline">
          <a:extLst>
            <a:ext uri="{FF2B5EF4-FFF2-40B4-BE49-F238E27FC236}">
              <a16:creationId xmlns:a16="http://schemas.microsoft.com/office/drawing/2014/main" id="{8EF2F72B-7A7F-33FB-47F3-89F3C503AE9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7291755" y="363415"/>
          <a:ext cx="633045" cy="633045"/>
        </a:xfrm>
        <a:prstGeom prst="rect">
          <a:avLst/>
        </a:prstGeom>
      </xdr:spPr>
    </xdr:pic>
    <xdr:clientData/>
  </xdr:twoCellAnchor>
  <xdr:twoCellAnchor>
    <xdr:from>
      <xdr:col>9</xdr:col>
      <xdr:colOff>1465382</xdr:colOff>
      <xdr:row>1</xdr:row>
      <xdr:rowOff>0</xdr:rowOff>
    </xdr:from>
    <xdr:to>
      <xdr:col>10</xdr:col>
      <xdr:colOff>687751</xdr:colOff>
      <xdr:row>3</xdr:row>
      <xdr:rowOff>110881</xdr:rowOff>
    </xdr:to>
    <xdr:grpSp>
      <xdr:nvGrpSpPr>
        <xdr:cNvPr id="4" name="Group 3">
          <a:hlinkClick xmlns:r="http://schemas.openxmlformats.org/officeDocument/2006/relationships" r:id="rId14"/>
          <a:extLst>
            <a:ext uri="{FF2B5EF4-FFF2-40B4-BE49-F238E27FC236}">
              <a16:creationId xmlns:a16="http://schemas.microsoft.com/office/drawing/2014/main" id="{9B6716B7-E5E7-4BBD-AAED-8AD1E9AD2583}"/>
            </a:ext>
          </a:extLst>
        </xdr:cNvPr>
        <xdr:cNvGrpSpPr/>
      </xdr:nvGrpSpPr>
      <xdr:grpSpPr>
        <a:xfrm>
          <a:off x="14641632" y="187614"/>
          <a:ext cx="1719074" cy="1178835"/>
          <a:chOff x="17335500" y="165100"/>
          <a:chExt cx="1790700" cy="1187450"/>
        </a:xfrm>
      </xdr:grpSpPr>
      <xdr:pic>
        <xdr:nvPicPr>
          <xdr:cNvPr id="20" name="Graphic 19" descr="Badge Question Mark outline">
            <a:extLst>
              <a:ext uri="{FF2B5EF4-FFF2-40B4-BE49-F238E27FC236}">
                <a16:creationId xmlns:a16="http://schemas.microsoft.com/office/drawing/2014/main" id="{D1447DB7-2B3E-DD70-DF57-860A55BCD327}"/>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7802226" y="165100"/>
            <a:ext cx="638175" cy="638175"/>
          </a:xfrm>
          <a:prstGeom prst="rect">
            <a:avLst/>
          </a:prstGeom>
        </xdr:spPr>
      </xdr:pic>
      <xdr:sp macro="" textlink="">
        <xdr:nvSpPr>
          <xdr:cNvPr id="22" name="TextBox 21">
            <a:hlinkClick xmlns:r="http://schemas.openxmlformats.org/officeDocument/2006/relationships" r:id="rId14"/>
            <a:extLst>
              <a:ext uri="{FF2B5EF4-FFF2-40B4-BE49-F238E27FC236}">
                <a16:creationId xmlns:a16="http://schemas.microsoft.com/office/drawing/2014/main" id="{F99D7339-2297-C6CD-092D-9A76730714E3}"/>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761022</xdr:colOff>
      <xdr:row>1</xdr:row>
      <xdr:rowOff>70338</xdr:rowOff>
    </xdr:from>
    <xdr:to>
      <xdr:col>11</xdr:col>
      <xdr:colOff>81083</xdr:colOff>
      <xdr:row>1</xdr:row>
      <xdr:rowOff>879231</xdr:rowOff>
    </xdr:to>
    <xdr:grpSp>
      <xdr:nvGrpSpPr>
        <xdr:cNvPr id="23" name="Group 22">
          <a:extLst>
            <a:ext uri="{FF2B5EF4-FFF2-40B4-BE49-F238E27FC236}">
              <a16:creationId xmlns:a16="http://schemas.microsoft.com/office/drawing/2014/main" id="{AA857015-E673-43D2-84E6-320CA6175FC9}"/>
            </a:ext>
          </a:extLst>
        </xdr:cNvPr>
        <xdr:cNvGrpSpPr/>
      </xdr:nvGrpSpPr>
      <xdr:grpSpPr>
        <a:xfrm>
          <a:off x="16433977" y="257952"/>
          <a:ext cx="806538" cy="808893"/>
          <a:chOff x="17783906" y="410307"/>
          <a:chExt cx="855784" cy="808893"/>
        </a:xfrm>
      </xdr:grpSpPr>
      <xdr:sp macro="" textlink="">
        <xdr:nvSpPr>
          <xdr:cNvPr id="24" name="TextBox 23">
            <a:hlinkClick xmlns:r="http://schemas.openxmlformats.org/officeDocument/2006/relationships" r:id="rId17"/>
            <a:extLst>
              <a:ext uri="{FF2B5EF4-FFF2-40B4-BE49-F238E27FC236}">
                <a16:creationId xmlns:a16="http://schemas.microsoft.com/office/drawing/2014/main" id="{11D53C60-FB24-66F6-7D6E-600B5FBB4E56}"/>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5" name="Graphic 24" descr="List outline">
            <a:extLst>
              <a:ext uri="{FF2B5EF4-FFF2-40B4-BE49-F238E27FC236}">
                <a16:creationId xmlns:a16="http://schemas.microsoft.com/office/drawing/2014/main" id="{D6C8D1D9-760E-0F2F-0CE0-1CF102FFF3ED}"/>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7901138" y="410307"/>
            <a:ext cx="539260" cy="531557"/>
          </a:xfrm>
          <a:prstGeom prst="rect">
            <a:avLst/>
          </a:prstGeom>
        </xdr:spPr>
      </xdr:pic>
    </xdr:grpSp>
    <xdr:clientData/>
  </xdr:twoCellAnchor>
  <xdr:twoCellAnchor>
    <xdr:from>
      <xdr:col>2</xdr:col>
      <xdr:colOff>431636</xdr:colOff>
      <xdr:row>147</xdr:row>
      <xdr:rowOff>128955</xdr:rowOff>
    </xdr:from>
    <xdr:to>
      <xdr:col>2</xdr:col>
      <xdr:colOff>442522</xdr:colOff>
      <xdr:row>149</xdr:row>
      <xdr:rowOff>65558</xdr:rowOff>
    </xdr:to>
    <xdr:cxnSp macro="">
      <xdr:nvCxnSpPr>
        <xdr:cNvPr id="26" name="Straight Arrow Connector 25">
          <a:extLst>
            <a:ext uri="{FF2B5EF4-FFF2-40B4-BE49-F238E27FC236}">
              <a16:creationId xmlns:a16="http://schemas.microsoft.com/office/drawing/2014/main" id="{F4BD62BC-B2EB-40CC-9321-CAD9571F3B6E}"/>
            </a:ext>
          </a:extLst>
        </xdr:cNvPr>
        <xdr:cNvCxnSpPr/>
      </xdr:nvCxnSpPr>
      <xdr:spPr>
        <a:xfrm>
          <a:off x="865390" y="60420740"/>
          <a:ext cx="10886" cy="792387"/>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948734</xdr:colOff>
      <xdr:row>149</xdr:row>
      <xdr:rowOff>82069</xdr:rowOff>
    </xdr:from>
    <xdr:to>
      <xdr:col>4</xdr:col>
      <xdr:colOff>1470410</xdr:colOff>
      <xdr:row>152</xdr:row>
      <xdr:rowOff>264615</xdr:rowOff>
    </xdr:to>
    <xdr:sp macro="" textlink="">
      <xdr:nvSpPr>
        <xdr:cNvPr id="27" name="TextBox 26">
          <a:hlinkClick xmlns:r="http://schemas.openxmlformats.org/officeDocument/2006/relationships" r:id="rId20"/>
          <a:extLst>
            <a:ext uri="{FF2B5EF4-FFF2-40B4-BE49-F238E27FC236}">
              <a16:creationId xmlns:a16="http://schemas.microsoft.com/office/drawing/2014/main" id="{D5447768-15AB-4F90-9072-5459A42E7B3F}"/>
            </a:ext>
          </a:extLst>
        </xdr:cNvPr>
        <xdr:cNvSpPr txBox="1"/>
      </xdr:nvSpPr>
      <xdr:spPr>
        <a:xfrm>
          <a:off x="1382488" y="61229638"/>
          <a:ext cx="4941276" cy="17299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1</xdr:col>
      <xdr:colOff>164124</xdr:colOff>
      <xdr:row>149</xdr:row>
      <xdr:rowOff>236144</xdr:rowOff>
    </xdr:from>
    <xdr:to>
      <xdr:col>2</xdr:col>
      <xdr:colOff>890955</xdr:colOff>
      <xdr:row>151</xdr:row>
      <xdr:rowOff>127803</xdr:rowOff>
    </xdr:to>
    <xdr:pic>
      <xdr:nvPicPr>
        <xdr:cNvPr id="28" name="Graphic 27" descr="CheckList outline">
          <a:hlinkClick xmlns:r="http://schemas.openxmlformats.org/officeDocument/2006/relationships" r:id="rId20"/>
          <a:extLst>
            <a:ext uri="{FF2B5EF4-FFF2-40B4-BE49-F238E27FC236}">
              <a16:creationId xmlns:a16="http://schemas.microsoft.com/office/drawing/2014/main" id="{DEC2B255-16E1-4C4F-A679-A14615D2015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410309" y="61383713"/>
          <a:ext cx="914400" cy="92329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1125292</xdr:colOff>
      <xdr:row>1</xdr:row>
      <xdr:rowOff>1</xdr:rowOff>
    </xdr:from>
    <xdr:to>
      <xdr:col>8</xdr:col>
      <xdr:colOff>249381</xdr:colOff>
      <xdr:row>2</xdr:row>
      <xdr:rowOff>39730</xdr:rowOff>
    </xdr:to>
    <xdr:grpSp>
      <xdr:nvGrpSpPr>
        <xdr:cNvPr id="2" name="Group 1">
          <a:hlinkClick xmlns:r="http://schemas.openxmlformats.org/officeDocument/2006/relationships" r:id="rId1"/>
          <a:extLst>
            <a:ext uri="{FF2B5EF4-FFF2-40B4-BE49-F238E27FC236}">
              <a16:creationId xmlns:a16="http://schemas.microsoft.com/office/drawing/2014/main" id="{389228F2-8A6D-4A27-A1B6-11909210027A}"/>
            </a:ext>
          </a:extLst>
        </xdr:cNvPr>
        <xdr:cNvGrpSpPr/>
      </xdr:nvGrpSpPr>
      <xdr:grpSpPr>
        <a:xfrm>
          <a:off x="11810610" y="381001"/>
          <a:ext cx="838589" cy="922956"/>
          <a:chOff x="17877692" y="281353"/>
          <a:chExt cx="750277" cy="768696"/>
        </a:xfrm>
      </xdr:grpSpPr>
      <xdr:pic>
        <xdr:nvPicPr>
          <xdr:cNvPr id="3" name="Graphic 2" descr="Home outline">
            <a:extLst>
              <a:ext uri="{FF2B5EF4-FFF2-40B4-BE49-F238E27FC236}">
                <a16:creationId xmlns:a16="http://schemas.microsoft.com/office/drawing/2014/main" id="{3EDCF92C-7C91-D568-E766-F16E915BD559}"/>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4" name="TextBox 3">
            <a:extLst>
              <a:ext uri="{FF2B5EF4-FFF2-40B4-BE49-F238E27FC236}">
                <a16:creationId xmlns:a16="http://schemas.microsoft.com/office/drawing/2014/main" id="{A64A659A-6261-1BC4-4CF2-7AEAF6F87A8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  Índice  </a:t>
            </a:r>
          </a:p>
        </xdr:txBody>
      </xdr:sp>
    </xdr:grpSp>
    <xdr:clientData/>
  </xdr:twoCellAnchor>
  <xdr:twoCellAnchor>
    <xdr:from>
      <xdr:col>1</xdr:col>
      <xdr:colOff>166253</xdr:colOff>
      <xdr:row>18</xdr:row>
      <xdr:rowOff>512620</xdr:rowOff>
    </xdr:from>
    <xdr:to>
      <xdr:col>7</xdr:col>
      <xdr:colOff>914400</xdr:colOff>
      <xdr:row>19</xdr:row>
      <xdr:rowOff>2424546</xdr:rowOff>
    </xdr:to>
    <xdr:graphicFrame macro="">
      <xdr:nvGraphicFramePr>
        <xdr:cNvPr id="8" name="Chart 7">
          <a:extLst>
            <a:ext uri="{FF2B5EF4-FFF2-40B4-BE49-F238E27FC236}">
              <a16:creationId xmlns:a16="http://schemas.microsoft.com/office/drawing/2014/main" id="{0D555E82-4565-4331-95DA-000142265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61813</xdr:colOff>
      <xdr:row>1</xdr:row>
      <xdr:rowOff>83125</xdr:rowOff>
    </xdr:from>
    <xdr:to>
      <xdr:col>6</xdr:col>
      <xdr:colOff>210110</xdr:colOff>
      <xdr:row>1</xdr:row>
      <xdr:rowOff>859441</xdr:rowOff>
    </xdr:to>
    <xdr:grpSp>
      <xdr:nvGrpSpPr>
        <xdr:cNvPr id="5" name="Group 4">
          <a:hlinkClick xmlns:r="http://schemas.openxmlformats.org/officeDocument/2006/relationships" r:id="rId1"/>
          <a:extLst>
            <a:ext uri="{FF2B5EF4-FFF2-40B4-BE49-F238E27FC236}">
              <a16:creationId xmlns:a16="http://schemas.microsoft.com/office/drawing/2014/main" id="{55A08E9D-E678-4867-AB06-7275EB0DFED6}"/>
            </a:ext>
          </a:extLst>
        </xdr:cNvPr>
        <xdr:cNvGrpSpPr/>
      </xdr:nvGrpSpPr>
      <xdr:grpSpPr>
        <a:xfrm>
          <a:off x="6509505" y="273625"/>
          <a:ext cx="734451" cy="776316"/>
          <a:chOff x="17842877" y="281353"/>
          <a:chExt cx="750277" cy="768696"/>
        </a:xfrm>
      </xdr:grpSpPr>
      <xdr:pic>
        <xdr:nvPicPr>
          <xdr:cNvPr id="6" name="Graphic 5" descr="Home outline">
            <a:extLst>
              <a:ext uri="{FF2B5EF4-FFF2-40B4-BE49-F238E27FC236}">
                <a16:creationId xmlns:a16="http://schemas.microsoft.com/office/drawing/2014/main" id="{C624A4A9-9392-5B7A-67F6-12644E33171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7" name="TextBox 6">
            <a:extLst>
              <a:ext uri="{FF2B5EF4-FFF2-40B4-BE49-F238E27FC236}">
                <a16:creationId xmlns:a16="http://schemas.microsoft.com/office/drawing/2014/main" id="{93A06B6A-4E16-1109-5709-1BB8C56E8713}"/>
              </a:ext>
            </a:extLst>
          </xdr:cNvPr>
          <xdr:cNvSpPr txBox="1"/>
        </xdr:nvSpPr>
        <xdr:spPr>
          <a:xfrm>
            <a:off x="17842877"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  Índice  </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2349500</xdr:colOff>
      <xdr:row>1</xdr:row>
      <xdr:rowOff>88900</xdr:rowOff>
    </xdr:from>
    <xdr:to>
      <xdr:col>1</xdr:col>
      <xdr:colOff>3099777</xdr:colOff>
      <xdr:row>1</xdr:row>
      <xdr:rowOff>857596</xdr:rowOff>
    </xdr:to>
    <xdr:grpSp>
      <xdr:nvGrpSpPr>
        <xdr:cNvPr id="5" name="Group 4">
          <a:hlinkClick xmlns:r="http://schemas.openxmlformats.org/officeDocument/2006/relationships" r:id="rId1"/>
          <a:extLst>
            <a:ext uri="{FF2B5EF4-FFF2-40B4-BE49-F238E27FC236}">
              <a16:creationId xmlns:a16="http://schemas.microsoft.com/office/drawing/2014/main" id="{1930B75E-E996-4F4E-822F-1F38EB3EF3F1}"/>
            </a:ext>
          </a:extLst>
        </xdr:cNvPr>
        <xdr:cNvGrpSpPr/>
      </xdr:nvGrpSpPr>
      <xdr:grpSpPr>
        <a:xfrm>
          <a:off x="2594429" y="279400"/>
          <a:ext cx="750277" cy="768696"/>
          <a:chOff x="17877692" y="281353"/>
          <a:chExt cx="750277" cy="768696"/>
        </a:xfrm>
      </xdr:grpSpPr>
      <xdr:pic>
        <xdr:nvPicPr>
          <xdr:cNvPr id="6" name="Graphic 5" descr="Home outline">
            <a:extLst>
              <a:ext uri="{FF2B5EF4-FFF2-40B4-BE49-F238E27FC236}">
                <a16:creationId xmlns:a16="http://schemas.microsoft.com/office/drawing/2014/main" id="{354F7676-4B46-0C24-3E01-66D957F8E42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71483" y="281353"/>
            <a:ext cx="504093" cy="504093"/>
          </a:xfrm>
          <a:prstGeom prst="rect">
            <a:avLst/>
          </a:prstGeom>
        </xdr:spPr>
      </xdr:pic>
      <xdr:sp macro="" textlink="">
        <xdr:nvSpPr>
          <xdr:cNvPr id="7" name="TextBox 6">
            <a:extLst>
              <a:ext uri="{FF2B5EF4-FFF2-40B4-BE49-F238E27FC236}">
                <a16:creationId xmlns:a16="http://schemas.microsoft.com/office/drawing/2014/main" id="{B48A0D29-AE10-5C1C-4C66-5CE43D462620}"/>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990600</xdr:colOff>
      <xdr:row>1</xdr:row>
      <xdr:rowOff>30480</xdr:rowOff>
    </xdr:from>
    <xdr:to>
      <xdr:col>2</xdr:col>
      <xdr:colOff>1740877</xdr:colOff>
      <xdr:row>1</xdr:row>
      <xdr:rowOff>839372</xdr:rowOff>
    </xdr:to>
    <xdr:grpSp>
      <xdr:nvGrpSpPr>
        <xdr:cNvPr id="5" name="Group 4">
          <a:extLst>
            <a:ext uri="{FF2B5EF4-FFF2-40B4-BE49-F238E27FC236}">
              <a16:creationId xmlns:a16="http://schemas.microsoft.com/office/drawing/2014/main" id="{2BD92493-9519-49F7-8F24-90D840916C3B}"/>
            </a:ext>
          </a:extLst>
        </xdr:cNvPr>
        <xdr:cNvGrpSpPr/>
      </xdr:nvGrpSpPr>
      <xdr:grpSpPr>
        <a:xfrm>
          <a:off x="3752850" y="220980"/>
          <a:ext cx="750277" cy="808892"/>
          <a:chOff x="18557628" y="410308"/>
          <a:chExt cx="750277" cy="808892"/>
        </a:xfrm>
      </xdr:grpSpPr>
      <xdr:pic>
        <xdr:nvPicPr>
          <xdr:cNvPr id="6" name="Graphic 5" descr="Home outline">
            <a:hlinkClick xmlns:r="http://schemas.openxmlformats.org/officeDocument/2006/relationships" r:id="rId1"/>
            <a:extLst>
              <a:ext uri="{FF2B5EF4-FFF2-40B4-BE49-F238E27FC236}">
                <a16:creationId xmlns:a16="http://schemas.microsoft.com/office/drawing/2014/main" id="{84A9DB2B-4416-8A18-B98C-5A6DF647171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604519" y="410308"/>
            <a:ext cx="504093" cy="507072"/>
          </a:xfrm>
          <a:prstGeom prst="rect">
            <a:avLst/>
          </a:prstGeom>
        </xdr:spPr>
      </xdr:pic>
      <xdr:sp macro="" textlink="">
        <xdr:nvSpPr>
          <xdr:cNvPr id="7" name="TextBox 6">
            <a:hlinkClick xmlns:r="http://schemas.openxmlformats.org/officeDocument/2006/relationships" r:id="rId1"/>
            <a:extLst>
              <a:ext uri="{FF2B5EF4-FFF2-40B4-BE49-F238E27FC236}">
                <a16:creationId xmlns:a16="http://schemas.microsoft.com/office/drawing/2014/main" id="{569251B3-13EA-B562-D9E0-DE93DBBE624B}"/>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1708816</xdr:colOff>
      <xdr:row>1</xdr:row>
      <xdr:rowOff>20684</xdr:rowOff>
    </xdr:from>
    <xdr:to>
      <xdr:col>6</xdr:col>
      <xdr:colOff>315816</xdr:colOff>
      <xdr:row>1</xdr:row>
      <xdr:rowOff>869988</xdr:rowOff>
    </xdr:to>
    <xdr:grpSp>
      <xdr:nvGrpSpPr>
        <xdr:cNvPr id="2" name="Group 1">
          <a:hlinkClick xmlns:r="http://schemas.openxmlformats.org/officeDocument/2006/relationships" r:id="rId1"/>
          <a:extLst>
            <a:ext uri="{FF2B5EF4-FFF2-40B4-BE49-F238E27FC236}">
              <a16:creationId xmlns:a16="http://schemas.microsoft.com/office/drawing/2014/main" id="{E0D5A70F-CD3C-424E-8D5F-3C26971AAED1}"/>
            </a:ext>
          </a:extLst>
        </xdr:cNvPr>
        <xdr:cNvGrpSpPr/>
      </xdr:nvGrpSpPr>
      <xdr:grpSpPr>
        <a:xfrm>
          <a:off x="4266959" y="224791"/>
          <a:ext cx="702500" cy="849304"/>
          <a:chOff x="20128523" y="351693"/>
          <a:chExt cx="750277" cy="850757"/>
        </a:xfrm>
      </xdr:grpSpPr>
      <xdr:pic>
        <xdr:nvPicPr>
          <xdr:cNvPr id="3" name="Graphic 2" descr="Home outline">
            <a:extLst>
              <a:ext uri="{FF2B5EF4-FFF2-40B4-BE49-F238E27FC236}">
                <a16:creationId xmlns:a16="http://schemas.microsoft.com/office/drawing/2014/main" id="{6B50FC1B-1F5B-C210-91A1-8F235920AB7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75414" y="351693"/>
            <a:ext cx="504093" cy="504093"/>
          </a:xfrm>
          <a:prstGeom prst="rect">
            <a:avLst/>
          </a:prstGeom>
        </xdr:spPr>
      </xdr:pic>
      <xdr:sp macro="" textlink="">
        <xdr:nvSpPr>
          <xdr:cNvPr id="4" name="TextBox 3">
            <a:extLst>
              <a:ext uri="{FF2B5EF4-FFF2-40B4-BE49-F238E27FC236}">
                <a16:creationId xmlns:a16="http://schemas.microsoft.com/office/drawing/2014/main" id="{D54713ED-C2BD-48DD-0434-C5B3FBAB70BC}"/>
              </a:ext>
            </a:extLst>
          </xdr:cNvPr>
          <xdr:cNvSpPr txBox="1"/>
        </xdr:nvSpPr>
        <xdr:spPr>
          <a:xfrm>
            <a:off x="20128523" y="890954"/>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65072</xdr:colOff>
      <xdr:row>1</xdr:row>
      <xdr:rowOff>9798</xdr:rowOff>
    </xdr:from>
    <xdr:to>
      <xdr:col>4</xdr:col>
      <xdr:colOff>827445</xdr:colOff>
      <xdr:row>1</xdr:row>
      <xdr:rowOff>859102</xdr:rowOff>
    </xdr:to>
    <xdr:grpSp>
      <xdr:nvGrpSpPr>
        <xdr:cNvPr id="5" name="Group 4">
          <a:hlinkClick xmlns:r="http://schemas.openxmlformats.org/officeDocument/2006/relationships" r:id="rId1"/>
          <a:extLst>
            <a:ext uri="{FF2B5EF4-FFF2-40B4-BE49-F238E27FC236}">
              <a16:creationId xmlns:a16="http://schemas.microsoft.com/office/drawing/2014/main" id="{67B93BDC-33B4-4339-A720-B615C38B797F}"/>
            </a:ext>
          </a:extLst>
        </xdr:cNvPr>
        <xdr:cNvGrpSpPr/>
      </xdr:nvGrpSpPr>
      <xdr:grpSpPr>
        <a:xfrm>
          <a:off x="6637322" y="213905"/>
          <a:ext cx="762373" cy="849304"/>
          <a:chOff x="20128523" y="351693"/>
          <a:chExt cx="750277" cy="850757"/>
        </a:xfrm>
      </xdr:grpSpPr>
      <xdr:pic>
        <xdr:nvPicPr>
          <xdr:cNvPr id="6" name="Graphic 5" descr="Home outline">
            <a:extLst>
              <a:ext uri="{FF2B5EF4-FFF2-40B4-BE49-F238E27FC236}">
                <a16:creationId xmlns:a16="http://schemas.microsoft.com/office/drawing/2014/main" id="{DBA3D239-888D-89E3-CA65-EE3E5F8FF5F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175414" y="351693"/>
            <a:ext cx="504093" cy="504093"/>
          </a:xfrm>
          <a:prstGeom prst="rect">
            <a:avLst/>
          </a:prstGeom>
        </xdr:spPr>
      </xdr:pic>
      <xdr:sp macro="" textlink="">
        <xdr:nvSpPr>
          <xdr:cNvPr id="7" name="TextBox 6">
            <a:extLst>
              <a:ext uri="{FF2B5EF4-FFF2-40B4-BE49-F238E27FC236}">
                <a16:creationId xmlns:a16="http://schemas.microsoft.com/office/drawing/2014/main" id="{520E5EF9-FE4D-DB99-9F59-342E4AF03B82}"/>
              </a:ext>
            </a:extLst>
          </xdr:cNvPr>
          <xdr:cNvSpPr txBox="1"/>
        </xdr:nvSpPr>
        <xdr:spPr>
          <a:xfrm>
            <a:off x="20128523" y="890954"/>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87086</xdr:colOff>
      <xdr:row>1</xdr:row>
      <xdr:rowOff>126546</xdr:rowOff>
    </xdr:from>
    <xdr:to>
      <xdr:col>3</xdr:col>
      <xdr:colOff>69623</xdr:colOff>
      <xdr:row>5</xdr:row>
      <xdr:rowOff>55789</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46FFAF1-3771-4A0A-9BB3-AE2F04FE3E90}"/>
            </a:ext>
          </a:extLst>
        </xdr:cNvPr>
        <xdr:cNvSpPr/>
      </xdr:nvSpPr>
      <xdr:spPr>
        <a:xfrm>
          <a:off x="685800" y="311603"/>
          <a:ext cx="1179966" cy="669472"/>
        </a:xfrm>
        <a:prstGeom prst="roundRect">
          <a:avLst/>
        </a:prstGeom>
        <a:gradFill flip="none" rotWithShape="1">
          <a:gsLst>
            <a:gs pos="0">
              <a:srgbClr val="58D4CC">
                <a:alpha val="80000"/>
              </a:srgbClr>
            </a:gs>
            <a:gs pos="50000">
              <a:srgbClr val="02A39C">
                <a:alpha val="80000"/>
              </a:srgbClr>
            </a:gs>
            <a:gs pos="100000">
              <a:srgbClr val="A3D961">
                <a:alpha val="80000"/>
              </a:srgbClr>
            </a:gs>
          </a:gsLst>
          <a:lin ang="0" scaled="1"/>
          <a:tileRect/>
        </a:gra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pt-PT" sz="1200" b="1">
              <a:solidFill>
                <a:schemeClr val="tx1"/>
              </a:solidFill>
              <a:effectLst/>
              <a:latin typeface="+mn-lt"/>
              <a:ea typeface="+mn-ea"/>
              <a:cs typeface="Poppins" panose="00000500000000000000" pitchFamily="2" charset="0"/>
            </a:rPr>
            <a:t>Índice de coneúdos</a:t>
          </a:r>
          <a:endParaRPr lang="pt-PT" sz="1200" b="1">
            <a:solidFill>
              <a:schemeClr val="tx1"/>
            </a:solidFill>
            <a:effectLst/>
            <a:latin typeface="+mn-lt"/>
            <a:cs typeface="Poppins" panose="00000500000000000000" pitchFamily="2" charset="0"/>
          </a:endParaRPr>
        </a:p>
      </xdr:txBody>
    </xdr:sp>
    <xdr:clientData/>
  </xdr:twoCellAnchor>
  <xdr:twoCellAnchor>
    <xdr:from>
      <xdr:col>3</xdr:col>
      <xdr:colOff>443347</xdr:colOff>
      <xdr:row>1</xdr:row>
      <xdr:rowOff>171450</xdr:rowOff>
    </xdr:from>
    <xdr:to>
      <xdr:col>19</xdr:col>
      <xdr:colOff>415637</xdr:colOff>
      <xdr:row>5</xdr:row>
      <xdr:rowOff>163285</xdr:rowOff>
    </xdr:to>
    <xdr:sp macro="" textlink="">
      <xdr:nvSpPr>
        <xdr:cNvPr id="6" name="Retângulo: Cantos Arredondados 5">
          <a:extLst>
            <a:ext uri="{FF2B5EF4-FFF2-40B4-BE49-F238E27FC236}">
              <a16:creationId xmlns:a16="http://schemas.microsoft.com/office/drawing/2014/main" id="{4BF2B0FA-B414-44BD-9F03-E197EB62EE0F}"/>
            </a:ext>
          </a:extLst>
        </xdr:cNvPr>
        <xdr:cNvSpPr/>
      </xdr:nvSpPr>
      <xdr:spPr>
        <a:xfrm>
          <a:off x="2230583" y="351559"/>
          <a:ext cx="14450290" cy="712271"/>
        </a:xfrm>
        <a:prstGeom prst="roundRect">
          <a:avLst/>
        </a:prstGeom>
        <a:gradFill>
          <a:gsLst>
            <a:gs pos="0">
              <a:srgbClr val="58D4CC">
                <a:alpha val="80000"/>
              </a:srgbClr>
            </a:gs>
            <a:gs pos="50000">
              <a:srgbClr val="02A39C">
                <a:alpha val="80000"/>
              </a:srgbClr>
            </a:gs>
            <a:gs pos="100000">
              <a:srgbClr val="A3D961">
                <a:alpha val="80000"/>
              </a:srgb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pt-PT" sz="2800" b="1">
              <a:solidFill>
                <a:schemeClr val="tx1"/>
              </a:solidFill>
              <a:latin typeface="+mn-lt"/>
              <a:cs typeface="Poppins" panose="00000500000000000000" pitchFamily="2" charset="0"/>
            </a:rPr>
            <a:t>Dados gerais</a:t>
          </a:r>
        </a:p>
      </xdr:txBody>
    </xdr:sp>
    <xdr:clientData/>
  </xdr:twoCellAnchor>
  <xdr:twoCellAnchor>
    <xdr:from>
      <xdr:col>2</xdr:col>
      <xdr:colOff>206827</xdr:colOff>
      <xdr:row>5</xdr:row>
      <xdr:rowOff>119743</xdr:rowOff>
    </xdr:from>
    <xdr:to>
      <xdr:col>2</xdr:col>
      <xdr:colOff>511628</xdr:colOff>
      <xdr:row>7</xdr:row>
      <xdr:rowOff>65314</xdr:rowOff>
    </xdr:to>
    <xdr:sp macro="" textlink="">
      <xdr:nvSpPr>
        <xdr:cNvPr id="3" name="Arrow: Right 2">
          <a:hlinkClick xmlns:r="http://schemas.openxmlformats.org/officeDocument/2006/relationships" r:id="rId2"/>
          <a:extLst>
            <a:ext uri="{FF2B5EF4-FFF2-40B4-BE49-F238E27FC236}">
              <a16:creationId xmlns:a16="http://schemas.microsoft.com/office/drawing/2014/main" id="{7EA52F39-8C96-4D6A-9952-F8D929D131CC}"/>
            </a:ext>
          </a:extLst>
        </xdr:cNvPr>
        <xdr:cNvSpPr/>
      </xdr:nvSpPr>
      <xdr:spPr>
        <a:xfrm>
          <a:off x="1404256" y="1045029"/>
          <a:ext cx="304801" cy="315685"/>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239486</xdr:colOff>
      <xdr:row>5</xdr:row>
      <xdr:rowOff>108857</xdr:rowOff>
    </xdr:from>
    <xdr:to>
      <xdr:col>1</xdr:col>
      <xdr:colOff>544285</xdr:colOff>
      <xdr:row>7</xdr:row>
      <xdr:rowOff>65315</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8ADD03E-9502-4A31-9838-6FEC36421550}"/>
            </a:ext>
          </a:extLst>
        </xdr:cNvPr>
        <xdr:cNvSpPr/>
      </xdr:nvSpPr>
      <xdr:spPr>
        <a:xfrm flipH="1">
          <a:off x="838200" y="1034143"/>
          <a:ext cx="304799" cy="326572"/>
        </a:xfrm>
        <a:prstGeom prst="rightArrow">
          <a:avLst/>
        </a:prstGeom>
        <a:solidFill>
          <a:srgbClr val="58D4C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4360</xdr:colOff>
      <xdr:row>3</xdr:row>
      <xdr:rowOff>82060</xdr:rowOff>
    </xdr:from>
    <xdr:to>
      <xdr:col>25</xdr:col>
      <xdr:colOff>324143</xdr:colOff>
      <xdr:row>29</xdr:row>
      <xdr:rowOff>117230</xdr:rowOff>
    </xdr:to>
    <xdr:pic>
      <xdr:nvPicPr>
        <xdr:cNvPr id="2" name="Picture 1" descr="Person sitting on bus">
          <a:extLst>
            <a:ext uri="{FF2B5EF4-FFF2-40B4-BE49-F238E27FC236}">
              <a16:creationId xmlns:a16="http://schemas.microsoft.com/office/drawing/2014/main" id="{CFB4B4A5-77E6-416B-8BCC-D7551288B08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725" r="3892" b="21534"/>
        <a:stretch>
          <a:fillRect/>
        </a:stretch>
      </xdr:blipFill>
      <xdr:spPr>
        <a:xfrm>
          <a:off x="215375" y="1676398"/>
          <a:ext cx="14762614" cy="7057293"/>
        </a:xfrm>
        <a:prstGeom prst="rect">
          <a:avLst/>
        </a:prstGeom>
      </xdr:spPr>
    </xdr:pic>
    <xdr:clientData/>
  </xdr:twoCellAnchor>
  <xdr:twoCellAnchor editAs="oneCell">
    <xdr:from>
      <xdr:col>22</xdr:col>
      <xdr:colOff>354874</xdr:colOff>
      <xdr:row>7</xdr:row>
      <xdr:rowOff>0</xdr:rowOff>
    </xdr:from>
    <xdr:to>
      <xdr:col>22</xdr:col>
      <xdr:colOff>354874</xdr:colOff>
      <xdr:row>32</xdr:row>
      <xdr:rowOff>89263</xdr:rowOff>
    </xdr:to>
    <xdr:pic>
      <xdr:nvPicPr>
        <xdr:cNvPr id="4" name="Picture 3">
          <a:extLst>
            <a:ext uri="{FF2B5EF4-FFF2-40B4-BE49-F238E27FC236}">
              <a16:creationId xmlns:a16="http://schemas.microsoft.com/office/drawing/2014/main" id="{AEF96952-760D-4DD6-830F-7494EE39D2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30794" y="2583180"/>
          <a:ext cx="0" cy="6558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499533</xdr:colOff>
      <xdr:row>3</xdr:row>
      <xdr:rowOff>82061</xdr:rowOff>
    </xdr:from>
    <xdr:to>
      <xdr:col>13</xdr:col>
      <xdr:colOff>433754</xdr:colOff>
      <xdr:row>27</xdr:row>
      <xdr:rowOff>148167</xdr:rowOff>
    </xdr:to>
    <xdr:sp macro="" textlink="">
      <xdr:nvSpPr>
        <xdr:cNvPr id="8" name="Flowchart: Alternative Process 7">
          <a:extLst>
            <a:ext uri="{FF2B5EF4-FFF2-40B4-BE49-F238E27FC236}">
              <a16:creationId xmlns:a16="http://schemas.microsoft.com/office/drawing/2014/main" id="{7E5F47CC-79A9-44E1-A569-7764DDFCE126}"/>
            </a:ext>
          </a:extLst>
        </xdr:cNvPr>
        <xdr:cNvSpPr/>
      </xdr:nvSpPr>
      <xdr:spPr>
        <a:xfrm>
          <a:off x="499533" y="1723292"/>
          <a:ext cx="7706621" cy="6713090"/>
        </a:xfrm>
        <a:prstGeom prst="flowChartAlternateProcess">
          <a:avLst/>
        </a:prstGeom>
        <a:solidFill>
          <a:srgbClr val="A3D9FF">
            <a:alpha val="85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22</xdr:col>
      <xdr:colOff>125378</xdr:colOff>
      <xdr:row>44</xdr:row>
      <xdr:rowOff>0</xdr:rowOff>
    </xdr:from>
    <xdr:to>
      <xdr:col>23</xdr:col>
      <xdr:colOff>239917</xdr:colOff>
      <xdr:row>44</xdr:row>
      <xdr:rowOff>0</xdr:rowOff>
    </xdr:to>
    <xdr:pic>
      <xdr:nvPicPr>
        <xdr:cNvPr id="17" name="Graphic 16" descr="Cruise ship with solid fill">
          <a:extLst>
            <a:ext uri="{FF2B5EF4-FFF2-40B4-BE49-F238E27FC236}">
              <a16:creationId xmlns:a16="http://schemas.microsoft.com/office/drawing/2014/main" id="{453DB988-C8D3-4C68-B89F-24498052A0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3164045" y="11319933"/>
          <a:ext cx="707205" cy="0"/>
        </a:xfrm>
        <a:prstGeom prst="rect">
          <a:avLst/>
        </a:prstGeom>
      </xdr:spPr>
    </xdr:pic>
    <xdr:clientData/>
  </xdr:twoCellAnchor>
  <xdr:twoCellAnchor>
    <xdr:from>
      <xdr:col>1</xdr:col>
      <xdr:colOff>539916</xdr:colOff>
      <xdr:row>5</xdr:row>
      <xdr:rowOff>87273</xdr:rowOff>
    </xdr:from>
    <xdr:to>
      <xdr:col>12</xdr:col>
      <xdr:colOff>294381</xdr:colOff>
      <xdr:row>6</xdr:row>
      <xdr:rowOff>190373</xdr:rowOff>
    </xdr:to>
    <xdr:sp macro="" textlink="">
      <xdr:nvSpPr>
        <xdr:cNvPr id="19" name="Rectangle: Rounded Corners 18">
          <a:hlinkClick xmlns:r="http://schemas.openxmlformats.org/officeDocument/2006/relationships" r:id="rId5"/>
          <a:extLst>
            <a:ext uri="{FF2B5EF4-FFF2-40B4-BE49-F238E27FC236}">
              <a16:creationId xmlns:a16="http://schemas.microsoft.com/office/drawing/2014/main" id="{18B243E2-77A0-45F1-BCF5-51784DDA244B}"/>
            </a:ext>
          </a:extLst>
        </xdr:cNvPr>
        <xdr:cNvSpPr/>
      </xdr:nvSpPr>
      <xdr:spPr>
        <a:xfrm>
          <a:off x="750931" y="1658165"/>
          <a:ext cx="6331112" cy="396177"/>
        </a:xfrm>
        <a:prstGeom prst="roundRect">
          <a:avLst>
            <a:gd name="adj" fmla="val 11510"/>
          </a:avLst>
        </a:prstGeom>
        <a:solidFill>
          <a:srgbClr val="000000">
            <a:alpha val="7098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PFs_Instruções e PFs</a:t>
          </a:r>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539915</xdr:colOff>
      <xdr:row>7</xdr:row>
      <xdr:rowOff>132862</xdr:rowOff>
    </xdr:from>
    <xdr:to>
      <xdr:col>12</xdr:col>
      <xdr:colOff>294380</xdr:colOff>
      <xdr:row>8</xdr:row>
      <xdr:rowOff>5863</xdr:rowOff>
    </xdr:to>
    <xdr:sp macro="" textlink="">
      <xdr:nvSpPr>
        <xdr:cNvPr id="20" name="Rectangle: Rounded Corners 19">
          <a:hlinkClick xmlns:r="http://schemas.openxmlformats.org/officeDocument/2006/relationships" r:id="rId6"/>
          <a:extLst>
            <a:ext uri="{FF2B5EF4-FFF2-40B4-BE49-F238E27FC236}">
              <a16:creationId xmlns:a16="http://schemas.microsoft.com/office/drawing/2014/main" id="{A789B98C-2445-4BAB-93F7-15C8AD89D4D0}"/>
            </a:ext>
          </a:extLst>
        </xdr:cNvPr>
        <xdr:cNvSpPr/>
      </xdr:nvSpPr>
      <xdr:spPr>
        <a:xfrm>
          <a:off x="750930" y="2231293"/>
          <a:ext cx="6331112" cy="400539"/>
        </a:xfrm>
        <a:prstGeom prst="roundRect">
          <a:avLst>
            <a:gd name="adj" fmla="val 11510"/>
          </a:avLst>
        </a:prstGeom>
        <a:solidFill>
          <a:srgbClr val="000000">
            <a:alpha val="7098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TR_Triagem</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11</xdr:row>
      <xdr:rowOff>141413</xdr:rowOff>
    </xdr:from>
    <xdr:to>
      <xdr:col>12</xdr:col>
      <xdr:colOff>268980</xdr:colOff>
      <xdr:row>12</xdr:row>
      <xdr:rowOff>227140</xdr:rowOff>
    </xdr:to>
    <xdr:sp macro="" textlink="">
      <xdr:nvSpPr>
        <xdr:cNvPr id="22" name="Rectangle: Rounded Corners 21">
          <a:hlinkClick xmlns:r="http://schemas.openxmlformats.org/officeDocument/2006/relationships" r:id="rId7"/>
          <a:extLst>
            <a:ext uri="{FF2B5EF4-FFF2-40B4-BE49-F238E27FC236}">
              <a16:creationId xmlns:a16="http://schemas.microsoft.com/office/drawing/2014/main" id="{7B5B4F28-8EB5-4757-ACC3-B13529EB9EDC}"/>
            </a:ext>
          </a:extLst>
        </xdr:cNvPr>
        <xdr:cNvSpPr/>
      </xdr:nvSpPr>
      <xdr:spPr>
        <a:xfrm>
          <a:off x="725530" y="3845905"/>
          <a:ext cx="6331112" cy="402250"/>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TM1_micromobilidade</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522982</xdr:colOff>
      <xdr:row>10</xdr:row>
      <xdr:rowOff>63015</xdr:rowOff>
    </xdr:from>
    <xdr:to>
      <xdr:col>12</xdr:col>
      <xdr:colOff>277447</xdr:colOff>
      <xdr:row>10</xdr:row>
      <xdr:rowOff>466404</xdr:rowOff>
    </xdr:to>
    <xdr:sp macro="" textlink="">
      <xdr:nvSpPr>
        <xdr:cNvPr id="24" name="Rectangle: Rounded Corners 23">
          <a:hlinkClick xmlns:r="http://schemas.openxmlformats.org/officeDocument/2006/relationships" r:id="rId8"/>
          <a:extLst>
            <a:ext uri="{FF2B5EF4-FFF2-40B4-BE49-F238E27FC236}">
              <a16:creationId xmlns:a16="http://schemas.microsoft.com/office/drawing/2014/main" id="{F7AF0356-2570-466A-817D-545C6C52DB61}"/>
            </a:ext>
          </a:extLst>
        </xdr:cNvPr>
        <xdr:cNvSpPr/>
      </xdr:nvSpPr>
      <xdr:spPr>
        <a:xfrm>
          <a:off x="733997" y="3298584"/>
          <a:ext cx="6331112" cy="403389"/>
        </a:xfrm>
        <a:prstGeom prst="roundRect">
          <a:avLst>
            <a:gd name="adj" fmla="val 11510"/>
          </a:avLst>
        </a:prstGeom>
        <a:solidFill>
          <a:srgbClr val="014744">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IC_todos os projetos</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13</xdr:row>
      <xdr:rowOff>63013</xdr:rowOff>
    </xdr:from>
    <xdr:to>
      <xdr:col>12</xdr:col>
      <xdr:colOff>268980</xdr:colOff>
      <xdr:row>13</xdr:row>
      <xdr:rowOff>466403</xdr:rowOff>
    </xdr:to>
    <xdr:sp macro="" textlink="">
      <xdr:nvSpPr>
        <xdr:cNvPr id="25" name="Rectangle: Rounded Corners 24">
          <a:hlinkClick xmlns:r="http://schemas.openxmlformats.org/officeDocument/2006/relationships" r:id="rId9"/>
          <a:extLst>
            <a:ext uri="{FF2B5EF4-FFF2-40B4-BE49-F238E27FC236}">
              <a16:creationId xmlns:a16="http://schemas.microsoft.com/office/drawing/2014/main" id="{20378D5C-0C1C-4D95-A42A-EC9D7D97F4E2}"/>
            </a:ext>
          </a:extLst>
        </xdr:cNvPr>
        <xdr:cNvSpPr/>
      </xdr:nvSpPr>
      <xdr:spPr>
        <a:xfrm>
          <a:off x="725530" y="4400551"/>
          <a:ext cx="6331112" cy="403390"/>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TM2_rodovia</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514515</xdr:colOff>
      <xdr:row>14</xdr:row>
      <xdr:rowOff>67818</xdr:rowOff>
    </xdr:from>
    <xdr:to>
      <xdr:col>12</xdr:col>
      <xdr:colOff>268980</xdr:colOff>
      <xdr:row>16</xdr:row>
      <xdr:rowOff>3050</xdr:rowOff>
    </xdr:to>
    <xdr:sp macro="" textlink="">
      <xdr:nvSpPr>
        <xdr:cNvPr id="26" name="Rectangle: Rounded Corners 25">
          <a:hlinkClick xmlns:r="http://schemas.openxmlformats.org/officeDocument/2006/relationships" r:id="rId10"/>
          <a:extLst>
            <a:ext uri="{FF2B5EF4-FFF2-40B4-BE49-F238E27FC236}">
              <a16:creationId xmlns:a16="http://schemas.microsoft.com/office/drawing/2014/main" id="{D334BA98-727F-4A39-9B4B-8398B5BAF052}"/>
            </a:ext>
          </a:extLst>
        </xdr:cNvPr>
        <xdr:cNvSpPr/>
      </xdr:nvSpPr>
      <xdr:spPr>
        <a:xfrm>
          <a:off x="725530" y="4956341"/>
          <a:ext cx="6331112" cy="404155"/>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TM3_ferrovia e metro</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504355</xdr:colOff>
      <xdr:row>16</xdr:row>
      <xdr:rowOff>166325</xdr:rowOff>
    </xdr:from>
    <xdr:to>
      <xdr:col>12</xdr:col>
      <xdr:colOff>258820</xdr:colOff>
      <xdr:row>18</xdr:row>
      <xdr:rowOff>97747</xdr:rowOff>
    </xdr:to>
    <xdr:sp macro="" textlink="">
      <xdr:nvSpPr>
        <xdr:cNvPr id="27" name="Rectangle: Rounded Corners 26">
          <a:hlinkClick xmlns:r="http://schemas.openxmlformats.org/officeDocument/2006/relationships" r:id="rId11"/>
          <a:extLst>
            <a:ext uri="{FF2B5EF4-FFF2-40B4-BE49-F238E27FC236}">
              <a16:creationId xmlns:a16="http://schemas.microsoft.com/office/drawing/2014/main" id="{F9DC8196-482B-45CC-B6F7-CC556CA8749C}"/>
            </a:ext>
          </a:extLst>
        </xdr:cNvPr>
        <xdr:cNvSpPr/>
      </xdr:nvSpPr>
      <xdr:spPr>
        <a:xfrm>
          <a:off x="715370" y="5523771"/>
          <a:ext cx="6331112" cy="400345"/>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TM4_transporte vias navegáveis interiores</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518749</xdr:colOff>
      <xdr:row>8</xdr:row>
      <xdr:rowOff>146541</xdr:rowOff>
    </xdr:from>
    <xdr:to>
      <xdr:col>12</xdr:col>
      <xdr:colOff>273214</xdr:colOff>
      <xdr:row>9</xdr:row>
      <xdr:rowOff>101197</xdr:rowOff>
    </xdr:to>
    <xdr:sp macro="" textlink="">
      <xdr:nvSpPr>
        <xdr:cNvPr id="11" name="Rectangle: Rounded Corners 10">
          <a:hlinkClick xmlns:r="http://schemas.openxmlformats.org/officeDocument/2006/relationships" r:id="rId12"/>
          <a:extLst>
            <a:ext uri="{FF2B5EF4-FFF2-40B4-BE49-F238E27FC236}">
              <a16:creationId xmlns:a16="http://schemas.microsoft.com/office/drawing/2014/main" id="{21450916-2B0F-4A58-ACE2-2A512B30582E}"/>
            </a:ext>
          </a:extLst>
        </xdr:cNvPr>
        <xdr:cNvSpPr/>
      </xdr:nvSpPr>
      <xdr:spPr>
        <a:xfrm>
          <a:off x="729764" y="2772510"/>
          <a:ext cx="6331112" cy="400133"/>
        </a:xfrm>
        <a:prstGeom prst="roundRect">
          <a:avLst>
            <a:gd name="adj" fmla="val 11510"/>
          </a:avLst>
        </a:prstGeom>
        <a:solidFill>
          <a:schemeClr val="tx1">
            <a:alpha val="71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ID_Identificação do Projeto</a:t>
          </a:r>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xdr:col>
      <xdr:colOff>485045</xdr:colOff>
      <xdr:row>19</xdr:row>
      <xdr:rowOff>9528</xdr:rowOff>
    </xdr:from>
    <xdr:to>
      <xdr:col>12</xdr:col>
      <xdr:colOff>239510</xdr:colOff>
      <xdr:row>20</xdr:row>
      <xdr:rowOff>177170</xdr:rowOff>
    </xdr:to>
    <xdr:sp macro="" textlink="">
      <xdr:nvSpPr>
        <xdr:cNvPr id="10" name="Rectangle: Rounded Corners 9">
          <a:hlinkClick xmlns:r="http://schemas.openxmlformats.org/officeDocument/2006/relationships" r:id="rId13"/>
          <a:extLst>
            <a:ext uri="{FF2B5EF4-FFF2-40B4-BE49-F238E27FC236}">
              <a16:creationId xmlns:a16="http://schemas.microsoft.com/office/drawing/2014/main" id="{E899FF85-4CF4-49D4-B70E-F4DEC26A83C5}"/>
            </a:ext>
          </a:extLst>
        </xdr:cNvPr>
        <xdr:cNvSpPr/>
      </xdr:nvSpPr>
      <xdr:spPr>
        <a:xfrm>
          <a:off x="696060" y="6070359"/>
          <a:ext cx="6331112" cy="402103"/>
        </a:xfrm>
        <a:prstGeom prst="roundRect">
          <a:avLst>
            <a:gd name="adj" fmla="val 11510"/>
          </a:avLst>
        </a:prstGeom>
        <a:solidFill>
          <a:srgbClr val="02AEA6">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chemeClr val="bg1"/>
              </a:solidFill>
              <a:effectLst/>
              <a:latin typeface="Aptos" panose="020B0004020202020204" pitchFamily="34" charset="0"/>
              <a:ea typeface="+mn-ea"/>
              <a:cs typeface="+mn-cs"/>
            </a:rPr>
            <a:t>TM5_parques de estacionamento</a:t>
          </a:r>
        </a:p>
        <a:p>
          <a:endParaRPr lang="en-GB" sz="2000" b="0" i="0" u="none" baseline="0">
            <a:solidFill>
              <a:schemeClr val="bg1"/>
            </a:solidFill>
            <a:effectLst/>
            <a:latin typeface="+mn-lt"/>
            <a:ea typeface="+mn-ea"/>
            <a:cs typeface="+mn-cs"/>
          </a:endParaRPr>
        </a:p>
        <a:p>
          <a:r>
            <a:rPr lang="en-GB" sz="2000" b="1" i="0" u="none" baseline="0">
              <a:solidFill>
                <a:schemeClr val="bg1"/>
              </a:solidFill>
              <a:effectLst/>
              <a:latin typeface="+mn-lt"/>
              <a:ea typeface="+mn-ea"/>
              <a:cs typeface="+mn-cs"/>
            </a:rPr>
            <a:t>	</a:t>
          </a:r>
        </a:p>
        <a:p>
          <a:endParaRPr lang="en-GB" sz="2000" b="1" i="0" u="none" baseline="0">
            <a:solidFill>
              <a:schemeClr val="bg1"/>
            </a:solidFill>
            <a:effectLst/>
            <a:latin typeface="+mn-lt"/>
            <a:ea typeface="+mn-ea"/>
            <a:cs typeface="+mn-cs"/>
          </a:endParaRPr>
        </a:p>
        <a:p>
          <a:r>
            <a:rPr lang="en-GB" sz="2000" b="0" i="0" u="none" baseline="0">
              <a:solidFill>
                <a:schemeClr val="bg1"/>
              </a:solidFill>
              <a:effectLst/>
              <a:latin typeface="+mn-lt"/>
              <a:ea typeface="+mn-ea"/>
              <a:cs typeface="+mn-cs"/>
            </a:rPr>
            <a:t>  </a:t>
          </a:r>
        </a:p>
        <a:p>
          <a:pPr marL="0" indent="0" algn="l"/>
          <a:endParaRPr lang="en-GB" sz="2000" b="0" i="0" u="none">
            <a:solidFill>
              <a:schemeClr val="bg1"/>
            </a:solidFill>
            <a:effectLst/>
            <a:latin typeface="+mn-lt"/>
            <a:ea typeface="+mn-ea"/>
            <a:cs typeface="+mn-cs"/>
          </a:endParaRPr>
        </a:p>
        <a:p>
          <a:pPr marL="0" indent="0" algn="l"/>
          <a:endParaRPr lang="en-GB" sz="2000" b="0">
            <a:solidFill>
              <a:schemeClr val="bg1"/>
            </a:solidFill>
            <a:effectLst/>
            <a:latin typeface="+mn-lt"/>
            <a:ea typeface="+mn-ea"/>
            <a:cs typeface="+mn-cs"/>
          </a:endParaRPr>
        </a:p>
      </xdr:txBody>
    </xdr:sp>
    <xdr:clientData/>
  </xdr:twoCellAnchor>
  <xdr:twoCellAnchor>
    <xdr:from>
      <xdr:col>11</xdr:col>
      <xdr:colOff>492369</xdr:colOff>
      <xdr:row>5</xdr:row>
      <xdr:rowOff>270931</xdr:rowOff>
    </xdr:from>
    <xdr:to>
      <xdr:col>25</xdr:col>
      <xdr:colOff>351691</xdr:colOff>
      <xdr:row>29</xdr:row>
      <xdr:rowOff>82060</xdr:rowOff>
    </xdr:to>
    <xdr:sp macro="" textlink="">
      <xdr:nvSpPr>
        <xdr:cNvPr id="28" name="Flowchart: Alternative Process 27">
          <a:extLst>
            <a:ext uri="{FF2B5EF4-FFF2-40B4-BE49-F238E27FC236}">
              <a16:creationId xmlns:a16="http://schemas.microsoft.com/office/drawing/2014/main" id="{CD07664F-21F0-4C35-818C-642E3590B0D0}"/>
            </a:ext>
          </a:extLst>
        </xdr:cNvPr>
        <xdr:cNvSpPr/>
      </xdr:nvSpPr>
      <xdr:spPr>
        <a:xfrm>
          <a:off x="6682154" y="1841823"/>
          <a:ext cx="8323383" cy="6364329"/>
        </a:xfrm>
        <a:prstGeom prst="flowChartAlternateProcess">
          <a:avLst/>
        </a:prstGeom>
        <a:solidFill>
          <a:schemeClr val="accent6">
            <a:lumMod val="40000"/>
            <a:lumOff val="60000"/>
            <a:alpha val="8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400">
            <a:solidFill>
              <a:srgbClr val="01635E"/>
            </a:solidFill>
            <a:latin typeface="Aptos" panose="020B0004020202020204" pitchFamily="34" charset="0"/>
          </a:endParaRPr>
        </a:p>
      </xdr:txBody>
    </xdr:sp>
    <xdr:clientData/>
  </xdr:twoCellAnchor>
  <xdr:twoCellAnchor>
    <xdr:from>
      <xdr:col>13</xdr:col>
      <xdr:colOff>136396</xdr:colOff>
      <xdr:row>7</xdr:row>
      <xdr:rowOff>231973</xdr:rowOff>
    </xdr:from>
    <xdr:to>
      <xdr:col>23</xdr:col>
      <xdr:colOff>382059</xdr:colOff>
      <xdr:row>8</xdr:row>
      <xdr:rowOff>100530</xdr:rowOff>
    </xdr:to>
    <xdr:sp macro="" textlink="">
      <xdr:nvSpPr>
        <xdr:cNvPr id="29" name="Rectangle: Rounded Corners 28">
          <a:hlinkClick xmlns:r="http://schemas.openxmlformats.org/officeDocument/2006/relationships" r:id="rId14"/>
          <a:extLst>
            <a:ext uri="{FF2B5EF4-FFF2-40B4-BE49-F238E27FC236}">
              <a16:creationId xmlns:a16="http://schemas.microsoft.com/office/drawing/2014/main" id="{A90062EA-2560-49B4-99F5-E606D26A7B2F}"/>
            </a:ext>
          </a:extLst>
        </xdr:cNvPr>
        <xdr:cNvSpPr/>
      </xdr:nvSpPr>
      <xdr:spPr>
        <a:xfrm>
          <a:off x="7521934" y="2330404"/>
          <a:ext cx="6318217" cy="396095"/>
        </a:xfrm>
        <a:prstGeom prst="roundRect">
          <a:avLst>
            <a:gd name="adj" fmla="val 11510"/>
          </a:avLst>
        </a:prstGeom>
        <a:solidFill>
          <a:srgbClr val="A9D08E">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RE_resultados</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126871</xdr:colOff>
      <xdr:row>8</xdr:row>
      <xdr:rowOff>325025</xdr:rowOff>
    </xdr:from>
    <xdr:to>
      <xdr:col>23</xdr:col>
      <xdr:colOff>372534</xdr:colOff>
      <xdr:row>10</xdr:row>
      <xdr:rowOff>108150</xdr:rowOff>
    </xdr:to>
    <xdr:sp macro="" textlink="">
      <xdr:nvSpPr>
        <xdr:cNvPr id="32" name="Rectangle: Rounded Corners 31">
          <a:hlinkClick xmlns:r="http://schemas.openxmlformats.org/officeDocument/2006/relationships" r:id="rId15"/>
          <a:extLst>
            <a:ext uri="{FF2B5EF4-FFF2-40B4-BE49-F238E27FC236}">
              <a16:creationId xmlns:a16="http://schemas.microsoft.com/office/drawing/2014/main" id="{D25291FF-FBED-455B-96D0-3F245EE97C16}"/>
            </a:ext>
          </a:extLst>
        </xdr:cNvPr>
        <xdr:cNvSpPr/>
      </xdr:nvSpPr>
      <xdr:spPr>
        <a:xfrm>
          <a:off x="7512409" y="2950994"/>
          <a:ext cx="6318217" cy="39272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Cálculos adicionais_utilizador</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103165</xdr:colOff>
      <xdr:row>13</xdr:row>
      <xdr:rowOff>457202</xdr:rowOff>
    </xdr:from>
    <xdr:to>
      <xdr:col>23</xdr:col>
      <xdr:colOff>348828</xdr:colOff>
      <xdr:row>15</xdr:row>
      <xdr:rowOff>79720</xdr:rowOff>
    </xdr:to>
    <xdr:sp macro="" textlink="">
      <xdr:nvSpPr>
        <xdr:cNvPr id="37" name="Rectangle: Rounded Corners 36">
          <a:hlinkClick xmlns:r="http://schemas.openxmlformats.org/officeDocument/2006/relationships" r:id="rId16"/>
          <a:extLst>
            <a:ext uri="{FF2B5EF4-FFF2-40B4-BE49-F238E27FC236}">
              <a16:creationId xmlns:a16="http://schemas.microsoft.com/office/drawing/2014/main" id="{E4980201-6D04-461B-88D3-AA64BCA8AA5F}"/>
            </a:ext>
          </a:extLst>
        </xdr:cNvPr>
        <xdr:cNvSpPr/>
      </xdr:nvSpPr>
      <xdr:spPr>
        <a:xfrm>
          <a:off x="7488703" y="4794740"/>
          <a:ext cx="6318217" cy="40796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Fatores de Conversão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133645</xdr:colOff>
      <xdr:row>12</xdr:row>
      <xdr:rowOff>131300</xdr:rowOff>
    </xdr:from>
    <xdr:to>
      <xdr:col>23</xdr:col>
      <xdr:colOff>379308</xdr:colOff>
      <xdr:row>13</xdr:row>
      <xdr:rowOff>214829</xdr:rowOff>
    </xdr:to>
    <xdr:sp macro="" textlink="">
      <xdr:nvSpPr>
        <xdr:cNvPr id="38" name="Rectangle: Rounded Corners 37">
          <a:hlinkClick xmlns:r="http://schemas.openxmlformats.org/officeDocument/2006/relationships" r:id="rId17"/>
          <a:extLst>
            <a:ext uri="{FF2B5EF4-FFF2-40B4-BE49-F238E27FC236}">
              <a16:creationId xmlns:a16="http://schemas.microsoft.com/office/drawing/2014/main" id="{B7811A6D-9679-4488-99E7-DD9BCE04B000}"/>
            </a:ext>
          </a:extLst>
        </xdr:cNvPr>
        <xdr:cNvSpPr/>
      </xdr:nvSpPr>
      <xdr:spPr>
        <a:xfrm>
          <a:off x="7519183" y="4152315"/>
          <a:ext cx="6318217" cy="400052"/>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Fatores de Emissão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133645</xdr:colOff>
      <xdr:row>10</xdr:row>
      <xdr:rowOff>329420</xdr:rowOff>
    </xdr:from>
    <xdr:to>
      <xdr:col>23</xdr:col>
      <xdr:colOff>379308</xdr:colOff>
      <xdr:row>11</xdr:row>
      <xdr:rowOff>247507</xdr:rowOff>
    </xdr:to>
    <xdr:sp macro="" textlink="">
      <xdr:nvSpPr>
        <xdr:cNvPr id="39" name="Rectangle: Rounded Corners 38">
          <a:hlinkClick xmlns:r="http://schemas.openxmlformats.org/officeDocument/2006/relationships" r:id="rId18"/>
          <a:extLst>
            <a:ext uri="{FF2B5EF4-FFF2-40B4-BE49-F238E27FC236}">
              <a16:creationId xmlns:a16="http://schemas.microsoft.com/office/drawing/2014/main" id="{5A4526DB-1ECE-4EEB-854D-09435BFB817B}"/>
            </a:ext>
          </a:extLst>
        </xdr:cNvPr>
        <xdr:cNvSpPr/>
      </xdr:nvSpPr>
      <xdr:spPr>
        <a:xfrm>
          <a:off x="7519183" y="3564989"/>
          <a:ext cx="6318217" cy="387010"/>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Glossário</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13</xdr:col>
      <xdr:colOff>126025</xdr:colOff>
      <xdr:row>16</xdr:row>
      <xdr:rowOff>74004</xdr:rowOff>
    </xdr:from>
    <xdr:to>
      <xdr:col>23</xdr:col>
      <xdr:colOff>371688</xdr:colOff>
      <xdr:row>18</xdr:row>
      <xdr:rowOff>13046</xdr:rowOff>
    </xdr:to>
    <xdr:sp macro="" textlink="">
      <xdr:nvSpPr>
        <xdr:cNvPr id="12" name="Rectangle: Rounded Corners 11">
          <a:hlinkClick xmlns:r="http://schemas.openxmlformats.org/officeDocument/2006/relationships" r:id="rId19"/>
          <a:extLst>
            <a:ext uri="{FF2B5EF4-FFF2-40B4-BE49-F238E27FC236}">
              <a16:creationId xmlns:a16="http://schemas.microsoft.com/office/drawing/2014/main" id="{E1BB587E-11D5-469B-8FD7-0C2A7CC64ACB}"/>
            </a:ext>
          </a:extLst>
        </xdr:cNvPr>
        <xdr:cNvSpPr/>
      </xdr:nvSpPr>
      <xdr:spPr>
        <a:xfrm>
          <a:off x="7511563" y="5431450"/>
          <a:ext cx="6318217" cy="407965"/>
        </a:xfrm>
        <a:prstGeom prst="roundRect">
          <a:avLst>
            <a:gd name="adj" fmla="val 11510"/>
          </a:avLst>
        </a:prstGeom>
        <a:solidFill>
          <a:srgbClr val="FFD757">
            <a:alpha val="50196"/>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000" b="0" i="0" u="none" baseline="0">
              <a:solidFill>
                <a:sysClr val="windowText" lastClr="000000"/>
              </a:solidFill>
              <a:effectLst/>
              <a:latin typeface="Aptos" panose="020B0004020202020204" pitchFamily="34" charset="0"/>
              <a:ea typeface="+mn-ea"/>
              <a:cs typeface="+mn-cs"/>
            </a:rPr>
            <a:t>Ficha técnica e registo de atualizações</a:t>
          </a:r>
        </a:p>
        <a:p>
          <a:endParaRPr lang="en-GB" sz="2000" b="0" i="0" u="none" baseline="0">
            <a:solidFill>
              <a:sysClr val="windowText" lastClr="000000"/>
            </a:solidFill>
            <a:effectLst/>
            <a:latin typeface="+mn-lt"/>
            <a:ea typeface="+mn-ea"/>
            <a:cs typeface="+mn-cs"/>
          </a:endParaRPr>
        </a:p>
        <a:p>
          <a:r>
            <a:rPr lang="en-GB" sz="2000" b="1" i="0" u="none" baseline="0">
              <a:solidFill>
                <a:sysClr val="windowText" lastClr="000000"/>
              </a:solidFill>
              <a:effectLst/>
              <a:latin typeface="+mn-lt"/>
              <a:ea typeface="+mn-ea"/>
              <a:cs typeface="+mn-cs"/>
            </a:rPr>
            <a:t>	</a:t>
          </a:r>
        </a:p>
        <a:p>
          <a:endParaRPr lang="en-GB" sz="2000" b="1" i="0" u="none" baseline="0">
            <a:solidFill>
              <a:sysClr val="windowText" lastClr="000000"/>
            </a:solidFill>
            <a:effectLst/>
            <a:latin typeface="+mn-lt"/>
            <a:ea typeface="+mn-ea"/>
            <a:cs typeface="+mn-cs"/>
          </a:endParaRPr>
        </a:p>
        <a:p>
          <a:r>
            <a:rPr lang="en-GB" sz="2000" b="0" i="0" u="none" baseline="0">
              <a:solidFill>
                <a:sysClr val="windowText" lastClr="000000"/>
              </a:solidFill>
              <a:effectLst/>
              <a:latin typeface="+mn-lt"/>
              <a:ea typeface="+mn-ea"/>
              <a:cs typeface="+mn-cs"/>
            </a:rPr>
            <a:t>  </a:t>
          </a:r>
        </a:p>
        <a:p>
          <a:pPr marL="0" indent="0" algn="l"/>
          <a:endParaRPr lang="en-GB" sz="2000" b="0" i="0" u="none">
            <a:solidFill>
              <a:sysClr val="windowText" lastClr="000000"/>
            </a:solidFill>
            <a:effectLst/>
            <a:latin typeface="+mn-lt"/>
            <a:ea typeface="+mn-ea"/>
            <a:cs typeface="+mn-cs"/>
          </a:endParaRPr>
        </a:p>
        <a:p>
          <a:pPr marL="0" indent="0" algn="l"/>
          <a:endParaRPr lang="en-GB" sz="2000" b="0">
            <a:solidFill>
              <a:sysClr val="windowText" lastClr="000000"/>
            </a:solidFill>
            <a:effectLst/>
            <a:latin typeface="+mn-lt"/>
            <a:ea typeface="+mn-ea"/>
            <a:cs typeface="+mn-cs"/>
          </a:endParaRPr>
        </a:p>
      </xdr:txBody>
    </xdr:sp>
    <xdr:clientData/>
  </xdr:twoCellAnchor>
  <xdr:twoCellAnchor>
    <xdr:from>
      <xdr:col>8</xdr:col>
      <xdr:colOff>593725</xdr:colOff>
      <xdr:row>1</xdr:row>
      <xdr:rowOff>73024</xdr:rowOff>
    </xdr:from>
    <xdr:to>
      <xdr:col>9</xdr:col>
      <xdr:colOff>0</xdr:colOff>
      <xdr:row>2</xdr:row>
      <xdr:rowOff>0</xdr:rowOff>
    </xdr:to>
    <xdr:grpSp>
      <xdr:nvGrpSpPr>
        <xdr:cNvPr id="36" name="Group 35">
          <a:hlinkClick xmlns:r="http://schemas.openxmlformats.org/officeDocument/2006/relationships" r:id="rId20"/>
          <a:extLst>
            <a:ext uri="{FF2B5EF4-FFF2-40B4-BE49-F238E27FC236}">
              <a16:creationId xmlns:a16="http://schemas.microsoft.com/office/drawing/2014/main" id="{03F3D14A-4BE7-473F-BAE8-D04A7CC2B3E1}"/>
            </a:ext>
          </a:extLst>
        </xdr:cNvPr>
        <xdr:cNvGrpSpPr/>
      </xdr:nvGrpSpPr>
      <xdr:grpSpPr>
        <a:xfrm>
          <a:off x="4884057" y="181881"/>
          <a:ext cx="907" cy="811440"/>
          <a:chOff x="17877692" y="281353"/>
          <a:chExt cx="750277" cy="721817"/>
        </a:xfrm>
      </xdr:grpSpPr>
      <xdr:pic>
        <xdr:nvPicPr>
          <xdr:cNvPr id="40" name="Graphic 39" descr="Home outline">
            <a:extLst>
              <a:ext uri="{FF2B5EF4-FFF2-40B4-BE49-F238E27FC236}">
                <a16:creationId xmlns:a16="http://schemas.microsoft.com/office/drawing/2014/main" id="{0C9D3BE3-AC93-9F96-4F2E-1A146AAE53D0}"/>
              </a:ext>
            </a:extLst>
          </xdr:cNvPr>
          <xdr:cNvPicPr>
            <a:picLocks noChangeAspect="1"/>
          </xdr:cNvPicPr>
        </xdr:nvPicPr>
        <xdr:blipFill>
          <a:blip xmlns:r="http://schemas.openxmlformats.org/officeDocument/2006/relationships" r:embed="rId21">
            <a:extLst>
              <a:ext uri="{96DAC541-7B7A-43D3-8B79-37D633B846F1}">
                <asvg:svgBlip xmlns:asvg="http://schemas.microsoft.com/office/drawing/2016/SVG/main" r:embed="rId22"/>
              </a:ext>
            </a:extLst>
          </a:blip>
          <a:stretch>
            <a:fillRect/>
          </a:stretch>
        </xdr:blipFill>
        <xdr:spPr>
          <a:xfrm>
            <a:off x="17936307" y="281353"/>
            <a:ext cx="504093" cy="504093"/>
          </a:xfrm>
          <a:prstGeom prst="rect">
            <a:avLst/>
          </a:prstGeom>
        </xdr:spPr>
      </xdr:pic>
      <xdr:sp macro="" textlink="">
        <xdr:nvSpPr>
          <xdr:cNvPr id="41" name="TextBox 40">
            <a:extLst>
              <a:ext uri="{FF2B5EF4-FFF2-40B4-BE49-F238E27FC236}">
                <a16:creationId xmlns:a16="http://schemas.microsoft.com/office/drawing/2014/main" id="{0C1474CA-4EB8-F8A1-8FAF-1BABF3D87502}"/>
              </a:ext>
            </a:extLst>
          </xdr:cNvPr>
          <xdr:cNvSpPr txBox="1"/>
        </xdr:nvSpPr>
        <xdr:spPr>
          <a:xfrm>
            <a:off x="17877692" y="738553"/>
            <a:ext cx="750277" cy="2646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tx1"/>
                </a:solidFill>
                <a:latin typeface="Aptos" panose="020B0004020202020204" pitchFamily="34" charset="0"/>
              </a:rPr>
              <a:t>   Índice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354874</xdr:colOff>
      <xdr:row>5</xdr:row>
      <xdr:rowOff>0</xdr:rowOff>
    </xdr:from>
    <xdr:to>
      <xdr:col>22</xdr:col>
      <xdr:colOff>354874</xdr:colOff>
      <xdr:row>23</xdr:row>
      <xdr:rowOff>680656</xdr:rowOff>
    </xdr:to>
    <xdr:pic>
      <xdr:nvPicPr>
        <xdr:cNvPr id="21" name="Picture 20">
          <a:extLst>
            <a:ext uri="{FF2B5EF4-FFF2-40B4-BE49-F238E27FC236}">
              <a16:creationId xmlns:a16="http://schemas.microsoft.com/office/drawing/2014/main" id="{C6BA19BF-4823-4308-A0B0-8C20FCAD6A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79994" y="3383280"/>
          <a:ext cx="0" cy="6531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279400</xdr:colOff>
      <xdr:row>4</xdr:row>
      <xdr:rowOff>172155</xdr:rowOff>
    </xdr:from>
    <xdr:to>
      <xdr:col>1</xdr:col>
      <xdr:colOff>1879600</xdr:colOff>
      <xdr:row>8</xdr:row>
      <xdr:rowOff>0</xdr:rowOff>
    </xdr:to>
    <xdr:sp macro="" textlink="">
      <xdr:nvSpPr>
        <xdr:cNvPr id="27" name="TextBox 26">
          <a:hlinkClick xmlns:r="http://schemas.openxmlformats.org/officeDocument/2006/relationships" r:id="rId2"/>
          <a:extLst>
            <a:ext uri="{FF2B5EF4-FFF2-40B4-BE49-F238E27FC236}">
              <a16:creationId xmlns:a16="http://schemas.microsoft.com/office/drawing/2014/main" id="{AE4F71FF-B11A-41C2-962A-8C5C0EE89E98}"/>
            </a:ext>
          </a:extLst>
        </xdr:cNvPr>
        <xdr:cNvSpPr txBox="1"/>
      </xdr:nvSpPr>
      <xdr:spPr>
        <a:xfrm>
          <a:off x="584200" y="1492955"/>
          <a:ext cx="1600200" cy="1618545"/>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pPr algn="ctr"/>
          <a:r>
            <a:rPr lang="en-US" sz="1200" b="0">
              <a:solidFill>
                <a:schemeClr val="bg1"/>
              </a:solidFill>
              <a:latin typeface="Roboto" panose="02000000000000000000" pitchFamily="2" charset="0"/>
              <a:ea typeface="Roboto" panose="02000000000000000000" pitchFamily="2" charset="0"/>
            </a:rPr>
            <a:t>1.  Objetivos, indicadores e emissões de GEE, referenciais metodológicos e projetos abrangidos pela calculadora</a:t>
          </a:r>
        </a:p>
      </xdr:txBody>
    </xdr:sp>
    <xdr:clientData/>
  </xdr:twoCellAnchor>
  <xdr:twoCellAnchor>
    <xdr:from>
      <xdr:col>22</xdr:col>
      <xdr:colOff>222743</xdr:colOff>
      <xdr:row>2</xdr:row>
      <xdr:rowOff>70338</xdr:rowOff>
    </xdr:from>
    <xdr:to>
      <xdr:col>23</xdr:col>
      <xdr:colOff>363420</xdr:colOff>
      <xdr:row>3</xdr:row>
      <xdr:rowOff>834</xdr:rowOff>
    </xdr:to>
    <xdr:grpSp>
      <xdr:nvGrpSpPr>
        <xdr:cNvPr id="34" name="Group 33">
          <a:hlinkClick xmlns:r="http://schemas.openxmlformats.org/officeDocument/2006/relationships" r:id="rId3"/>
          <a:extLst>
            <a:ext uri="{FF2B5EF4-FFF2-40B4-BE49-F238E27FC236}">
              <a16:creationId xmlns:a16="http://schemas.microsoft.com/office/drawing/2014/main" id="{3FF9CD4C-9F99-4A6B-A735-49E85CB1EAA9}"/>
            </a:ext>
          </a:extLst>
        </xdr:cNvPr>
        <xdr:cNvGrpSpPr/>
      </xdr:nvGrpSpPr>
      <xdr:grpSpPr>
        <a:xfrm>
          <a:off x="29355636" y="492159"/>
          <a:ext cx="725784" cy="814961"/>
          <a:chOff x="17877692" y="281353"/>
          <a:chExt cx="750277" cy="768696"/>
        </a:xfrm>
      </xdr:grpSpPr>
      <xdr:pic>
        <xdr:nvPicPr>
          <xdr:cNvPr id="35" name="Graphic 34" descr="Home outline">
            <a:extLst>
              <a:ext uri="{FF2B5EF4-FFF2-40B4-BE49-F238E27FC236}">
                <a16:creationId xmlns:a16="http://schemas.microsoft.com/office/drawing/2014/main" id="{59DA18E1-5842-A55B-0686-DB4B66A27C1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936307" y="281353"/>
            <a:ext cx="504093" cy="504093"/>
          </a:xfrm>
          <a:prstGeom prst="rect">
            <a:avLst/>
          </a:prstGeom>
        </xdr:spPr>
      </xdr:pic>
      <xdr:sp macro="" textlink="">
        <xdr:nvSpPr>
          <xdr:cNvPr id="36" name="TextBox 35">
            <a:extLst>
              <a:ext uri="{FF2B5EF4-FFF2-40B4-BE49-F238E27FC236}">
                <a16:creationId xmlns:a16="http://schemas.microsoft.com/office/drawing/2014/main" id="{5F27ED0D-7ED3-580D-2CE3-51E3923D9EC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editAs="oneCell">
    <xdr:from>
      <xdr:col>5</xdr:col>
      <xdr:colOff>91831</xdr:colOff>
      <xdr:row>2</xdr:row>
      <xdr:rowOff>157286</xdr:rowOff>
    </xdr:from>
    <xdr:to>
      <xdr:col>5</xdr:col>
      <xdr:colOff>853468</xdr:colOff>
      <xdr:row>2</xdr:row>
      <xdr:rowOff>838199</xdr:rowOff>
    </xdr:to>
    <xdr:pic>
      <xdr:nvPicPr>
        <xdr:cNvPr id="37" name="Picture 36">
          <a:extLst>
            <a:ext uri="{FF2B5EF4-FFF2-40B4-BE49-F238E27FC236}">
              <a16:creationId xmlns:a16="http://schemas.microsoft.com/office/drawing/2014/main" id="{5C11BF6E-040C-485F-90AC-A04CF5462EBD}"/>
            </a:ext>
          </a:extLst>
        </xdr:cNvPr>
        <xdr:cNvPicPr>
          <a:picLocks noChangeAspect="1"/>
        </xdr:cNvPicPr>
      </xdr:nvPicPr>
      <xdr:blipFill>
        <a:blip xmlns:r="http://schemas.openxmlformats.org/officeDocument/2006/relationships" r:embed="rId6"/>
        <a:stretch>
          <a:fillRect/>
        </a:stretch>
      </xdr:blipFill>
      <xdr:spPr>
        <a:xfrm>
          <a:off x="8407156" y="557336"/>
          <a:ext cx="761637" cy="680913"/>
        </a:xfrm>
        <a:prstGeom prst="rect">
          <a:avLst/>
        </a:prstGeom>
      </xdr:spPr>
    </xdr:pic>
    <xdr:clientData/>
  </xdr:twoCellAnchor>
  <xdr:twoCellAnchor>
    <xdr:from>
      <xdr:col>3</xdr:col>
      <xdr:colOff>139700</xdr:colOff>
      <xdr:row>4</xdr:row>
      <xdr:rowOff>114300</xdr:rowOff>
    </xdr:from>
    <xdr:to>
      <xdr:col>3</xdr:col>
      <xdr:colOff>1828800</xdr:colOff>
      <xdr:row>8</xdr:row>
      <xdr:rowOff>0</xdr:rowOff>
    </xdr:to>
    <xdr:sp macro="" textlink="">
      <xdr:nvSpPr>
        <xdr:cNvPr id="19" name="TextBox 18">
          <a:hlinkClick xmlns:r="http://schemas.openxmlformats.org/officeDocument/2006/relationships" r:id="rId7"/>
          <a:extLst>
            <a:ext uri="{FF2B5EF4-FFF2-40B4-BE49-F238E27FC236}">
              <a16:creationId xmlns:a16="http://schemas.microsoft.com/office/drawing/2014/main" id="{E688C081-0108-4E93-B81E-64031708AA0E}"/>
            </a:ext>
          </a:extLst>
        </xdr:cNvPr>
        <xdr:cNvSpPr txBox="1"/>
      </xdr:nvSpPr>
      <xdr:spPr>
        <a:xfrm>
          <a:off x="4352471" y="1529443"/>
          <a:ext cx="1689100" cy="1866900"/>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pPr algn="ctr"/>
          <a:r>
            <a:rPr lang="en-US" sz="1200" b="0">
              <a:solidFill>
                <a:schemeClr val="bg1"/>
              </a:solidFill>
              <a:latin typeface="Roboto" panose="02000000000000000000" pitchFamily="2" charset="0"/>
              <a:ea typeface="Roboto" panose="02000000000000000000" pitchFamily="2" charset="0"/>
            </a:rPr>
            <a:t>2. Referenciais metodológicos, pressupostos metodológicos e fatores de emissão padrão utilizados na calculadora</a:t>
          </a:r>
        </a:p>
      </xdr:txBody>
    </xdr:sp>
    <xdr:clientData/>
  </xdr:twoCellAnchor>
  <xdr:twoCellAnchor>
    <xdr:from>
      <xdr:col>5</xdr:col>
      <xdr:colOff>266700</xdr:colOff>
      <xdr:row>4</xdr:row>
      <xdr:rowOff>114300</xdr:rowOff>
    </xdr:from>
    <xdr:to>
      <xdr:col>5</xdr:col>
      <xdr:colOff>1955800</xdr:colOff>
      <xdr:row>8</xdr:row>
      <xdr:rowOff>0</xdr:rowOff>
    </xdr:to>
    <xdr:sp macro="" textlink="">
      <xdr:nvSpPr>
        <xdr:cNvPr id="39" name="TextBox 38">
          <a:hlinkClick xmlns:r="http://schemas.openxmlformats.org/officeDocument/2006/relationships" r:id="rId8"/>
          <a:extLst>
            <a:ext uri="{FF2B5EF4-FFF2-40B4-BE49-F238E27FC236}">
              <a16:creationId xmlns:a16="http://schemas.microsoft.com/office/drawing/2014/main" id="{BB3EDEF8-B002-45E8-AE2F-A4F9D8637DD3}"/>
            </a:ext>
          </a:extLst>
        </xdr:cNvPr>
        <xdr:cNvSpPr txBox="1"/>
      </xdr:nvSpPr>
      <xdr:spPr>
        <a:xfrm>
          <a:off x="8474529" y="1529443"/>
          <a:ext cx="1689100" cy="1866900"/>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r>
            <a:rPr lang="en-US" sz="1200" b="0">
              <a:solidFill>
                <a:schemeClr val="bg1"/>
              </a:solidFill>
              <a:latin typeface="Roboto" panose="02000000000000000000" pitchFamily="2" charset="0"/>
              <a:ea typeface="Roboto" panose="02000000000000000000" pitchFamily="2" charset="0"/>
              <a:cs typeface="+mn-cs"/>
            </a:rPr>
            <a:t>3. Instruções para a utilização da GEE_mobilidade</a:t>
          </a:r>
          <a:endParaRPr lang="en-GB" sz="1200" b="0">
            <a:solidFill>
              <a:schemeClr val="bg1"/>
            </a:solidFill>
            <a:latin typeface="Roboto" panose="02000000000000000000" pitchFamily="2" charset="0"/>
            <a:ea typeface="Roboto" panose="02000000000000000000" pitchFamily="2" charset="0"/>
            <a:cs typeface="+mn-cs"/>
          </a:endParaRPr>
        </a:p>
      </xdr:txBody>
    </xdr:sp>
    <xdr:clientData/>
  </xdr:twoCellAnchor>
  <xdr:twoCellAnchor>
    <xdr:from>
      <xdr:col>7</xdr:col>
      <xdr:colOff>874486</xdr:colOff>
      <xdr:row>4</xdr:row>
      <xdr:rowOff>50074</xdr:rowOff>
    </xdr:from>
    <xdr:to>
      <xdr:col>8</xdr:col>
      <xdr:colOff>798286</xdr:colOff>
      <xdr:row>7</xdr:row>
      <xdr:rowOff>514894</xdr:rowOff>
    </xdr:to>
    <xdr:sp macro="" textlink="">
      <xdr:nvSpPr>
        <xdr:cNvPr id="41" name="TextBox 40">
          <a:hlinkClick xmlns:r="http://schemas.openxmlformats.org/officeDocument/2006/relationships" r:id="rId9"/>
          <a:extLst>
            <a:ext uri="{FF2B5EF4-FFF2-40B4-BE49-F238E27FC236}">
              <a16:creationId xmlns:a16="http://schemas.microsoft.com/office/drawing/2014/main" id="{A0A383A1-D86D-484B-9E63-1FB1D0385BA8}"/>
            </a:ext>
          </a:extLst>
        </xdr:cNvPr>
        <xdr:cNvSpPr txBox="1"/>
      </xdr:nvSpPr>
      <xdr:spPr>
        <a:xfrm>
          <a:off x="13371286" y="1465217"/>
          <a:ext cx="1687286" cy="1869077"/>
        </a:xfrm>
        <a:prstGeom prst="roundRect">
          <a:avLst/>
        </a:prstGeom>
        <a:solidFill>
          <a:srgbClr val="FFC000"/>
        </a:solidFill>
        <a:ln/>
      </xdr:spPr>
      <xdr:style>
        <a:lnRef idx="0">
          <a:schemeClr val="accent6"/>
        </a:lnRef>
        <a:fillRef idx="3">
          <a:schemeClr val="accent6"/>
        </a:fillRef>
        <a:effectRef idx="3">
          <a:schemeClr val="accent6"/>
        </a:effectRef>
        <a:fontRef idx="minor">
          <a:schemeClr val="lt1"/>
        </a:fontRef>
      </xdr:style>
      <xdr:txBody>
        <a:bodyPr vertOverflow="clip" horzOverflow="clip" wrap="square" rtlCol="0" anchor="t"/>
        <a:lstStyle/>
        <a:p>
          <a:r>
            <a:rPr lang="en-US" sz="1200" b="0">
              <a:solidFill>
                <a:schemeClr val="bg1"/>
              </a:solidFill>
              <a:latin typeface="Roboto" panose="02000000000000000000" pitchFamily="2" charset="0"/>
              <a:ea typeface="Roboto" panose="02000000000000000000" pitchFamily="2" charset="0"/>
              <a:cs typeface="+mn-cs"/>
            </a:rPr>
            <a:t>4. Exemplos de cálculo de emissões de GEE em projetos de mobilidade</a:t>
          </a:r>
          <a:endParaRPr lang="en-GB" sz="1200" b="0">
            <a:solidFill>
              <a:schemeClr val="bg1"/>
            </a:solidFill>
            <a:latin typeface="Roboto" panose="02000000000000000000" pitchFamily="2" charset="0"/>
            <a:ea typeface="Roboto" panose="02000000000000000000" pitchFamily="2" charset="0"/>
            <a:cs typeface="+mn-cs"/>
          </a:endParaRPr>
        </a:p>
      </xdr:txBody>
    </xdr:sp>
    <xdr:clientData/>
  </xdr:twoCellAnchor>
  <xdr:twoCellAnchor>
    <xdr:from>
      <xdr:col>5</xdr:col>
      <xdr:colOff>653142</xdr:colOff>
      <xdr:row>2</xdr:row>
      <xdr:rowOff>152400</xdr:rowOff>
    </xdr:from>
    <xdr:to>
      <xdr:col>5</xdr:col>
      <xdr:colOff>1381647</xdr:colOff>
      <xdr:row>2</xdr:row>
      <xdr:rowOff>832628</xdr:rowOff>
    </xdr:to>
    <xdr:grpSp>
      <xdr:nvGrpSpPr>
        <xdr:cNvPr id="2" name="Group 1">
          <a:hlinkClick xmlns:r="http://schemas.openxmlformats.org/officeDocument/2006/relationships" r:id="rId3"/>
          <a:extLst>
            <a:ext uri="{FF2B5EF4-FFF2-40B4-BE49-F238E27FC236}">
              <a16:creationId xmlns:a16="http://schemas.microsoft.com/office/drawing/2014/main" id="{255073CB-6FCB-430A-A40F-F48BD3200ECB}"/>
            </a:ext>
          </a:extLst>
        </xdr:cNvPr>
        <xdr:cNvGrpSpPr/>
      </xdr:nvGrpSpPr>
      <xdr:grpSpPr>
        <a:xfrm>
          <a:off x="8626928" y="574221"/>
          <a:ext cx="728505" cy="680228"/>
          <a:chOff x="17877692" y="281353"/>
          <a:chExt cx="750277" cy="768696"/>
        </a:xfrm>
      </xdr:grpSpPr>
      <xdr:pic>
        <xdr:nvPicPr>
          <xdr:cNvPr id="3" name="Graphic 2" descr="Home outline">
            <a:extLst>
              <a:ext uri="{FF2B5EF4-FFF2-40B4-BE49-F238E27FC236}">
                <a16:creationId xmlns:a16="http://schemas.microsoft.com/office/drawing/2014/main" id="{1F4494D0-8C19-F21B-9609-B2F7F64D154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7936307" y="281353"/>
            <a:ext cx="504093" cy="504093"/>
          </a:xfrm>
          <a:prstGeom prst="rect">
            <a:avLst/>
          </a:prstGeom>
        </xdr:spPr>
      </xdr:pic>
      <xdr:sp macro="" textlink="">
        <xdr:nvSpPr>
          <xdr:cNvPr id="4" name="TextBox 3">
            <a:hlinkClick xmlns:r="http://schemas.openxmlformats.org/officeDocument/2006/relationships" r:id="rId3"/>
            <a:extLst>
              <a:ext uri="{FF2B5EF4-FFF2-40B4-BE49-F238E27FC236}">
                <a16:creationId xmlns:a16="http://schemas.microsoft.com/office/drawing/2014/main" id="{D99197B2-F255-24CD-E69E-1202D5C9BACE}"/>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6438829</xdr:colOff>
      <xdr:row>1</xdr:row>
      <xdr:rowOff>97931</xdr:rowOff>
    </xdr:from>
    <xdr:to>
      <xdr:col>2</xdr:col>
      <xdr:colOff>7182711</xdr:colOff>
      <xdr:row>1</xdr:row>
      <xdr:rowOff>875292</xdr:rowOff>
    </xdr:to>
    <xdr:grpSp>
      <xdr:nvGrpSpPr>
        <xdr:cNvPr id="6" name="Group 5">
          <a:hlinkClick xmlns:r="http://schemas.openxmlformats.org/officeDocument/2006/relationships" r:id="rId1"/>
          <a:extLst>
            <a:ext uri="{FF2B5EF4-FFF2-40B4-BE49-F238E27FC236}">
              <a16:creationId xmlns:a16="http://schemas.microsoft.com/office/drawing/2014/main" id="{1105C62E-090C-8160-281F-7E72ECF76192}"/>
            </a:ext>
          </a:extLst>
        </xdr:cNvPr>
        <xdr:cNvGrpSpPr/>
      </xdr:nvGrpSpPr>
      <xdr:grpSpPr>
        <a:xfrm>
          <a:off x="12039529" y="288431"/>
          <a:ext cx="743882" cy="777361"/>
          <a:chOff x="17877692" y="281353"/>
          <a:chExt cx="750277" cy="768696"/>
        </a:xfrm>
      </xdr:grpSpPr>
      <xdr:pic>
        <xdr:nvPicPr>
          <xdr:cNvPr id="4" name="Graphic 3" descr="Home outline">
            <a:extLst>
              <a:ext uri="{FF2B5EF4-FFF2-40B4-BE49-F238E27FC236}">
                <a16:creationId xmlns:a16="http://schemas.microsoft.com/office/drawing/2014/main" id="{8DF41EDB-00F9-D15B-E30B-4BA7063A261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936307" y="281353"/>
            <a:ext cx="504093" cy="504093"/>
          </a:xfrm>
          <a:prstGeom prst="rect">
            <a:avLst/>
          </a:prstGeom>
        </xdr:spPr>
      </xdr:pic>
      <xdr:sp macro="" textlink="">
        <xdr:nvSpPr>
          <xdr:cNvPr id="5" name="TextBox 4">
            <a:hlinkClick xmlns:r="http://schemas.openxmlformats.org/officeDocument/2006/relationships" r:id="rId1"/>
            <a:extLst>
              <a:ext uri="{FF2B5EF4-FFF2-40B4-BE49-F238E27FC236}">
                <a16:creationId xmlns:a16="http://schemas.microsoft.com/office/drawing/2014/main" id="{5E4D9D9C-57ED-EC67-402A-7AC36CB412EC}"/>
              </a:ext>
            </a:extLst>
          </xdr:cNvPr>
          <xdr:cNvSpPr txBox="1"/>
        </xdr:nvSpPr>
        <xdr:spPr>
          <a:xfrm>
            <a:off x="17877692" y="738553"/>
            <a:ext cx="75027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400">
                <a:solidFill>
                  <a:schemeClr val="bg1"/>
                </a:solidFill>
                <a:latin typeface="Aptos" panose="020B0004020202020204" pitchFamily="34" charset="0"/>
              </a:rPr>
              <a:t>Índice</a:t>
            </a:r>
          </a:p>
        </xdr:txBody>
      </xdr:sp>
    </xdr:grpSp>
    <xdr:clientData/>
  </xdr:twoCellAnchor>
  <xdr:twoCellAnchor>
    <xdr:from>
      <xdr:col>2</xdr:col>
      <xdr:colOff>4327603</xdr:colOff>
      <xdr:row>1</xdr:row>
      <xdr:rowOff>13497</xdr:rowOff>
    </xdr:from>
    <xdr:to>
      <xdr:col>2</xdr:col>
      <xdr:colOff>6368486</xdr:colOff>
      <xdr:row>3</xdr:row>
      <xdr:rowOff>209237</xdr:rowOff>
    </xdr:to>
    <xdr:grpSp>
      <xdr:nvGrpSpPr>
        <xdr:cNvPr id="8" name="Group 7">
          <a:hlinkClick xmlns:r="http://schemas.openxmlformats.org/officeDocument/2006/relationships" r:id="rId4"/>
          <a:extLst>
            <a:ext uri="{FF2B5EF4-FFF2-40B4-BE49-F238E27FC236}">
              <a16:creationId xmlns:a16="http://schemas.microsoft.com/office/drawing/2014/main" id="{9F0409EC-1BE6-2D87-5F4C-4959B45D5145}"/>
            </a:ext>
          </a:extLst>
        </xdr:cNvPr>
        <xdr:cNvGrpSpPr/>
      </xdr:nvGrpSpPr>
      <xdr:grpSpPr>
        <a:xfrm>
          <a:off x="9928303" y="203997"/>
          <a:ext cx="2040883" cy="1300640"/>
          <a:chOff x="17335500" y="165100"/>
          <a:chExt cx="1790700" cy="1187450"/>
        </a:xfrm>
      </xdr:grpSpPr>
      <xdr:pic>
        <xdr:nvPicPr>
          <xdr:cNvPr id="2" name="Graphic 1" descr="Badge Question Mark outline">
            <a:extLst>
              <a:ext uri="{FF2B5EF4-FFF2-40B4-BE49-F238E27FC236}">
                <a16:creationId xmlns:a16="http://schemas.microsoft.com/office/drawing/2014/main" id="{950A65E5-B45D-4AC0-AACE-882B29E7E037}"/>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802226" y="165100"/>
            <a:ext cx="638175" cy="638175"/>
          </a:xfrm>
          <a:prstGeom prst="rect">
            <a:avLst/>
          </a:prstGeom>
        </xdr:spPr>
      </xdr:pic>
      <xdr:sp macro="" textlink="">
        <xdr:nvSpPr>
          <xdr:cNvPr id="7" name="TextBox 6">
            <a:hlinkClick xmlns:r="http://schemas.openxmlformats.org/officeDocument/2006/relationships" r:id="rId4"/>
            <a:extLst>
              <a:ext uri="{FF2B5EF4-FFF2-40B4-BE49-F238E27FC236}">
                <a16:creationId xmlns:a16="http://schemas.microsoft.com/office/drawing/2014/main" id="{00CF39AF-6B76-405F-94B9-82D369312200}"/>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2</xdr:col>
      <xdr:colOff>3136900</xdr:colOff>
      <xdr:row>1</xdr:row>
      <xdr:rowOff>203200</xdr:rowOff>
    </xdr:from>
    <xdr:to>
      <xdr:col>2</xdr:col>
      <xdr:colOff>3676160</xdr:colOff>
      <xdr:row>1</xdr:row>
      <xdr:rowOff>734757</xdr:rowOff>
    </xdr:to>
    <xdr:pic>
      <xdr:nvPicPr>
        <xdr:cNvPr id="9" name="Graphic 8" descr="List outline">
          <a:extLst>
            <a:ext uri="{FF2B5EF4-FFF2-40B4-BE49-F238E27FC236}">
              <a16:creationId xmlns:a16="http://schemas.microsoft.com/office/drawing/2014/main" id="{5DBC50A6-B1E8-4E0F-BD21-EED1A1CE7574}"/>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902700" y="381000"/>
          <a:ext cx="539260" cy="5315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1869819</xdr:colOff>
      <xdr:row>1</xdr:row>
      <xdr:rowOff>105509</xdr:rowOff>
    </xdr:from>
    <xdr:to>
      <xdr:col>4</xdr:col>
      <xdr:colOff>234450</xdr:colOff>
      <xdr:row>2</xdr:row>
      <xdr:rowOff>58615</xdr:rowOff>
    </xdr:to>
    <xdr:grpSp>
      <xdr:nvGrpSpPr>
        <xdr:cNvPr id="8" name="Group 7">
          <a:extLst>
            <a:ext uri="{FF2B5EF4-FFF2-40B4-BE49-F238E27FC236}">
              <a16:creationId xmlns:a16="http://schemas.microsoft.com/office/drawing/2014/main" id="{948B6032-62CA-BF54-6DFC-7E30993F7E10}"/>
            </a:ext>
          </a:extLst>
        </xdr:cNvPr>
        <xdr:cNvGrpSpPr/>
      </xdr:nvGrpSpPr>
      <xdr:grpSpPr>
        <a:xfrm>
          <a:off x="11218973" y="296009"/>
          <a:ext cx="1119554" cy="920260"/>
          <a:chOff x="12174417" y="504092"/>
          <a:chExt cx="839373" cy="613116"/>
        </a:xfrm>
      </xdr:grpSpPr>
      <xdr:pic>
        <xdr:nvPicPr>
          <xdr:cNvPr id="6" name="Graphic 5" descr="Home outline">
            <a:hlinkClick xmlns:r="http://schemas.openxmlformats.org/officeDocument/2006/relationships" r:id="rId1"/>
            <a:extLst>
              <a:ext uri="{FF2B5EF4-FFF2-40B4-BE49-F238E27FC236}">
                <a16:creationId xmlns:a16="http://schemas.microsoft.com/office/drawing/2014/main" id="{3DB419F6-9B51-E5DF-BC57-3482E831FCA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243352" y="504092"/>
            <a:ext cx="465390" cy="404074"/>
          </a:xfrm>
          <a:prstGeom prst="rect">
            <a:avLst/>
          </a:prstGeom>
        </xdr:spPr>
      </xdr:pic>
      <xdr:sp macro="" textlink="">
        <xdr:nvSpPr>
          <xdr:cNvPr id="7" name="TextBox 6">
            <a:extLst>
              <a:ext uri="{FF2B5EF4-FFF2-40B4-BE49-F238E27FC236}">
                <a16:creationId xmlns:a16="http://schemas.microsoft.com/office/drawing/2014/main" id="{C07E2275-415F-D5E1-F762-92EA6A68D2E9}"/>
              </a:ext>
            </a:extLst>
          </xdr:cNvPr>
          <xdr:cNvSpPr txBox="1"/>
        </xdr:nvSpPr>
        <xdr:spPr>
          <a:xfrm>
            <a:off x="12174417" y="845030"/>
            <a:ext cx="839373" cy="2721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GB" sz="1400">
                <a:solidFill>
                  <a:schemeClr val="bg1"/>
                </a:solidFill>
                <a:latin typeface="Aptos" panose="020B0004020202020204" pitchFamily="34" charset="0"/>
              </a:rPr>
              <a:t>  </a:t>
            </a:r>
            <a:r>
              <a:rPr lang="en-GB" sz="1400" baseline="0">
                <a:solidFill>
                  <a:schemeClr val="bg1"/>
                </a:solidFill>
                <a:latin typeface="Aptos" panose="020B0004020202020204" pitchFamily="34" charset="0"/>
              </a:rPr>
              <a:t> </a:t>
            </a:r>
            <a:r>
              <a:rPr lang="en-GB" sz="1400">
                <a:solidFill>
                  <a:schemeClr val="bg1"/>
                </a:solidFill>
                <a:latin typeface="Aptos" panose="020B0004020202020204" pitchFamily="34" charset="0"/>
              </a:rPr>
              <a:t>Índice</a:t>
            </a:r>
          </a:p>
        </xdr:txBody>
      </xdr:sp>
    </xdr:grpSp>
    <xdr:clientData/>
  </xdr:twoCellAnchor>
  <xdr:twoCellAnchor>
    <xdr:from>
      <xdr:col>2</xdr:col>
      <xdr:colOff>543349</xdr:colOff>
      <xdr:row>1</xdr:row>
      <xdr:rowOff>27548</xdr:rowOff>
    </xdr:from>
    <xdr:to>
      <xdr:col>3</xdr:col>
      <xdr:colOff>1143800</xdr:colOff>
      <xdr:row>3</xdr:row>
      <xdr:rowOff>34288</xdr:rowOff>
    </xdr:to>
    <xdr:grpSp>
      <xdr:nvGrpSpPr>
        <xdr:cNvPr id="9" name="Group 8">
          <a:hlinkClick xmlns:r="http://schemas.openxmlformats.org/officeDocument/2006/relationships" r:id="rId4"/>
          <a:extLst>
            <a:ext uri="{FF2B5EF4-FFF2-40B4-BE49-F238E27FC236}">
              <a16:creationId xmlns:a16="http://schemas.microsoft.com/office/drawing/2014/main" id="{F7242EAC-8835-488B-8940-25DEE43EF126}"/>
            </a:ext>
          </a:extLst>
        </xdr:cNvPr>
        <xdr:cNvGrpSpPr/>
      </xdr:nvGrpSpPr>
      <xdr:grpSpPr>
        <a:xfrm>
          <a:off x="8441772" y="218048"/>
          <a:ext cx="2051182" cy="1281625"/>
          <a:chOff x="17335500" y="165100"/>
          <a:chExt cx="1790700" cy="1187450"/>
        </a:xfrm>
      </xdr:grpSpPr>
      <xdr:pic>
        <xdr:nvPicPr>
          <xdr:cNvPr id="10" name="Graphic 9" descr="Badge Question Mark outline">
            <a:extLst>
              <a:ext uri="{FF2B5EF4-FFF2-40B4-BE49-F238E27FC236}">
                <a16:creationId xmlns:a16="http://schemas.microsoft.com/office/drawing/2014/main" id="{1F3E451F-0DB8-720F-BF5E-B4C414B456F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802226" y="165100"/>
            <a:ext cx="638175" cy="638175"/>
          </a:xfrm>
          <a:prstGeom prst="rect">
            <a:avLst/>
          </a:prstGeom>
        </xdr:spPr>
      </xdr:pic>
      <xdr:sp macro="" textlink="">
        <xdr:nvSpPr>
          <xdr:cNvPr id="11" name="TextBox 10">
            <a:hlinkClick xmlns:r="http://schemas.openxmlformats.org/officeDocument/2006/relationships" r:id="rId7"/>
            <a:extLst>
              <a:ext uri="{FF2B5EF4-FFF2-40B4-BE49-F238E27FC236}">
                <a16:creationId xmlns:a16="http://schemas.microsoft.com/office/drawing/2014/main" id="{4E9C7441-FF09-0E3E-A069-151C9031D6C7}"/>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3</xdr:col>
      <xdr:colOff>996446</xdr:colOff>
      <xdr:row>1</xdr:row>
      <xdr:rowOff>121333</xdr:rowOff>
    </xdr:from>
    <xdr:to>
      <xdr:col>3</xdr:col>
      <xdr:colOff>1929690</xdr:colOff>
      <xdr:row>1</xdr:row>
      <xdr:rowOff>952942</xdr:rowOff>
    </xdr:to>
    <xdr:grpSp>
      <xdr:nvGrpSpPr>
        <xdr:cNvPr id="12" name="Group 11">
          <a:hlinkClick xmlns:r="http://schemas.openxmlformats.org/officeDocument/2006/relationships" r:id="rId8"/>
          <a:extLst>
            <a:ext uri="{FF2B5EF4-FFF2-40B4-BE49-F238E27FC236}">
              <a16:creationId xmlns:a16="http://schemas.microsoft.com/office/drawing/2014/main" id="{009CCA5F-56CD-40B6-B202-6DB5DEE7B5E2}"/>
            </a:ext>
          </a:extLst>
        </xdr:cNvPr>
        <xdr:cNvGrpSpPr/>
      </xdr:nvGrpSpPr>
      <xdr:grpSpPr>
        <a:xfrm>
          <a:off x="10345600" y="311833"/>
          <a:ext cx="933244" cy="831609"/>
          <a:chOff x="15486183" y="410307"/>
          <a:chExt cx="855784" cy="808893"/>
        </a:xfrm>
      </xdr:grpSpPr>
      <xdr:sp macro="" textlink="">
        <xdr:nvSpPr>
          <xdr:cNvPr id="13" name="TextBox 12">
            <a:hlinkClick xmlns:r="http://schemas.openxmlformats.org/officeDocument/2006/relationships" r:id="rId9"/>
            <a:extLst>
              <a:ext uri="{FF2B5EF4-FFF2-40B4-BE49-F238E27FC236}">
                <a16:creationId xmlns:a16="http://schemas.microsoft.com/office/drawing/2014/main" id="{54AED4DF-D540-B52C-CFD9-372BAA3CE80F}"/>
              </a:ext>
            </a:extLst>
          </xdr:cNvPr>
          <xdr:cNvSpPr txBox="1"/>
        </xdr:nvSpPr>
        <xdr:spPr>
          <a:xfrm>
            <a:off x="15486183"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16" name="Graphic 15" descr="List outline">
            <a:extLst>
              <a:ext uri="{FF2B5EF4-FFF2-40B4-BE49-F238E27FC236}">
                <a16:creationId xmlns:a16="http://schemas.microsoft.com/office/drawing/2014/main" id="{57A403A7-629D-9210-2F16-BB56B438D29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5603415" y="410307"/>
            <a:ext cx="539260" cy="531557"/>
          </a:xfrm>
          <a:prstGeom prst="rect">
            <a:avLst/>
          </a:prstGeom>
        </xdr:spPr>
      </xdr:pic>
    </xdr:grpSp>
    <xdr:clientData/>
  </xdr:twoCellAnchor>
  <xdr:twoCellAnchor editAs="oneCell">
    <xdr:from>
      <xdr:col>1</xdr:col>
      <xdr:colOff>5064369</xdr:colOff>
      <xdr:row>1</xdr:row>
      <xdr:rowOff>222738</xdr:rowOff>
    </xdr:from>
    <xdr:to>
      <xdr:col>1</xdr:col>
      <xdr:colOff>5673968</xdr:colOff>
      <xdr:row>1</xdr:row>
      <xdr:rowOff>832337</xdr:rowOff>
    </xdr:to>
    <xdr:pic>
      <xdr:nvPicPr>
        <xdr:cNvPr id="3" name="Graphic 2" descr="Barcode outline">
          <a:extLst>
            <a:ext uri="{FF2B5EF4-FFF2-40B4-BE49-F238E27FC236}">
              <a16:creationId xmlns:a16="http://schemas.microsoft.com/office/drawing/2014/main" id="{272FA490-6700-7F4C-9D79-2C6926C4255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357446" y="410307"/>
          <a:ext cx="609599" cy="6095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57152</xdr:colOff>
      <xdr:row>3</xdr:row>
      <xdr:rowOff>133351</xdr:rowOff>
    </xdr:from>
    <xdr:to>
      <xdr:col>2</xdr:col>
      <xdr:colOff>1752600</xdr:colOff>
      <xdr:row>9</xdr:row>
      <xdr:rowOff>971550</xdr:rowOff>
    </xdr:to>
    <xdr:sp macro="" textlink="">
      <xdr:nvSpPr>
        <xdr:cNvPr id="149" name="Rectangle: Rounded Corners 148">
          <a:extLst>
            <a:ext uri="{FF2B5EF4-FFF2-40B4-BE49-F238E27FC236}">
              <a16:creationId xmlns:a16="http://schemas.microsoft.com/office/drawing/2014/main" id="{5FA625CB-BACA-46E4-B875-EE83AC88E5DD}"/>
            </a:ext>
          </a:extLst>
        </xdr:cNvPr>
        <xdr:cNvSpPr/>
      </xdr:nvSpPr>
      <xdr:spPr>
        <a:xfrm>
          <a:off x="495302" y="1638301"/>
          <a:ext cx="1695448" cy="6857999"/>
        </a:xfrm>
        <a:prstGeom prst="roundRect">
          <a:avLst>
            <a:gd name="adj" fmla="val 11510"/>
          </a:avLst>
        </a:prstGeom>
        <a:solidFill>
          <a:srgbClr val="DEEBF7">
            <a:alpha val="49804"/>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en-GB" sz="1600" b="0" i="0" u="none" baseline="0">
            <a:solidFill>
              <a:srgbClr val="993300"/>
            </a:solidFill>
            <a:effectLst/>
            <a:latin typeface="+mn-lt"/>
            <a:ea typeface="+mn-ea"/>
            <a:cs typeface="+mn-cs"/>
          </a:endParaRPr>
        </a:p>
        <a:p>
          <a:r>
            <a:rPr lang="en-GB" sz="1600" b="1" i="0" u="none" baseline="0">
              <a:solidFill>
                <a:srgbClr val="993300"/>
              </a:solidFill>
              <a:effectLst/>
              <a:latin typeface="+mn-lt"/>
              <a:ea typeface="+mn-ea"/>
              <a:cs typeface="+mn-cs"/>
            </a:rPr>
            <a:t>	</a:t>
          </a:r>
        </a:p>
        <a:p>
          <a:endParaRPr lang="en-GB" sz="1600" b="1" i="0" u="none" baseline="0">
            <a:solidFill>
              <a:srgbClr val="993300"/>
            </a:solidFill>
            <a:effectLst/>
            <a:latin typeface="+mn-lt"/>
            <a:ea typeface="+mn-ea"/>
            <a:cs typeface="+mn-cs"/>
          </a:endParaRPr>
        </a:p>
        <a:p>
          <a:r>
            <a:rPr lang="en-GB" sz="1600" b="0" i="0" u="none" baseline="0">
              <a:solidFill>
                <a:srgbClr val="993300"/>
              </a:solidFill>
              <a:effectLst/>
              <a:latin typeface="+mn-lt"/>
              <a:ea typeface="+mn-ea"/>
              <a:cs typeface="+mn-cs"/>
            </a:rPr>
            <a:t>  </a:t>
          </a:r>
        </a:p>
        <a:p>
          <a:pPr marL="0" indent="0" algn="l"/>
          <a:endParaRPr lang="en-GB" sz="1600" b="0" i="0" u="none">
            <a:solidFill>
              <a:srgbClr val="993300"/>
            </a:solidFill>
            <a:effectLst/>
            <a:latin typeface="+mn-lt"/>
            <a:ea typeface="+mn-ea"/>
            <a:cs typeface="+mn-cs"/>
          </a:endParaRPr>
        </a:p>
        <a:p>
          <a:pPr marL="0" indent="0" algn="l"/>
          <a:endParaRPr lang="en-GB" sz="1400" b="0">
            <a:solidFill>
              <a:srgbClr val="993300"/>
            </a:solidFill>
            <a:effectLst/>
            <a:latin typeface="+mn-lt"/>
            <a:ea typeface="+mn-ea"/>
            <a:cs typeface="+mn-cs"/>
          </a:endParaRPr>
        </a:p>
      </xdr:txBody>
    </xdr:sp>
    <xdr:clientData/>
  </xdr:twoCellAnchor>
  <xdr:twoCellAnchor editAs="oneCell">
    <xdr:from>
      <xdr:col>2</xdr:col>
      <xdr:colOff>470974</xdr:colOff>
      <xdr:row>4</xdr:row>
      <xdr:rowOff>662062</xdr:rowOff>
    </xdr:from>
    <xdr:to>
      <xdr:col>2</xdr:col>
      <xdr:colOff>1463724</xdr:colOff>
      <xdr:row>6</xdr:row>
      <xdr:rowOff>51815</xdr:rowOff>
    </xdr:to>
    <xdr:pic>
      <xdr:nvPicPr>
        <xdr:cNvPr id="2" name="Graphic 1" descr="Bus with solid fill">
          <a:extLst>
            <a:ext uri="{FF2B5EF4-FFF2-40B4-BE49-F238E27FC236}">
              <a16:creationId xmlns:a16="http://schemas.microsoft.com/office/drawing/2014/main" id="{5D9F4934-D092-41C1-ABBA-467309E2C6B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46112" y="3170800"/>
          <a:ext cx="992750" cy="998225"/>
        </a:xfrm>
        <a:prstGeom prst="rect">
          <a:avLst/>
        </a:prstGeom>
      </xdr:spPr>
    </xdr:pic>
    <xdr:clientData/>
  </xdr:twoCellAnchor>
  <xdr:twoCellAnchor editAs="oneCell">
    <xdr:from>
      <xdr:col>2</xdr:col>
      <xdr:colOff>444303</xdr:colOff>
      <xdr:row>6</xdr:row>
      <xdr:rowOff>492371</xdr:rowOff>
    </xdr:from>
    <xdr:to>
      <xdr:col>2</xdr:col>
      <xdr:colOff>1418492</xdr:colOff>
      <xdr:row>7</xdr:row>
      <xdr:rowOff>141186</xdr:rowOff>
    </xdr:to>
    <xdr:pic>
      <xdr:nvPicPr>
        <xdr:cNvPr id="3" name="Graphic 2" descr="Train with solid fill">
          <a:extLst>
            <a:ext uri="{FF2B5EF4-FFF2-40B4-BE49-F238E27FC236}">
              <a16:creationId xmlns:a16="http://schemas.microsoft.com/office/drawing/2014/main" id="{AEF5B12F-2673-4F09-85F5-5815DDA2395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810063" y="3967091"/>
          <a:ext cx="974189" cy="1020415"/>
        </a:xfrm>
        <a:prstGeom prst="rect">
          <a:avLst/>
        </a:prstGeom>
      </xdr:spPr>
    </xdr:pic>
    <xdr:clientData/>
  </xdr:twoCellAnchor>
  <xdr:twoCellAnchor>
    <xdr:from>
      <xdr:col>2</xdr:col>
      <xdr:colOff>257908</xdr:colOff>
      <xdr:row>7</xdr:row>
      <xdr:rowOff>427857</xdr:rowOff>
    </xdr:from>
    <xdr:to>
      <xdr:col>2</xdr:col>
      <xdr:colOff>1740370</xdr:colOff>
      <xdr:row>8</xdr:row>
      <xdr:rowOff>433754</xdr:rowOff>
    </xdr:to>
    <xdr:pic>
      <xdr:nvPicPr>
        <xdr:cNvPr id="7" name="Graphic 6" descr="Cruise ship with solid fill">
          <a:extLst>
            <a:ext uri="{FF2B5EF4-FFF2-40B4-BE49-F238E27FC236}">
              <a16:creationId xmlns:a16="http://schemas.microsoft.com/office/drawing/2014/main" id="{135E566F-F54A-1FC8-2EED-6D664280AD7C}"/>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623668" y="5472297"/>
          <a:ext cx="1482462" cy="1026977"/>
        </a:xfrm>
        <a:prstGeom prst="rect">
          <a:avLst/>
        </a:prstGeom>
      </xdr:spPr>
    </xdr:pic>
    <xdr:clientData/>
  </xdr:twoCellAnchor>
  <xdr:twoCellAnchor>
    <xdr:from>
      <xdr:col>2</xdr:col>
      <xdr:colOff>455676</xdr:colOff>
      <xdr:row>9</xdr:row>
      <xdr:rowOff>650558</xdr:rowOff>
    </xdr:from>
    <xdr:to>
      <xdr:col>2</xdr:col>
      <xdr:colOff>1151001</xdr:colOff>
      <xdr:row>9</xdr:row>
      <xdr:rowOff>876936</xdr:rowOff>
    </xdr:to>
    <xdr:sp macro="" textlink="">
      <xdr:nvSpPr>
        <xdr:cNvPr id="8" name="Rectangle 7">
          <a:extLst>
            <a:ext uri="{FF2B5EF4-FFF2-40B4-BE49-F238E27FC236}">
              <a16:creationId xmlns:a16="http://schemas.microsoft.com/office/drawing/2014/main" id="{85358494-6350-0F81-4540-E8A02DA54AF3}"/>
            </a:ext>
          </a:extLst>
        </xdr:cNvPr>
        <xdr:cNvSpPr/>
      </xdr:nvSpPr>
      <xdr:spPr>
        <a:xfrm>
          <a:off x="851916" y="7904798"/>
          <a:ext cx="695325" cy="226378"/>
        </a:xfrm>
        <a:prstGeom prst="rect">
          <a:avLst/>
        </a:prstGeom>
        <a:solidFill>
          <a:srgbClr val="EFF5FB"/>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281256</xdr:colOff>
      <xdr:row>8</xdr:row>
      <xdr:rowOff>626546</xdr:rowOff>
    </xdr:from>
    <xdr:to>
      <xdr:col>2</xdr:col>
      <xdr:colOff>1469672</xdr:colOff>
      <xdr:row>9</xdr:row>
      <xdr:rowOff>827646</xdr:rowOff>
    </xdr:to>
    <xdr:pic>
      <xdr:nvPicPr>
        <xdr:cNvPr id="26" name="Graphic 25" descr="Electric car with solid fill">
          <a:extLst>
            <a:ext uri="{FF2B5EF4-FFF2-40B4-BE49-F238E27FC236}">
              <a16:creationId xmlns:a16="http://schemas.microsoft.com/office/drawing/2014/main" id="{2E2EED3E-32D1-4AB5-BFCD-B9316AEA4A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719406" y="7141646"/>
          <a:ext cx="1188416" cy="1210750"/>
        </a:xfrm>
        <a:prstGeom prst="rect">
          <a:avLst/>
        </a:prstGeom>
      </xdr:spPr>
    </xdr:pic>
    <xdr:clientData/>
  </xdr:twoCellAnchor>
  <xdr:twoCellAnchor editAs="oneCell">
    <xdr:from>
      <xdr:col>4</xdr:col>
      <xdr:colOff>1379220</xdr:colOff>
      <xdr:row>12</xdr:row>
      <xdr:rowOff>342900</xdr:rowOff>
    </xdr:from>
    <xdr:to>
      <xdr:col>4</xdr:col>
      <xdr:colOff>1761308</xdr:colOff>
      <xdr:row>12</xdr:row>
      <xdr:rowOff>778328</xdr:rowOff>
    </xdr:to>
    <xdr:pic>
      <xdr:nvPicPr>
        <xdr:cNvPr id="142" name="Graphic 141" descr="Cycling with solid fill">
          <a:extLst>
            <a:ext uri="{FF2B5EF4-FFF2-40B4-BE49-F238E27FC236}">
              <a16:creationId xmlns:a16="http://schemas.microsoft.com/office/drawing/2014/main" id="{4E453F04-FA2F-4EFF-B0F0-EF1604B1E06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6515100" y="9471660"/>
          <a:ext cx="382088" cy="435428"/>
        </a:xfrm>
        <a:prstGeom prst="rect">
          <a:avLst/>
        </a:prstGeom>
      </xdr:spPr>
    </xdr:pic>
    <xdr:clientData/>
  </xdr:twoCellAnchor>
  <xdr:twoCellAnchor>
    <xdr:from>
      <xdr:col>6</xdr:col>
      <xdr:colOff>846161</xdr:colOff>
      <xdr:row>93</xdr:row>
      <xdr:rowOff>121920</xdr:rowOff>
    </xdr:from>
    <xdr:to>
      <xdr:col>6</xdr:col>
      <xdr:colOff>1553366</xdr:colOff>
      <xdr:row>93</xdr:row>
      <xdr:rowOff>894705</xdr:rowOff>
    </xdr:to>
    <xdr:pic>
      <xdr:nvPicPr>
        <xdr:cNvPr id="144" name="Graphic 143" descr="Cruise ship with solid fill">
          <a:extLst>
            <a:ext uri="{FF2B5EF4-FFF2-40B4-BE49-F238E27FC236}">
              <a16:creationId xmlns:a16="http://schemas.microsoft.com/office/drawing/2014/main" id="{7C38108E-B8DE-EE7A-4C18-AE4A127DFBC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2435649" y="71236013"/>
          <a:ext cx="707205" cy="772785"/>
        </a:xfrm>
        <a:prstGeom prst="rect">
          <a:avLst/>
        </a:prstGeom>
      </xdr:spPr>
    </xdr:pic>
    <xdr:clientData/>
  </xdr:twoCellAnchor>
  <xdr:twoCellAnchor>
    <xdr:from>
      <xdr:col>6</xdr:col>
      <xdr:colOff>901937</xdr:colOff>
      <xdr:row>93</xdr:row>
      <xdr:rowOff>230962</xdr:rowOff>
    </xdr:from>
    <xdr:to>
      <xdr:col>6</xdr:col>
      <xdr:colOff>1196607</xdr:colOff>
      <xdr:row>93</xdr:row>
      <xdr:rowOff>400050</xdr:rowOff>
    </xdr:to>
    <xdr:sp macro="" textlink="">
      <xdr:nvSpPr>
        <xdr:cNvPr id="145" name="Rectangle 144">
          <a:extLst>
            <a:ext uri="{FF2B5EF4-FFF2-40B4-BE49-F238E27FC236}">
              <a16:creationId xmlns:a16="http://schemas.microsoft.com/office/drawing/2014/main" id="{007C1FB6-CB66-D699-A1B9-9D3B76B4D63D}"/>
            </a:ext>
          </a:extLst>
        </xdr:cNvPr>
        <xdr:cNvSpPr/>
      </xdr:nvSpPr>
      <xdr:spPr>
        <a:xfrm>
          <a:off x="12491425" y="71345055"/>
          <a:ext cx="294670" cy="169088"/>
        </a:xfrm>
        <a:prstGeom prst="rect">
          <a:avLst/>
        </a:prstGeom>
        <a:solidFill>
          <a:srgbClr val="01474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615754</xdr:colOff>
      <xdr:row>3</xdr:row>
      <xdr:rowOff>573451</xdr:rowOff>
    </xdr:from>
    <xdr:to>
      <xdr:col>2</xdr:col>
      <xdr:colOff>1395046</xdr:colOff>
      <xdr:row>5</xdr:row>
      <xdr:rowOff>80601</xdr:rowOff>
    </xdr:to>
    <xdr:pic>
      <xdr:nvPicPr>
        <xdr:cNvPr id="147" name="Graphic 146" descr="Cycling with solid fill">
          <a:extLst>
            <a:ext uri="{FF2B5EF4-FFF2-40B4-BE49-F238E27FC236}">
              <a16:creationId xmlns:a16="http://schemas.microsoft.com/office/drawing/2014/main" id="{AA8B4526-48CF-4EE6-9B48-391272FB4A8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981514" y="2112691"/>
          <a:ext cx="779292" cy="787310"/>
        </a:xfrm>
        <a:prstGeom prst="rect">
          <a:avLst/>
        </a:prstGeom>
      </xdr:spPr>
    </xdr:pic>
    <xdr:clientData/>
  </xdr:twoCellAnchor>
  <xdr:twoCellAnchor>
    <xdr:from>
      <xdr:col>2</xdr:col>
      <xdr:colOff>1748791</xdr:colOff>
      <xdr:row>3</xdr:row>
      <xdr:rowOff>609600</xdr:rowOff>
    </xdr:from>
    <xdr:to>
      <xdr:col>5</xdr:col>
      <xdr:colOff>2492042</xdr:colOff>
      <xdr:row>4</xdr:row>
      <xdr:rowOff>548640</xdr:rowOff>
    </xdr:to>
    <xdr:sp macro="" textlink="">
      <xdr:nvSpPr>
        <xdr:cNvPr id="152" name="Rectangle: Rounded Corners 151">
          <a:extLst>
            <a:ext uri="{FF2B5EF4-FFF2-40B4-BE49-F238E27FC236}">
              <a16:creationId xmlns:a16="http://schemas.microsoft.com/office/drawing/2014/main" id="{474BF0C8-77F4-4D7E-B585-73C301D95B83}"/>
            </a:ext>
          </a:extLst>
        </xdr:cNvPr>
        <xdr:cNvSpPr/>
      </xdr:nvSpPr>
      <xdr:spPr>
        <a:xfrm>
          <a:off x="2114551" y="2148840"/>
          <a:ext cx="8668051" cy="579120"/>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IC1_Projetos de micromobilidade</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1744981</xdr:colOff>
      <xdr:row>5</xdr:row>
      <xdr:rowOff>282239</xdr:rowOff>
    </xdr:from>
    <xdr:to>
      <xdr:col>5</xdr:col>
      <xdr:colOff>2491740</xdr:colOff>
      <xdr:row>6</xdr:row>
      <xdr:rowOff>33867</xdr:rowOff>
    </xdr:to>
    <xdr:sp macro="" textlink="">
      <xdr:nvSpPr>
        <xdr:cNvPr id="153" name="Rectangle: Rounded Corners 152">
          <a:extLst>
            <a:ext uri="{FF2B5EF4-FFF2-40B4-BE49-F238E27FC236}">
              <a16:creationId xmlns:a16="http://schemas.microsoft.com/office/drawing/2014/main" id="{C54E5B02-DB6C-4CE2-8277-84E7C672E787}"/>
            </a:ext>
          </a:extLst>
        </xdr:cNvPr>
        <xdr:cNvSpPr/>
      </xdr:nvSpPr>
      <xdr:spPr>
        <a:xfrm>
          <a:off x="2185248" y="3059306"/>
          <a:ext cx="8654625" cy="68296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IC2_Projetos de transporte rodoviário de passageiros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1722121</xdr:colOff>
      <xdr:row>6</xdr:row>
      <xdr:rowOff>712769</xdr:rowOff>
    </xdr:from>
    <xdr:to>
      <xdr:col>5</xdr:col>
      <xdr:colOff>2468880</xdr:colOff>
      <xdr:row>6</xdr:row>
      <xdr:rowOff>1325880</xdr:rowOff>
    </xdr:to>
    <xdr:sp macro="" textlink="">
      <xdr:nvSpPr>
        <xdr:cNvPr id="154" name="Rectangle: Rounded Corners 153">
          <a:extLst>
            <a:ext uri="{FF2B5EF4-FFF2-40B4-BE49-F238E27FC236}">
              <a16:creationId xmlns:a16="http://schemas.microsoft.com/office/drawing/2014/main" id="{F973D080-49AE-4943-9C15-7FBE6C430CD6}"/>
            </a:ext>
          </a:extLst>
        </xdr:cNvPr>
        <xdr:cNvSpPr/>
      </xdr:nvSpPr>
      <xdr:spPr>
        <a:xfrm>
          <a:off x="2087881" y="4187489"/>
          <a:ext cx="8671559" cy="61311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IC3_Projetos de transporte ferroviário de passageiros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1725930</xdr:colOff>
      <xdr:row>7</xdr:row>
      <xdr:rowOff>468929</xdr:rowOff>
    </xdr:from>
    <xdr:to>
      <xdr:col>5</xdr:col>
      <xdr:colOff>2455151</xdr:colOff>
      <xdr:row>8</xdr:row>
      <xdr:rowOff>152400</xdr:rowOff>
    </xdr:to>
    <xdr:sp macro="" textlink="">
      <xdr:nvSpPr>
        <xdr:cNvPr id="155" name="Rectangle: Rounded Corners 154">
          <a:extLst>
            <a:ext uri="{FF2B5EF4-FFF2-40B4-BE49-F238E27FC236}">
              <a16:creationId xmlns:a16="http://schemas.microsoft.com/office/drawing/2014/main" id="{6497491E-3947-4BED-8A7E-84782D3BCBEB}"/>
            </a:ext>
          </a:extLst>
        </xdr:cNvPr>
        <xdr:cNvSpPr/>
      </xdr:nvSpPr>
      <xdr:spPr>
        <a:xfrm>
          <a:off x="2164080" y="5536229"/>
          <a:ext cx="8825471" cy="1131271"/>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IC4_Projetos de transporte de passageiros em vias navegáveis interiores</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2</xdr:col>
      <xdr:colOff>1714502</xdr:colOff>
      <xdr:row>8</xdr:row>
      <xdr:rowOff>788968</xdr:rowOff>
    </xdr:from>
    <xdr:to>
      <xdr:col>5</xdr:col>
      <xdr:colOff>2454246</xdr:colOff>
      <xdr:row>9</xdr:row>
      <xdr:rowOff>948988</xdr:rowOff>
    </xdr:to>
    <xdr:sp macro="" textlink="">
      <xdr:nvSpPr>
        <xdr:cNvPr id="156" name="Rectangle: Rounded Corners 155">
          <a:extLst>
            <a:ext uri="{FF2B5EF4-FFF2-40B4-BE49-F238E27FC236}">
              <a16:creationId xmlns:a16="http://schemas.microsoft.com/office/drawing/2014/main" id="{DA7C17DE-7627-47A9-A197-1D4CA5A9A38E}"/>
            </a:ext>
          </a:extLst>
        </xdr:cNvPr>
        <xdr:cNvSpPr/>
      </xdr:nvSpPr>
      <xdr:spPr>
        <a:xfrm>
          <a:off x="2152652" y="7304068"/>
          <a:ext cx="8835994" cy="1169670"/>
        </a:xfrm>
        <a:prstGeom prst="roundRect">
          <a:avLst>
            <a:gd name="adj" fmla="val 11510"/>
          </a:avLst>
        </a:prstGeom>
        <a:solidFill>
          <a:schemeClr val="accent5">
            <a:lumMod val="20000"/>
            <a:lumOff val="80000"/>
            <a:alpha val="50196"/>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GB" sz="2800" b="0" i="0" u="none" baseline="0">
              <a:solidFill>
                <a:srgbClr val="014744"/>
              </a:solidFill>
              <a:effectLst/>
              <a:latin typeface="Aptos" panose="020B0004020202020204" pitchFamily="34" charset="0"/>
              <a:ea typeface="+mn-ea"/>
              <a:cs typeface="+mn-cs"/>
            </a:rPr>
            <a:t>IC5_Projetos de carregamento de veículos/ embarcações/ navios elétricos de passageiros </a:t>
          </a:r>
        </a:p>
        <a:p>
          <a:endParaRPr lang="en-GB" sz="1600" b="0" i="0" u="none" baseline="0">
            <a:solidFill>
              <a:srgbClr val="014744"/>
            </a:solidFill>
            <a:effectLst/>
            <a:latin typeface="+mn-lt"/>
            <a:ea typeface="+mn-ea"/>
            <a:cs typeface="+mn-cs"/>
          </a:endParaRPr>
        </a:p>
        <a:p>
          <a:r>
            <a:rPr lang="en-GB" sz="1600" b="1" i="0" u="none" baseline="0">
              <a:solidFill>
                <a:srgbClr val="014744"/>
              </a:solidFill>
              <a:effectLst/>
              <a:latin typeface="+mn-lt"/>
              <a:ea typeface="+mn-ea"/>
              <a:cs typeface="+mn-cs"/>
            </a:rPr>
            <a:t>	</a:t>
          </a:r>
        </a:p>
        <a:p>
          <a:endParaRPr lang="en-GB" sz="1600" b="1" i="0" u="none" baseline="0">
            <a:solidFill>
              <a:srgbClr val="014744"/>
            </a:solidFill>
            <a:effectLst/>
            <a:latin typeface="+mn-lt"/>
            <a:ea typeface="+mn-ea"/>
            <a:cs typeface="+mn-cs"/>
          </a:endParaRPr>
        </a:p>
        <a:p>
          <a:r>
            <a:rPr lang="en-GB" sz="1600" b="0" i="0" u="none" baseline="0">
              <a:solidFill>
                <a:srgbClr val="014744"/>
              </a:solidFill>
              <a:effectLst/>
              <a:latin typeface="+mn-lt"/>
              <a:ea typeface="+mn-ea"/>
              <a:cs typeface="+mn-cs"/>
            </a:rPr>
            <a:t>  </a:t>
          </a:r>
        </a:p>
        <a:p>
          <a:pPr marL="0" indent="0" algn="l"/>
          <a:endParaRPr lang="en-GB" sz="1600" b="0" i="0" u="none">
            <a:solidFill>
              <a:srgbClr val="014744"/>
            </a:solidFill>
            <a:effectLst/>
            <a:latin typeface="+mn-lt"/>
            <a:ea typeface="+mn-ea"/>
            <a:cs typeface="+mn-cs"/>
          </a:endParaRPr>
        </a:p>
        <a:p>
          <a:pPr marL="0" indent="0" algn="l"/>
          <a:endParaRPr lang="en-GB" sz="1400" b="0">
            <a:solidFill>
              <a:srgbClr val="014744"/>
            </a:solidFill>
            <a:effectLst/>
            <a:latin typeface="+mn-lt"/>
            <a:ea typeface="+mn-ea"/>
            <a:cs typeface="+mn-cs"/>
          </a:endParaRPr>
        </a:p>
      </xdr:txBody>
    </xdr:sp>
    <xdr:clientData/>
  </xdr:twoCellAnchor>
  <xdr:twoCellAnchor>
    <xdr:from>
      <xdr:col>5</xdr:col>
      <xdr:colOff>1172180</xdr:colOff>
      <xdr:row>110</xdr:row>
      <xdr:rowOff>208102</xdr:rowOff>
    </xdr:from>
    <xdr:to>
      <xdr:col>5</xdr:col>
      <xdr:colOff>1466850</xdr:colOff>
      <xdr:row>110</xdr:row>
      <xdr:rowOff>377190</xdr:rowOff>
    </xdr:to>
    <xdr:sp macro="" textlink="">
      <xdr:nvSpPr>
        <xdr:cNvPr id="180" name="Rectangle 179">
          <a:extLst>
            <a:ext uri="{FF2B5EF4-FFF2-40B4-BE49-F238E27FC236}">
              <a16:creationId xmlns:a16="http://schemas.microsoft.com/office/drawing/2014/main" id="{0428C17E-5D1A-469A-A182-E1C36A057BC7}"/>
            </a:ext>
          </a:extLst>
        </xdr:cNvPr>
        <xdr:cNvSpPr/>
      </xdr:nvSpPr>
      <xdr:spPr>
        <a:xfrm>
          <a:off x="9173180" y="116230222"/>
          <a:ext cx="294670" cy="169088"/>
        </a:xfrm>
        <a:prstGeom prst="rect">
          <a:avLst/>
        </a:prstGeom>
        <a:solidFill>
          <a:srgbClr val="01474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9</xdr:col>
      <xdr:colOff>637116</xdr:colOff>
      <xdr:row>110</xdr:row>
      <xdr:rowOff>106681</xdr:rowOff>
    </xdr:from>
    <xdr:to>
      <xdr:col>9</xdr:col>
      <xdr:colOff>1509606</xdr:colOff>
      <xdr:row>110</xdr:row>
      <xdr:rowOff>995832</xdr:rowOff>
    </xdr:to>
    <xdr:pic>
      <xdr:nvPicPr>
        <xdr:cNvPr id="181" name="Graphic 180" descr="Electric car with solid fill">
          <a:extLst>
            <a:ext uri="{FF2B5EF4-FFF2-40B4-BE49-F238E27FC236}">
              <a16:creationId xmlns:a16="http://schemas.microsoft.com/office/drawing/2014/main" id="{A4039FB3-B9DD-4815-AA39-B75DFB2BFD68}"/>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18434049" y="83232414"/>
          <a:ext cx="872490" cy="889151"/>
        </a:xfrm>
        <a:prstGeom prst="rect">
          <a:avLst/>
        </a:prstGeom>
      </xdr:spPr>
    </xdr:pic>
    <xdr:clientData/>
  </xdr:twoCellAnchor>
  <xdr:twoCellAnchor>
    <xdr:from>
      <xdr:col>11</xdr:col>
      <xdr:colOff>198120</xdr:colOff>
      <xdr:row>25</xdr:row>
      <xdr:rowOff>0</xdr:rowOff>
    </xdr:from>
    <xdr:to>
      <xdr:col>17</xdr:col>
      <xdr:colOff>133350</xdr:colOff>
      <xdr:row>33</xdr:row>
      <xdr:rowOff>742950</xdr:rowOff>
    </xdr:to>
    <xdr:graphicFrame macro="">
      <xdr:nvGraphicFramePr>
        <xdr:cNvPr id="13" name="Chart 12">
          <a:extLst>
            <a:ext uri="{FF2B5EF4-FFF2-40B4-BE49-F238E27FC236}">
              <a16:creationId xmlns:a16="http://schemas.microsoft.com/office/drawing/2014/main" id="{29293FEF-6BD6-47FE-B41A-66AF15EB78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60960</xdr:colOff>
      <xdr:row>51</xdr:row>
      <xdr:rowOff>95250</xdr:rowOff>
    </xdr:from>
    <xdr:to>
      <xdr:col>16</xdr:col>
      <xdr:colOff>2381250</xdr:colOff>
      <xdr:row>60</xdr:row>
      <xdr:rowOff>190500</xdr:rowOff>
    </xdr:to>
    <xdr:graphicFrame macro="">
      <xdr:nvGraphicFramePr>
        <xdr:cNvPr id="44" name="Chart 43">
          <a:extLst>
            <a:ext uri="{FF2B5EF4-FFF2-40B4-BE49-F238E27FC236}">
              <a16:creationId xmlns:a16="http://schemas.microsoft.com/office/drawing/2014/main" id="{6D731525-416C-43BE-AEFB-3947432A1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300990</xdr:colOff>
      <xdr:row>102</xdr:row>
      <xdr:rowOff>171450</xdr:rowOff>
    </xdr:from>
    <xdr:to>
      <xdr:col>16</xdr:col>
      <xdr:colOff>781050</xdr:colOff>
      <xdr:row>107</xdr:row>
      <xdr:rowOff>0</xdr:rowOff>
    </xdr:to>
    <xdr:graphicFrame macro="">
      <xdr:nvGraphicFramePr>
        <xdr:cNvPr id="90" name="Chart 89">
          <a:extLst>
            <a:ext uri="{FF2B5EF4-FFF2-40B4-BE49-F238E27FC236}">
              <a16:creationId xmlns:a16="http://schemas.microsoft.com/office/drawing/2014/main" id="{A81B6B34-C0C6-4310-9C31-FA7BD66B4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60960</xdr:colOff>
      <xdr:row>182</xdr:row>
      <xdr:rowOff>690918</xdr:rowOff>
    </xdr:from>
    <xdr:to>
      <xdr:col>10</xdr:col>
      <xdr:colOff>1402080</xdr:colOff>
      <xdr:row>184</xdr:row>
      <xdr:rowOff>218478</xdr:rowOff>
    </xdr:to>
    <xdr:sp macro="" textlink="">
      <xdr:nvSpPr>
        <xdr:cNvPr id="95" name="Rectangle: Rounded Corners 94">
          <a:hlinkClick xmlns:r="http://schemas.openxmlformats.org/officeDocument/2006/relationships" r:id="rId20"/>
          <a:extLst>
            <a:ext uri="{FF2B5EF4-FFF2-40B4-BE49-F238E27FC236}">
              <a16:creationId xmlns:a16="http://schemas.microsoft.com/office/drawing/2014/main" id="{04FDF37E-8BF0-4926-A4D6-CF4AC7314007}"/>
            </a:ext>
          </a:extLst>
        </xdr:cNvPr>
        <xdr:cNvSpPr/>
      </xdr:nvSpPr>
      <xdr:spPr>
        <a:xfrm>
          <a:off x="17907000" y="212313558"/>
          <a:ext cx="1341120" cy="1325880"/>
        </a:xfrm>
        <a:prstGeom prst="roundRe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i="0" baseline="0">
              <a:solidFill>
                <a:schemeClr val="lt1"/>
              </a:solidFill>
              <a:effectLst/>
              <a:latin typeface="+mn-lt"/>
              <a:ea typeface="+mn-ea"/>
              <a:cs typeface="+mn-cs"/>
            </a:rPr>
            <a:t>Agência Portuguesa do Ambiente </a:t>
          </a:r>
          <a:endParaRPr lang="en-GB" sz="1600">
            <a:effectLst/>
          </a:endParaRPr>
        </a:p>
        <a:p>
          <a:pPr algn="ctr"/>
          <a:endParaRPr lang="en-GB" sz="1600"/>
        </a:p>
      </xdr:txBody>
    </xdr:sp>
    <xdr:clientData/>
  </xdr:twoCellAnchor>
  <xdr:twoCellAnchor>
    <xdr:from>
      <xdr:col>10</xdr:col>
      <xdr:colOff>2015490</xdr:colOff>
      <xdr:row>123</xdr:row>
      <xdr:rowOff>0</xdr:rowOff>
    </xdr:from>
    <xdr:to>
      <xdr:col>18</xdr:col>
      <xdr:colOff>127000</xdr:colOff>
      <xdr:row>130</xdr:row>
      <xdr:rowOff>558800</xdr:rowOff>
    </xdr:to>
    <xdr:graphicFrame macro="">
      <xdr:nvGraphicFramePr>
        <xdr:cNvPr id="124" name="Chart 123">
          <a:extLst>
            <a:ext uri="{FF2B5EF4-FFF2-40B4-BE49-F238E27FC236}">
              <a16:creationId xmlns:a16="http://schemas.microsoft.com/office/drawing/2014/main" id="{5B9B503B-FC29-4B65-94DC-7699ED28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533400</xdr:colOff>
      <xdr:row>37</xdr:row>
      <xdr:rowOff>209550</xdr:rowOff>
    </xdr:from>
    <xdr:to>
      <xdr:col>6</xdr:col>
      <xdr:colOff>1236785</xdr:colOff>
      <xdr:row>37</xdr:row>
      <xdr:rowOff>912935</xdr:rowOff>
    </xdr:to>
    <xdr:pic>
      <xdr:nvPicPr>
        <xdr:cNvPr id="5" name="Graphic 4" descr="Bus outline">
          <a:extLst>
            <a:ext uri="{FF2B5EF4-FFF2-40B4-BE49-F238E27FC236}">
              <a16:creationId xmlns:a16="http://schemas.microsoft.com/office/drawing/2014/main" id="{71D62A76-7704-47FC-9874-E41DB6856E48}"/>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2096750" y="60788550"/>
          <a:ext cx="703385" cy="703385"/>
        </a:xfrm>
        <a:prstGeom prst="rect">
          <a:avLst/>
        </a:prstGeom>
      </xdr:spPr>
    </xdr:pic>
    <xdr:clientData/>
  </xdr:twoCellAnchor>
  <xdr:twoCellAnchor editAs="oneCell">
    <xdr:from>
      <xdr:col>5</xdr:col>
      <xdr:colOff>1714499</xdr:colOff>
      <xdr:row>66</xdr:row>
      <xdr:rowOff>190500</xdr:rowOff>
    </xdr:from>
    <xdr:to>
      <xdr:col>5</xdr:col>
      <xdr:colOff>2388136</xdr:colOff>
      <xdr:row>66</xdr:row>
      <xdr:rowOff>876300</xdr:rowOff>
    </xdr:to>
    <xdr:pic>
      <xdr:nvPicPr>
        <xdr:cNvPr id="6" name="Graphic 5" descr="Train outline">
          <a:extLst>
            <a:ext uri="{FF2B5EF4-FFF2-40B4-BE49-F238E27FC236}">
              <a16:creationId xmlns:a16="http://schemas.microsoft.com/office/drawing/2014/main" id="{801C1AB8-9505-41DC-808B-36334A4A48E9}"/>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0096499" y="48577500"/>
          <a:ext cx="673637" cy="685800"/>
        </a:xfrm>
        <a:prstGeom prst="rect">
          <a:avLst/>
        </a:prstGeom>
      </xdr:spPr>
    </xdr:pic>
    <xdr:clientData/>
  </xdr:twoCellAnchor>
  <xdr:twoCellAnchor>
    <xdr:from>
      <xdr:col>11</xdr:col>
      <xdr:colOff>0</xdr:colOff>
      <xdr:row>80</xdr:row>
      <xdr:rowOff>19050</xdr:rowOff>
    </xdr:from>
    <xdr:to>
      <xdr:col>16</xdr:col>
      <xdr:colOff>2324100</xdr:colOff>
      <xdr:row>87</xdr:row>
      <xdr:rowOff>0</xdr:rowOff>
    </xdr:to>
    <xdr:graphicFrame macro="">
      <xdr:nvGraphicFramePr>
        <xdr:cNvPr id="21" name="Chart 20">
          <a:extLst>
            <a:ext uri="{FF2B5EF4-FFF2-40B4-BE49-F238E27FC236}">
              <a16:creationId xmlns:a16="http://schemas.microsoft.com/office/drawing/2014/main" id="{2E0EA5B4-B1DE-45D1-AA27-B515447FD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8</xdr:col>
      <xdr:colOff>483870</xdr:colOff>
      <xdr:row>1</xdr:row>
      <xdr:rowOff>243840</xdr:rowOff>
    </xdr:from>
    <xdr:to>
      <xdr:col>8</xdr:col>
      <xdr:colOff>1192530</xdr:colOff>
      <xdr:row>1</xdr:row>
      <xdr:rowOff>952500</xdr:rowOff>
    </xdr:to>
    <xdr:pic>
      <xdr:nvPicPr>
        <xdr:cNvPr id="27" name="Graphic 26" descr="Arrow: Rotate right outline">
          <a:extLst>
            <a:ext uri="{FF2B5EF4-FFF2-40B4-BE49-F238E27FC236}">
              <a16:creationId xmlns:a16="http://schemas.microsoft.com/office/drawing/2014/main" id="{F58DF6FC-FD16-D751-4FA7-8309C23B3F38}"/>
            </a:ext>
          </a:extLst>
        </xdr:cNvPr>
        <xdr:cNvPicPr>
          <a:picLocks noChangeAspect="1"/>
        </xdr:cNvPicPr>
      </xdr:nvPicPr>
      <xdr:blipFill>
        <a:blip xmlns:r="http://schemas.openxmlformats.org/officeDocument/2006/relationships" r:embed="rId27">
          <a:extLst>
            <a:ext uri="{96DAC541-7B7A-43D3-8B79-37D633B846F1}">
              <asvg:svgBlip xmlns:asvg="http://schemas.microsoft.com/office/drawing/2016/SVG/main" r:embed="rId28"/>
            </a:ext>
          </a:extLst>
        </a:blip>
        <a:stretch>
          <a:fillRect/>
        </a:stretch>
      </xdr:blipFill>
      <xdr:spPr>
        <a:xfrm>
          <a:off x="16409670" y="502920"/>
          <a:ext cx="708660" cy="708660"/>
        </a:xfrm>
        <a:prstGeom prst="rect">
          <a:avLst/>
        </a:prstGeom>
      </xdr:spPr>
    </xdr:pic>
    <xdr:clientData/>
  </xdr:twoCellAnchor>
  <xdr:twoCellAnchor>
    <xdr:from>
      <xdr:col>10</xdr:col>
      <xdr:colOff>965695</xdr:colOff>
      <xdr:row>1</xdr:row>
      <xdr:rowOff>118533</xdr:rowOff>
    </xdr:from>
    <xdr:to>
      <xdr:col>10</xdr:col>
      <xdr:colOff>1761067</xdr:colOff>
      <xdr:row>1</xdr:row>
      <xdr:rowOff>955431</xdr:rowOff>
    </xdr:to>
    <xdr:grpSp>
      <xdr:nvGrpSpPr>
        <xdr:cNvPr id="28" name="Group 27">
          <a:extLst>
            <a:ext uri="{FF2B5EF4-FFF2-40B4-BE49-F238E27FC236}">
              <a16:creationId xmlns:a16="http://schemas.microsoft.com/office/drawing/2014/main" id="{95B39B80-2DAC-4DD0-825D-D08F09002AD1}"/>
            </a:ext>
          </a:extLst>
        </xdr:cNvPr>
        <xdr:cNvGrpSpPr/>
      </xdr:nvGrpSpPr>
      <xdr:grpSpPr>
        <a:xfrm>
          <a:off x="20539570" y="356658"/>
          <a:ext cx="795372" cy="836898"/>
          <a:chOff x="18557628" y="410308"/>
          <a:chExt cx="750277" cy="808892"/>
        </a:xfrm>
      </xdr:grpSpPr>
      <xdr:pic>
        <xdr:nvPicPr>
          <xdr:cNvPr id="29" name="Graphic 28" descr="Home outline">
            <a:hlinkClick xmlns:r="http://schemas.openxmlformats.org/officeDocument/2006/relationships" r:id="rId29"/>
            <a:extLst>
              <a:ext uri="{FF2B5EF4-FFF2-40B4-BE49-F238E27FC236}">
                <a16:creationId xmlns:a16="http://schemas.microsoft.com/office/drawing/2014/main" id="{F2462BDB-A491-C1B8-2490-2254C550B4F1}"/>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8604519" y="410308"/>
            <a:ext cx="504093" cy="507072"/>
          </a:xfrm>
          <a:prstGeom prst="rect">
            <a:avLst/>
          </a:prstGeom>
        </xdr:spPr>
      </xdr:pic>
      <xdr:sp macro="" textlink="">
        <xdr:nvSpPr>
          <xdr:cNvPr id="30" name="TextBox 29">
            <a:hlinkClick xmlns:r="http://schemas.openxmlformats.org/officeDocument/2006/relationships" r:id="rId29"/>
            <a:extLst>
              <a:ext uri="{FF2B5EF4-FFF2-40B4-BE49-F238E27FC236}">
                <a16:creationId xmlns:a16="http://schemas.microsoft.com/office/drawing/2014/main" id="{F9EB6EDB-7E94-9D76-89EA-FA23897B972B}"/>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8</xdr:col>
      <xdr:colOff>1714500</xdr:colOff>
      <xdr:row>1</xdr:row>
      <xdr:rowOff>76200</xdr:rowOff>
    </xdr:from>
    <xdr:to>
      <xdr:col>9</xdr:col>
      <xdr:colOff>1619250</xdr:colOff>
      <xdr:row>3</xdr:row>
      <xdr:rowOff>6350</xdr:rowOff>
    </xdr:to>
    <xdr:grpSp>
      <xdr:nvGrpSpPr>
        <xdr:cNvPr id="31" name="Group 30">
          <a:hlinkClick xmlns:r="http://schemas.openxmlformats.org/officeDocument/2006/relationships" r:id="rId32"/>
          <a:extLst>
            <a:ext uri="{FF2B5EF4-FFF2-40B4-BE49-F238E27FC236}">
              <a16:creationId xmlns:a16="http://schemas.microsoft.com/office/drawing/2014/main" id="{176CC1C2-EC1A-42E8-9503-B39412489BEC}"/>
            </a:ext>
          </a:extLst>
        </xdr:cNvPr>
        <xdr:cNvGrpSpPr/>
      </xdr:nvGrpSpPr>
      <xdr:grpSpPr>
        <a:xfrm>
          <a:off x="17359313" y="314325"/>
          <a:ext cx="1928812" cy="1168400"/>
          <a:chOff x="17335500" y="165100"/>
          <a:chExt cx="1790700" cy="1187450"/>
        </a:xfrm>
      </xdr:grpSpPr>
      <xdr:pic>
        <xdr:nvPicPr>
          <xdr:cNvPr id="32" name="Graphic 31" descr="Badge Question Mark outline">
            <a:extLst>
              <a:ext uri="{FF2B5EF4-FFF2-40B4-BE49-F238E27FC236}">
                <a16:creationId xmlns:a16="http://schemas.microsoft.com/office/drawing/2014/main" id="{5446DE87-A05E-4C91-A4D5-AF521D23A78C}"/>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17802226" y="165100"/>
            <a:ext cx="638175" cy="638175"/>
          </a:xfrm>
          <a:prstGeom prst="rect">
            <a:avLst/>
          </a:prstGeom>
        </xdr:spPr>
      </xdr:pic>
      <xdr:sp macro="" textlink="">
        <xdr:nvSpPr>
          <xdr:cNvPr id="33" name="TextBox 32">
            <a:hlinkClick xmlns:r="http://schemas.openxmlformats.org/officeDocument/2006/relationships" r:id="rId35"/>
            <a:extLst>
              <a:ext uri="{FF2B5EF4-FFF2-40B4-BE49-F238E27FC236}">
                <a16:creationId xmlns:a16="http://schemas.microsoft.com/office/drawing/2014/main" id="{A3F6DBDB-34EB-8ABA-C5CD-A568E88053E5}"/>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9</xdr:col>
      <xdr:colOff>1798028</xdr:colOff>
      <xdr:row>1</xdr:row>
      <xdr:rowOff>146538</xdr:rowOff>
    </xdr:from>
    <xdr:to>
      <xdr:col>10</xdr:col>
      <xdr:colOff>672612</xdr:colOff>
      <xdr:row>1</xdr:row>
      <xdr:rowOff>955431</xdr:rowOff>
    </xdr:to>
    <xdr:grpSp>
      <xdr:nvGrpSpPr>
        <xdr:cNvPr id="34" name="Group 33">
          <a:hlinkClick xmlns:r="http://schemas.openxmlformats.org/officeDocument/2006/relationships" r:id="rId36"/>
          <a:extLst>
            <a:ext uri="{FF2B5EF4-FFF2-40B4-BE49-F238E27FC236}">
              <a16:creationId xmlns:a16="http://schemas.microsoft.com/office/drawing/2014/main" id="{689DA3FF-60DE-41B5-BCC9-1C8BEE3DB314}"/>
            </a:ext>
          </a:extLst>
        </xdr:cNvPr>
        <xdr:cNvGrpSpPr/>
      </xdr:nvGrpSpPr>
      <xdr:grpSpPr>
        <a:xfrm>
          <a:off x="19466903" y="384663"/>
          <a:ext cx="779584" cy="808893"/>
          <a:chOff x="17783906" y="410307"/>
          <a:chExt cx="855784" cy="808893"/>
        </a:xfrm>
      </xdr:grpSpPr>
      <xdr:sp macro="" textlink="">
        <xdr:nvSpPr>
          <xdr:cNvPr id="35" name="TextBox 34">
            <a:hlinkClick xmlns:r="http://schemas.openxmlformats.org/officeDocument/2006/relationships" r:id="rId29"/>
            <a:extLst>
              <a:ext uri="{FF2B5EF4-FFF2-40B4-BE49-F238E27FC236}">
                <a16:creationId xmlns:a16="http://schemas.microsoft.com/office/drawing/2014/main" id="{7156EF6E-079A-829B-A883-FFB0F3D9DFE2}"/>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36" name="Graphic 35" descr="List outline">
            <a:extLst>
              <a:ext uri="{FF2B5EF4-FFF2-40B4-BE49-F238E27FC236}">
                <a16:creationId xmlns:a16="http://schemas.microsoft.com/office/drawing/2014/main" id="{859F5FBF-D01B-D0A9-7DCC-44DA8D7D6D8A}"/>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17901138" y="410307"/>
            <a:ext cx="539260" cy="531557"/>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174171</xdr:colOff>
      <xdr:row>57</xdr:row>
      <xdr:rowOff>32657</xdr:rowOff>
    </xdr:from>
    <xdr:to>
      <xdr:col>2</xdr:col>
      <xdr:colOff>178525</xdr:colOff>
      <xdr:row>61</xdr:row>
      <xdr:rowOff>76201</xdr:rowOff>
    </xdr:to>
    <xdr:cxnSp macro="">
      <xdr:nvCxnSpPr>
        <xdr:cNvPr id="8" name="Straight Arrow Connector 7">
          <a:extLst>
            <a:ext uri="{FF2B5EF4-FFF2-40B4-BE49-F238E27FC236}">
              <a16:creationId xmlns:a16="http://schemas.microsoft.com/office/drawing/2014/main" id="{849B74D8-D28E-4E4C-93DD-376BFCA4F3E2}"/>
            </a:ext>
          </a:extLst>
        </xdr:cNvPr>
        <xdr:cNvCxnSpPr/>
      </xdr:nvCxnSpPr>
      <xdr:spPr>
        <a:xfrm flipH="1">
          <a:off x="805542" y="22555200"/>
          <a:ext cx="4354" cy="197031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145</xdr:row>
      <xdr:rowOff>65315</xdr:rowOff>
    </xdr:from>
    <xdr:to>
      <xdr:col>2</xdr:col>
      <xdr:colOff>228602</xdr:colOff>
      <xdr:row>151</xdr:row>
      <xdr:rowOff>0</xdr:rowOff>
    </xdr:to>
    <xdr:cxnSp macro="">
      <xdr:nvCxnSpPr>
        <xdr:cNvPr id="17" name="Straight Arrow Connector 16">
          <a:extLst>
            <a:ext uri="{FF2B5EF4-FFF2-40B4-BE49-F238E27FC236}">
              <a16:creationId xmlns:a16="http://schemas.microsoft.com/office/drawing/2014/main" id="{AFF4BD1E-6998-43E1-8644-ECB276EE5985}"/>
            </a:ext>
          </a:extLst>
        </xdr:cNvPr>
        <xdr:cNvCxnSpPr/>
      </xdr:nvCxnSpPr>
      <xdr:spPr>
        <a:xfrm flipH="1">
          <a:off x="827317" y="40429544"/>
          <a:ext cx="32656" cy="18396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5</xdr:col>
      <xdr:colOff>97132</xdr:colOff>
      <xdr:row>1</xdr:row>
      <xdr:rowOff>187568</xdr:rowOff>
    </xdr:from>
    <xdr:to>
      <xdr:col>5</xdr:col>
      <xdr:colOff>597877</xdr:colOff>
      <xdr:row>1</xdr:row>
      <xdr:rowOff>688313</xdr:rowOff>
    </xdr:to>
    <xdr:pic>
      <xdr:nvPicPr>
        <xdr:cNvPr id="16" name="Graphic 15" descr="Cycling with solid fill">
          <a:extLst>
            <a:ext uri="{FF2B5EF4-FFF2-40B4-BE49-F238E27FC236}">
              <a16:creationId xmlns:a16="http://schemas.microsoft.com/office/drawing/2014/main" id="{432A3786-6377-7BCF-216A-8B37225CA3F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7588178" y="375137"/>
          <a:ext cx="500745" cy="500745"/>
        </a:xfrm>
        <a:prstGeom prst="rect">
          <a:avLst/>
        </a:prstGeom>
      </xdr:spPr>
    </xdr:pic>
    <xdr:clientData/>
  </xdr:twoCellAnchor>
  <xdr:twoCellAnchor>
    <xdr:from>
      <xdr:col>2</xdr:col>
      <xdr:colOff>206829</xdr:colOff>
      <xdr:row>193</xdr:row>
      <xdr:rowOff>119744</xdr:rowOff>
    </xdr:from>
    <xdr:to>
      <xdr:col>2</xdr:col>
      <xdr:colOff>228600</xdr:colOff>
      <xdr:row>198</xdr:row>
      <xdr:rowOff>76200</xdr:rowOff>
    </xdr:to>
    <xdr:cxnSp macro="">
      <xdr:nvCxnSpPr>
        <xdr:cNvPr id="41" name="Straight Arrow Connector 40">
          <a:extLst>
            <a:ext uri="{FF2B5EF4-FFF2-40B4-BE49-F238E27FC236}">
              <a16:creationId xmlns:a16="http://schemas.microsoft.com/office/drawing/2014/main" id="{81B22B9C-3A4D-411C-B10A-1F238B66EF3C}"/>
            </a:ext>
          </a:extLst>
        </xdr:cNvPr>
        <xdr:cNvCxnSpPr/>
      </xdr:nvCxnSpPr>
      <xdr:spPr>
        <a:xfrm flipH="1">
          <a:off x="838200" y="59599287"/>
          <a:ext cx="21771" cy="881742"/>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308066</xdr:colOff>
      <xdr:row>127</xdr:row>
      <xdr:rowOff>3266</xdr:rowOff>
    </xdr:from>
    <xdr:to>
      <xdr:col>7</xdr:col>
      <xdr:colOff>10885</xdr:colOff>
      <xdr:row>128</xdr:row>
      <xdr:rowOff>413658</xdr:rowOff>
    </xdr:to>
    <xdr:sp macro="" textlink="">
      <xdr:nvSpPr>
        <xdr:cNvPr id="12" name="TextBox 11">
          <a:extLst>
            <a:ext uri="{FF2B5EF4-FFF2-40B4-BE49-F238E27FC236}">
              <a16:creationId xmlns:a16="http://schemas.microsoft.com/office/drawing/2014/main" id="{52B8A6A2-5A7F-4933-B41D-5F0A0C6D1D23}"/>
            </a:ext>
          </a:extLst>
        </xdr:cNvPr>
        <xdr:cNvSpPr txBox="1"/>
      </xdr:nvSpPr>
      <xdr:spPr>
        <a:xfrm>
          <a:off x="1102723" y="45244295"/>
          <a:ext cx="8672648" cy="1139734"/>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400" b="0" i="0" u="none" strike="noStrike" baseline="0">
              <a:solidFill>
                <a:srgbClr val="993300"/>
              </a:solidFill>
              <a:effectLst/>
              <a:latin typeface="Aptos" panose="020B0004020202020204" pitchFamily="34" charset="0"/>
              <a:ea typeface="+mn-ea"/>
              <a:cs typeface="+mn-cs"/>
            </a:rPr>
            <a:t>             1. Completar esta secção caso tenha seleccionado a opção II;</a:t>
          </a:r>
        </a:p>
        <a:p>
          <a:pPr algn="l"/>
          <a:r>
            <a:rPr lang="en-GB" sz="1400" b="0" i="0" u="none" strike="noStrike" baseline="0">
              <a:solidFill>
                <a:srgbClr val="993300"/>
              </a:solidFill>
              <a:effectLst/>
              <a:latin typeface="Aptos" panose="020B0004020202020204" pitchFamily="34" charset="0"/>
              <a:ea typeface="+mn-ea"/>
              <a:cs typeface="+mn-cs"/>
            </a:rPr>
            <a:t>             2. Definir os tempos de viagem em movimentos pendulares para os vários modos de transporte;</a:t>
          </a:r>
        </a:p>
        <a:p>
          <a:pPr algn="l"/>
          <a:r>
            <a:rPr lang="en-GB" sz="1400" b="0" i="0" u="none" strike="noStrike" baseline="0">
              <a:solidFill>
                <a:srgbClr val="993300"/>
              </a:solidFill>
              <a:effectLst/>
              <a:latin typeface="Aptos" panose="020B0004020202020204" pitchFamily="34" charset="0"/>
              <a:ea typeface="+mn-ea"/>
              <a:cs typeface="+mn-cs"/>
            </a:rPr>
            <a:t>             3. Especificar a </a:t>
          </a:r>
          <a:r>
            <a:rPr lang="en-GB" sz="1400" b="1" i="0" u="none" strike="noStrike" baseline="0">
              <a:solidFill>
                <a:srgbClr val="993300"/>
              </a:solidFill>
              <a:effectLst/>
              <a:latin typeface="Aptos" panose="020B0004020202020204" pitchFamily="34" charset="0"/>
              <a:ea typeface="+mn-ea"/>
              <a:cs typeface="+mn-cs"/>
            </a:rPr>
            <a:t>fonte dos dados </a:t>
          </a:r>
          <a:r>
            <a:rPr lang="en-GB" sz="1400" b="0" i="0" u="none" strike="noStrike" baseline="0">
              <a:solidFill>
                <a:srgbClr val="993300"/>
              </a:solidFill>
              <a:effectLst/>
              <a:latin typeface="Aptos" panose="020B0004020202020204" pitchFamily="34" charset="0"/>
              <a:ea typeface="+mn-ea"/>
              <a:cs typeface="+mn-cs"/>
            </a:rPr>
            <a:t>e a </a:t>
          </a:r>
          <a:r>
            <a:rPr lang="en-GB" sz="1400" b="1" i="0" u="none" strike="noStrike" baseline="0">
              <a:solidFill>
                <a:srgbClr val="993300"/>
              </a:solidFill>
              <a:effectLst/>
              <a:latin typeface="Aptos" panose="020B0004020202020204" pitchFamily="34" charset="0"/>
              <a:ea typeface="+mn-ea"/>
              <a:cs typeface="+mn-cs"/>
            </a:rPr>
            <a:t>metodologia</a:t>
          </a:r>
          <a:r>
            <a:rPr lang="en-GB" sz="1400" b="0" i="0" u="none" strike="noStrike" baseline="0">
              <a:solidFill>
                <a:srgbClr val="993300"/>
              </a:solidFill>
              <a:effectLst/>
              <a:latin typeface="Aptos" panose="020B0004020202020204" pitchFamily="34" charset="0"/>
              <a:ea typeface="+mn-ea"/>
              <a:cs typeface="+mn-cs"/>
            </a:rPr>
            <a:t> utilizada para estimar os tempos médios de viagem.</a:t>
          </a:r>
        </a:p>
        <a:p>
          <a:pPr algn="l"/>
          <a:r>
            <a:rPr lang="en-GB" sz="1400" b="0" i="0" u="none" strike="noStrike" baseline="0">
              <a:solidFill>
                <a:srgbClr val="993300"/>
              </a:solidFill>
              <a:effectLst/>
              <a:latin typeface="Aptos" panose="020B0004020202020204" pitchFamily="34" charset="0"/>
              <a:ea typeface="+mn-ea"/>
              <a:cs typeface="+mn-cs"/>
            </a:rPr>
            <a:t>             4. Sugestão: Utilizar a ferramenta                                      para calcular os tempos de viagem.</a:t>
          </a:r>
        </a:p>
      </xdr:txBody>
    </xdr:sp>
    <xdr:clientData/>
  </xdr:twoCellAnchor>
  <xdr:twoCellAnchor>
    <xdr:from>
      <xdr:col>1</xdr:col>
      <xdr:colOff>185057</xdr:colOff>
      <xdr:row>126</xdr:row>
      <xdr:rowOff>130628</xdr:rowOff>
    </xdr:from>
    <xdr:to>
      <xdr:col>2</xdr:col>
      <xdr:colOff>729342</xdr:colOff>
      <xdr:row>127</xdr:row>
      <xdr:rowOff>261256</xdr:rowOff>
    </xdr:to>
    <xdr:sp macro="" textlink="">
      <xdr:nvSpPr>
        <xdr:cNvPr id="13" name="Flowchart: Connector 12">
          <a:extLst>
            <a:ext uri="{FF2B5EF4-FFF2-40B4-BE49-F238E27FC236}">
              <a16:creationId xmlns:a16="http://schemas.microsoft.com/office/drawing/2014/main" id="{9BFF7780-1871-4E2B-927D-8A181A0D5DD4}"/>
            </a:ext>
          </a:extLst>
        </xdr:cNvPr>
        <xdr:cNvSpPr/>
      </xdr:nvSpPr>
      <xdr:spPr>
        <a:xfrm>
          <a:off x="783771" y="45208371"/>
          <a:ext cx="740228" cy="293914"/>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i="0">
              <a:solidFill>
                <a:srgbClr val="993300"/>
              </a:solidFill>
              <a:latin typeface="Aptos" panose="020B0004020202020204" pitchFamily="34" charset="0"/>
            </a:rPr>
            <a:t>info</a:t>
          </a:r>
        </a:p>
      </xdr:txBody>
    </xdr:sp>
    <xdr:clientData/>
  </xdr:twoCellAnchor>
  <xdr:twoCellAnchor>
    <xdr:from>
      <xdr:col>3</xdr:col>
      <xdr:colOff>587829</xdr:colOff>
      <xdr:row>127</xdr:row>
      <xdr:rowOff>718457</xdr:rowOff>
    </xdr:from>
    <xdr:to>
      <xdr:col>4</xdr:col>
      <xdr:colOff>957943</xdr:colOff>
      <xdr:row>128</xdr:row>
      <xdr:rowOff>283028</xdr:rowOff>
    </xdr:to>
    <xdr:sp macro="" textlink="">
      <xdr:nvSpPr>
        <xdr:cNvPr id="14" name="TextBox 13">
          <a:hlinkClick xmlns:r="http://schemas.openxmlformats.org/officeDocument/2006/relationships" r:id="rId3"/>
          <a:extLst>
            <a:ext uri="{FF2B5EF4-FFF2-40B4-BE49-F238E27FC236}">
              <a16:creationId xmlns:a16="http://schemas.microsoft.com/office/drawing/2014/main" id="{CF980736-5C49-B777-04F2-A5F47825C6E9}"/>
            </a:ext>
          </a:extLst>
        </xdr:cNvPr>
        <xdr:cNvSpPr txBox="1"/>
      </xdr:nvSpPr>
      <xdr:spPr>
        <a:xfrm>
          <a:off x="4245429" y="45959486"/>
          <a:ext cx="1262743" cy="293913"/>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0" i="0" u="none" strike="noStrike" baseline="0">
              <a:solidFill>
                <a:schemeClr val="bg1"/>
              </a:solidFill>
              <a:effectLst/>
              <a:latin typeface="Aptos" panose="020B0004020202020204" pitchFamily="34" charset="0"/>
              <a:ea typeface="+mn-ea"/>
              <a:cs typeface="+mn-cs"/>
            </a:rPr>
            <a:t>"googlemaps" </a:t>
          </a:r>
        </a:p>
      </xdr:txBody>
    </xdr:sp>
    <xdr:clientData/>
  </xdr:twoCellAnchor>
  <xdr:twoCellAnchor>
    <xdr:from>
      <xdr:col>8</xdr:col>
      <xdr:colOff>195771</xdr:colOff>
      <xdr:row>154</xdr:row>
      <xdr:rowOff>203981</xdr:rowOff>
    </xdr:from>
    <xdr:to>
      <xdr:col>14</xdr:col>
      <xdr:colOff>148882</xdr:colOff>
      <xdr:row>163</xdr:row>
      <xdr:rowOff>117231</xdr:rowOff>
    </xdr:to>
    <xdr:graphicFrame macro="">
      <xdr:nvGraphicFramePr>
        <xdr:cNvPr id="4" name="Chart 3">
          <a:extLst>
            <a:ext uri="{FF2B5EF4-FFF2-40B4-BE49-F238E27FC236}">
              <a16:creationId xmlns:a16="http://schemas.microsoft.com/office/drawing/2014/main" id="{1437AC8C-6CB6-490A-91DC-347523233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351692</xdr:colOff>
      <xdr:row>2</xdr:row>
      <xdr:rowOff>164123</xdr:rowOff>
    </xdr:from>
    <xdr:to>
      <xdr:col>9</xdr:col>
      <xdr:colOff>761998</xdr:colOff>
      <xdr:row>4</xdr:row>
      <xdr:rowOff>86933</xdr:rowOff>
    </xdr:to>
    <xdr:sp macro="" textlink="">
      <xdr:nvSpPr>
        <xdr:cNvPr id="11" name="Flowchart: Connector 10">
          <a:extLst>
            <a:ext uri="{FF2B5EF4-FFF2-40B4-BE49-F238E27FC236}">
              <a16:creationId xmlns:a16="http://schemas.microsoft.com/office/drawing/2014/main" id="{CE607B94-EE41-49A2-BC8C-44DC3641D7E9}"/>
            </a:ext>
          </a:extLst>
        </xdr:cNvPr>
        <xdr:cNvSpPr/>
      </xdr:nvSpPr>
      <xdr:spPr>
        <a:xfrm>
          <a:off x="13247077" y="1242646"/>
          <a:ext cx="1055075" cy="297949"/>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8</xdr:col>
      <xdr:colOff>293076</xdr:colOff>
      <xdr:row>18</xdr:row>
      <xdr:rowOff>23446</xdr:rowOff>
    </xdr:from>
    <xdr:to>
      <xdr:col>9</xdr:col>
      <xdr:colOff>761999</xdr:colOff>
      <xdr:row>19</xdr:row>
      <xdr:rowOff>35169</xdr:rowOff>
    </xdr:to>
    <xdr:sp macro="" textlink="">
      <xdr:nvSpPr>
        <xdr:cNvPr id="15" name="Flowchart: Connector 14">
          <a:extLst>
            <a:ext uri="{FF2B5EF4-FFF2-40B4-BE49-F238E27FC236}">
              <a16:creationId xmlns:a16="http://schemas.microsoft.com/office/drawing/2014/main" id="{02905C27-C6A2-487E-87DF-EB671013E8DB}"/>
            </a:ext>
          </a:extLst>
        </xdr:cNvPr>
        <xdr:cNvSpPr/>
      </xdr:nvSpPr>
      <xdr:spPr>
        <a:xfrm>
          <a:off x="13910016" y="7811086"/>
          <a:ext cx="108614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2</xdr:col>
      <xdr:colOff>697859</xdr:colOff>
      <xdr:row>198</xdr:row>
      <xdr:rowOff>137160</xdr:rowOff>
    </xdr:from>
    <xdr:to>
      <xdr:col>4</xdr:col>
      <xdr:colOff>1219535</xdr:colOff>
      <xdr:row>206</xdr:row>
      <xdr:rowOff>111035</xdr:rowOff>
    </xdr:to>
    <xdr:sp macro="" textlink="">
      <xdr:nvSpPr>
        <xdr:cNvPr id="20" name="TextBox 19">
          <a:hlinkClick xmlns:r="http://schemas.openxmlformats.org/officeDocument/2006/relationships" r:id="rId5"/>
          <a:extLst>
            <a:ext uri="{FF2B5EF4-FFF2-40B4-BE49-F238E27FC236}">
              <a16:creationId xmlns:a16="http://schemas.microsoft.com/office/drawing/2014/main" id="{EAEE241A-796D-49EB-AB6F-5C995185EC50}"/>
            </a:ext>
          </a:extLst>
        </xdr:cNvPr>
        <xdr:cNvSpPr txBox="1"/>
      </xdr:nvSpPr>
      <xdr:spPr>
        <a:xfrm>
          <a:off x="1139819" y="84902040"/>
          <a:ext cx="494127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0</xdr:col>
      <xdr:colOff>167640</xdr:colOff>
      <xdr:row>199</xdr:row>
      <xdr:rowOff>108355</xdr:rowOff>
    </xdr:from>
    <xdr:to>
      <xdr:col>2</xdr:col>
      <xdr:colOff>640080</xdr:colOff>
      <xdr:row>204</xdr:row>
      <xdr:rowOff>108356</xdr:rowOff>
    </xdr:to>
    <xdr:pic>
      <xdr:nvPicPr>
        <xdr:cNvPr id="28" name="Graphic 27" descr="CheckList outline">
          <a:hlinkClick xmlns:r="http://schemas.openxmlformats.org/officeDocument/2006/relationships" r:id="rId5"/>
          <a:extLst>
            <a:ext uri="{FF2B5EF4-FFF2-40B4-BE49-F238E27FC236}">
              <a16:creationId xmlns:a16="http://schemas.microsoft.com/office/drawing/2014/main" id="{CB520CAF-F7DE-4F99-ADB4-4EF4563FBBA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67640" y="85056115"/>
          <a:ext cx="914400" cy="914400"/>
        </a:xfrm>
        <a:prstGeom prst="rect">
          <a:avLst/>
        </a:prstGeom>
      </xdr:spPr>
    </xdr:pic>
    <xdr:clientData/>
  </xdr:twoCellAnchor>
  <xdr:twoCellAnchor>
    <xdr:from>
      <xdr:col>10</xdr:col>
      <xdr:colOff>1289546</xdr:colOff>
      <xdr:row>1</xdr:row>
      <xdr:rowOff>70339</xdr:rowOff>
    </xdr:from>
    <xdr:to>
      <xdr:col>11</xdr:col>
      <xdr:colOff>504100</xdr:colOff>
      <xdr:row>1</xdr:row>
      <xdr:rowOff>879231</xdr:rowOff>
    </xdr:to>
    <xdr:grpSp>
      <xdr:nvGrpSpPr>
        <xdr:cNvPr id="2" name="Group 1">
          <a:extLst>
            <a:ext uri="{FF2B5EF4-FFF2-40B4-BE49-F238E27FC236}">
              <a16:creationId xmlns:a16="http://schemas.microsoft.com/office/drawing/2014/main" id="{0DFDEBC4-C7DC-457B-B3F6-D0D442601F86}"/>
            </a:ext>
          </a:extLst>
        </xdr:cNvPr>
        <xdr:cNvGrpSpPr/>
      </xdr:nvGrpSpPr>
      <xdr:grpSpPr>
        <a:xfrm>
          <a:off x="16962501" y="257953"/>
          <a:ext cx="701031" cy="808892"/>
          <a:chOff x="18557628" y="410308"/>
          <a:chExt cx="750277" cy="808892"/>
        </a:xfrm>
      </xdr:grpSpPr>
      <xdr:pic>
        <xdr:nvPicPr>
          <xdr:cNvPr id="3" name="Graphic 2" descr="Home outline">
            <a:hlinkClick xmlns:r="http://schemas.openxmlformats.org/officeDocument/2006/relationships" r:id="rId8"/>
            <a:extLst>
              <a:ext uri="{FF2B5EF4-FFF2-40B4-BE49-F238E27FC236}">
                <a16:creationId xmlns:a16="http://schemas.microsoft.com/office/drawing/2014/main" id="{6F231556-2945-055B-86EC-038B0F9623F2}"/>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8604519" y="410308"/>
            <a:ext cx="504093" cy="507072"/>
          </a:xfrm>
          <a:prstGeom prst="rect">
            <a:avLst/>
          </a:prstGeom>
        </xdr:spPr>
      </xdr:pic>
      <xdr:sp macro="" textlink="">
        <xdr:nvSpPr>
          <xdr:cNvPr id="5" name="TextBox 4">
            <a:hlinkClick xmlns:r="http://schemas.openxmlformats.org/officeDocument/2006/relationships" r:id="rId8"/>
            <a:extLst>
              <a:ext uri="{FF2B5EF4-FFF2-40B4-BE49-F238E27FC236}">
                <a16:creationId xmlns:a16="http://schemas.microsoft.com/office/drawing/2014/main" id="{C48359FA-3005-88B7-7566-0F69D522C3CF}"/>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9</xdr:col>
      <xdr:colOff>738555</xdr:colOff>
      <xdr:row>1</xdr:row>
      <xdr:rowOff>0</xdr:rowOff>
    </xdr:from>
    <xdr:to>
      <xdr:col>9</xdr:col>
      <xdr:colOff>2529255</xdr:colOff>
      <xdr:row>3</xdr:row>
      <xdr:rowOff>108927</xdr:rowOff>
    </xdr:to>
    <xdr:grpSp>
      <xdr:nvGrpSpPr>
        <xdr:cNvPr id="6" name="Group 5">
          <a:hlinkClick xmlns:r="http://schemas.openxmlformats.org/officeDocument/2006/relationships" r:id="rId11"/>
          <a:extLst>
            <a:ext uri="{FF2B5EF4-FFF2-40B4-BE49-F238E27FC236}">
              <a16:creationId xmlns:a16="http://schemas.microsoft.com/office/drawing/2014/main" id="{2BF3B930-1B85-42D7-A561-F787AFF18478}"/>
            </a:ext>
          </a:extLst>
        </xdr:cNvPr>
        <xdr:cNvGrpSpPr/>
      </xdr:nvGrpSpPr>
      <xdr:grpSpPr>
        <a:xfrm>
          <a:off x="13914805" y="187614"/>
          <a:ext cx="1752600" cy="1176881"/>
          <a:chOff x="17335500" y="165100"/>
          <a:chExt cx="1790700" cy="1187450"/>
        </a:xfrm>
      </xdr:grpSpPr>
      <xdr:pic>
        <xdr:nvPicPr>
          <xdr:cNvPr id="7" name="Graphic 6" descr="Badge Question Mark outline">
            <a:extLst>
              <a:ext uri="{FF2B5EF4-FFF2-40B4-BE49-F238E27FC236}">
                <a16:creationId xmlns:a16="http://schemas.microsoft.com/office/drawing/2014/main" id="{194BE555-799E-55CD-BD69-3BBE0CDEDC7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802226" y="165100"/>
            <a:ext cx="638175" cy="638175"/>
          </a:xfrm>
          <a:prstGeom prst="rect">
            <a:avLst/>
          </a:prstGeom>
        </xdr:spPr>
      </xdr:pic>
      <xdr:sp macro="" textlink="">
        <xdr:nvSpPr>
          <xdr:cNvPr id="9" name="TextBox 8">
            <a:hlinkClick xmlns:r="http://schemas.openxmlformats.org/officeDocument/2006/relationships" r:id="rId14"/>
            <a:extLst>
              <a:ext uri="{FF2B5EF4-FFF2-40B4-BE49-F238E27FC236}">
                <a16:creationId xmlns:a16="http://schemas.microsoft.com/office/drawing/2014/main" id="{FBEE91FF-A939-EE3B-1CB5-E317357E28D1}"/>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140679</xdr:colOff>
      <xdr:row>1</xdr:row>
      <xdr:rowOff>70338</xdr:rowOff>
    </xdr:from>
    <xdr:to>
      <xdr:col>10</xdr:col>
      <xdr:colOff>996463</xdr:colOff>
      <xdr:row>1</xdr:row>
      <xdr:rowOff>879231</xdr:rowOff>
    </xdr:to>
    <xdr:grpSp>
      <xdr:nvGrpSpPr>
        <xdr:cNvPr id="18" name="Group 17">
          <a:hlinkClick xmlns:r="http://schemas.openxmlformats.org/officeDocument/2006/relationships" r:id="rId15"/>
          <a:extLst>
            <a:ext uri="{FF2B5EF4-FFF2-40B4-BE49-F238E27FC236}">
              <a16:creationId xmlns:a16="http://schemas.microsoft.com/office/drawing/2014/main" id="{E7EDBA65-6254-4786-B237-004DC79BE0B0}"/>
            </a:ext>
          </a:extLst>
        </xdr:cNvPr>
        <xdr:cNvGrpSpPr/>
      </xdr:nvGrpSpPr>
      <xdr:grpSpPr>
        <a:xfrm>
          <a:off x="15813634" y="257952"/>
          <a:ext cx="855784" cy="808893"/>
          <a:chOff x="17783906" y="410307"/>
          <a:chExt cx="855784" cy="808893"/>
        </a:xfrm>
      </xdr:grpSpPr>
      <xdr:sp macro="" textlink="">
        <xdr:nvSpPr>
          <xdr:cNvPr id="22" name="TextBox 21">
            <a:hlinkClick xmlns:r="http://schemas.openxmlformats.org/officeDocument/2006/relationships" r:id="rId8"/>
            <a:extLst>
              <a:ext uri="{FF2B5EF4-FFF2-40B4-BE49-F238E27FC236}">
                <a16:creationId xmlns:a16="http://schemas.microsoft.com/office/drawing/2014/main" id="{E64ED1E6-04E3-36C4-B616-BAD5835A5DF9}"/>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3" name="Graphic 22" descr="List outline">
            <a:extLst>
              <a:ext uri="{FF2B5EF4-FFF2-40B4-BE49-F238E27FC236}">
                <a16:creationId xmlns:a16="http://schemas.microsoft.com/office/drawing/2014/main" id="{E8477B60-7C90-F0BA-9A44-A0322C5BE14F}"/>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7901138" y="410307"/>
            <a:ext cx="539260" cy="531557"/>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174171</xdr:colOff>
      <xdr:row>63</xdr:row>
      <xdr:rowOff>32657</xdr:rowOff>
    </xdr:from>
    <xdr:to>
      <xdr:col>2</xdr:col>
      <xdr:colOff>178525</xdr:colOff>
      <xdr:row>65</xdr:row>
      <xdr:rowOff>76201</xdr:rowOff>
    </xdr:to>
    <xdr:cxnSp macro="">
      <xdr:nvCxnSpPr>
        <xdr:cNvPr id="29" name="Straight Arrow Connector 28">
          <a:extLst>
            <a:ext uri="{FF2B5EF4-FFF2-40B4-BE49-F238E27FC236}">
              <a16:creationId xmlns:a16="http://schemas.microsoft.com/office/drawing/2014/main" id="{AFDA6B0C-4B78-41CF-A99D-BAF40C95D564}"/>
            </a:ext>
          </a:extLst>
        </xdr:cNvPr>
        <xdr:cNvCxnSpPr/>
      </xdr:nvCxnSpPr>
      <xdr:spPr>
        <a:xfrm flipH="1">
          <a:off x="951411" y="39664277"/>
          <a:ext cx="4354" cy="1948544"/>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195946</xdr:colOff>
      <xdr:row>112</xdr:row>
      <xdr:rowOff>65315</xdr:rowOff>
    </xdr:from>
    <xdr:to>
      <xdr:col>2</xdr:col>
      <xdr:colOff>228602</xdr:colOff>
      <xdr:row>117</xdr:row>
      <xdr:rowOff>0</xdr:rowOff>
    </xdr:to>
    <xdr:cxnSp macro="">
      <xdr:nvCxnSpPr>
        <xdr:cNvPr id="31" name="Straight Arrow Connector 30">
          <a:extLst>
            <a:ext uri="{FF2B5EF4-FFF2-40B4-BE49-F238E27FC236}">
              <a16:creationId xmlns:a16="http://schemas.microsoft.com/office/drawing/2014/main" id="{BF12A055-71E2-4E76-854A-8EDAA3A8AF41}"/>
            </a:ext>
          </a:extLst>
        </xdr:cNvPr>
        <xdr:cNvCxnSpPr/>
      </xdr:nvCxnSpPr>
      <xdr:spPr>
        <a:xfrm flipH="1">
          <a:off x="973186" y="69910235"/>
          <a:ext cx="32656" cy="1763485"/>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206829</xdr:colOff>
      <xdr:row>164</xdr:row>
      <xdr:rowOff>119744</xdr:rowOff>
    </xdr:from>
    <xdr:to>
      <xdr:col>2</xdr:col>
      <xdr:colOff>228600</xdr:colOff>
      <xdr:row>167</xdr:row>
      <xdr:rowOff>76200</xdr:rowOff>
    </xdr:to>
    <xdr:cxnSp macro="">
      <xdr:nvCxnSpPr>
        <xdr:cNvPr id="37" name="Straight Arrow Connector 36">
          <a:extLst>
            <a:ext uri="{FF2B5EF4-FFF2-40B4-BE49-F238E27FC236}">
              <a16:creationId xmlns:a16="http://schemas.microsoft.com/office/drawing/2014/main" id="{73434259-2B49-4430-8D3F-F38A96FD1525}"/>
            </a:ext>
          </a:extLst>
        </xdr:cNvPr>
        <xdr:cNvCxnSpPr/>
      </xdr:nvCxnSpPr>
      <xdr:spPr>
        <a:xfrm flipH="1">
          <a:off x="984069" y="102768764"/>
          <a:ext cx="21771" cy="886096"/>
        </a:xfrm>
        <a:prstGeom prst="straightConnector1">
          <a:avLst/>
        </a:prstGeom>
        <a:ln w="57150" cap="flat" cmpd="sng" algn="ctr">
          <a:solidFill>
            <a:srgbClr val="02A39C"/>
          </a:solidFill>
          <a:prstDash val="dash"/>
          <a:round/>
          <a:headEnd type="none" w="med" len="med"/>
          <a:tailEnd type="triangl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2</xdr:col>
      <xdr:colOff>772887</xdr:colOff>
      <xdr:row>167</xdr:row>
      <xdr:rowOff>68663</xdr:rowOff>
    </xdr:from>
    <xdr:to>
      <xdr:col>4</xdr:col>
      <xdr:colOff>239486</xdr:colOff>
      <xdr:row>171</xdr:row>
      <xdr:rowOff>286378</xdr:rowOff>
    </xdr:to>
    <xdr:sp macro="" textlink="">
      <xdr:nvSpPr>
        <xdr:cNvPr id="40" name="TextBox 39">
          <a:hlinkClick xmlns:r="http://schemas.openxmlformats.org/officeDocument/2006/relationships" r:id="rId1"/>
          <a:extLst>
            <a:ext uri="{FF2B5EF4-FFF2-40B4-BE49-F238E27FC236}">
              <a16:creationId xmlns:a16="http://schemas.microsoft.com/office/drawing/2014/main" id="{9F4DA882-2936-44C7-9AE5-5D416AF4D77B}"/>
            </a:ext>
          </a:extLst>
        </xdr:cNvPr>
        <xdr:cNvSpPr txBox="1"/>
      </xdr:nvSpPr>
      <xdr:spPr>
        <a:xfrm>
          <a:off x="1218364" y="115927832"/>
          <a:ext cx="3874476" cy="1436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800" b="0">
              <a:latin typeface="Aptos" panose="020B0004020202020204" pitchFamily="34" charset="0"/>
            </a:rPr>
            <a:t>Sumário de </a:t>
          </a:r>
          <a:r>
            <a:rPr lang="en-GB" sz="1800" b="0">
              <a:solidFill>
                <a:schemeClr val="dk1"/>
              </a:solidFill>
              <a:latin typeface="Aptos" panose="020B0004020202020204" pitchFamily="34" charset="0"/>
              <a:ea typeface="+mn-ea"/>
              <a:cs typeface="+mn-cs"/>
            </a:rPr>
            <a:t>Resultados das várias</a:t>
          </a:r>
          <a:r>
            <a:rPr lang="en-GB" sz="1800" b="0" baseline="0">
              <a:solidFill>
                <a:schemeClr val="dk1"/>
              </a:solidFill>
              <a:latin typeface="Aptos" panose="020B0004020202020204" pitchFamily="34" charset="0"/>
              <a:ea typeface="+mn-ea"/>
              <a:cs typeface="+mn-cs"/>
            </a:rPr>
            <a:t> componentes do projeto</a:t>
          </a:r>
          <a:endParaRPr lang="en-GB" sz="1800" b="0">
            <a:latin typeface="Aptos" panose="020B0004020202020204" pitchFamily="34" charset="0"/>
          </a:endParaRPr>
        </a:p>
      </xdr:txBody>
    </xdr:sp>
    <xdr:clientData/>
  </xdr:twoCellAnchor>
  <xdr:twoCellAnchor editAs="oneCell">
    <xdr:from>
      <xdr:col>37</xdr:col>
      <xdr:colOff>480654</xdr:colOff>
      <xdr:row>9</xdr:row>
      <xdr:rowOff>0</xdr:rowOff>
    </xdr:from>
    <xdr:to>
      <xdr:col>38</xdr:col>
      <xdr:colOff>537613</xdr:colOff>
      <xdr:row>10</xdr:row>
      <xdr:rowOff>321154</xdr:rowOff>
    </xdr:to>
    <xdr:pic>
      <xdr:nvPicPr>
        <xdr:cNvPr id="14" name="Graphic 13" descr="CheckList with solid fill">
          <a:hlinkClick xmlns:r="http://schemas.openxmlformats.org/officeDocument/2006/relationships" r:id="rId2"/>
          <a:extLst>
            <a:ext uri="{FF2B5EF4-FFF2-40B4-BE49-F238E27FC236}">
              <a16:creationId xmlns:a16="http://schemas.microsoft.com/office/drawing/2014/main" id="{9B6C1065-2ECA-4C65-9632-0976288E245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685054" y="14055969"/>
          <a:ext cx="666559" cy="625954"/>
        </a:xfrm>
        <a:prstGeom prst="rect">
          <a:avLst/>
        </a:prstGeom>
      </xdr:spPr>
    </xdr:pic>
    <xdr:clientData/>
  </xdr:twoCellAnchor>
  <xdr:twoCellAnchor>
    <xdr:from>
      <xdr:col>11</xdr:col>
      <xdr:colOff>750280</xdr:colOff>
      <xdr:row>1</xdr:row>
      <xdr:rowOff>105508</xdr:rowOff>
    </xdr:from>
    <xdr:to>
      <xdr:col>11</xdr:col>
      <xdr:colOff>1500557</xdr:colOff>
      <xdr:row>3</xdr:row>
      <xdr:rowOff>23446</xdr:rowOff>
    </xdr:to>
    <xdr:grpSp>
      <xdr:nvGrpSpPr>
        <xdr:cNvPr id="34" name="Group 33">
          <a:extLst>
            <a:ext uri="{FF2B5EF4-FFF2-40B4-BE49-F238E27FC236}">
              <a16:creationId xmlns:a16="http://schemas.microsoft.com/office/drawing/2014/main" id="{308FC181-CD36-804D-2405-4BC9D1AEAB57}"/>
            </a:ext>
          </a:extLst>
        </xdr:cNvPr>
        <xdr:cNvGrpSpPr/>
      </xdr:nvGrpSpPr>
      <xdr:grpSpPr>
        <a:xfrm>
          <a:off x="17865514" y="403164"/>
          <a:ext cx="750277" cy="825790"/>
          <a:chOff x="18557628" y="410308"/>
          <a:chExt cx="750277" cy="808892"/>
        </a:xfrm>
      </xdr:grpSpPr>
      <xdr:pic>
        <xdr:nvPicPr>
          <xdr:cNvPr id="16" name="Graphic 15" descr="Home outline">
            <a:hlinkClick xmlns:r="http://schemas.openxmlformats.org/officeDocument/2006/relationships" r:id="rId5"/>
            <a:extLst>
              <a:ext uri="{FF2B5EF4-FFF2-40B4-BE49-F238E27FC236}">
                <a16:creationId xmlns:a16="http://schemas.microsoft.com/office/drawing/2014/main" id="{C16AB9BC-5FDD-AFE4-615B-F28D171E99A4}"/>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8604519" y="410308"/>
            <a:ext cx="504093" cy="507072"/>
          </a:xfrm>
          <a:prstGeom prst="rect">
            <a:avLst/>
          </a:prstGeom>
        </xdr:spPr>
      </xdr:pic>
      <xdr:sp macro="" textlink="">
        <xdr:nvSpPr>
          <xdr:cNvPr id="17" name="TextBox 16">
            <a:hlinkClick xmlns:r="http://schemas.openxmlformats.org/officeDocument/2006/relationships" r:id="rId5"/>
            <a:extLst>
              <a:ext uri="{FF2B5EF4-FFF2-40B4-BE49-F238E27FC236}">
                <a16:creationId xmlns:a16="http://schemas.microsoft.com/office/drawing/2014/main" id="{C4A55EE4-9D0E-9C0F-1A30-62AFE2FA7311}"/>
              </a:ext>
            </a:extLst>
          </xdr:cNvPr>
          <xdr:cNvSpPr txBox="1"/>
        </xdr:nvSpPr>
        <xdr:spPr>
          <a:xfrm>
            <a:off x="18557628" y="905863"/>
            <a:ext cx="750277" cy="313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Índice</a:t>
            </a:r>
          </a:p>
        </xdr:txBody>
      </xdr:sp>
    </xdr:grpSp>
    <xdr:clientData/>
  </xdr:twoCellAnchor>
  <xdr:twoCellAnchor>
    <xdr:from>
      <xdr:col>21</xdr:col>
      <xdr:colOff>0</xdr:colOff>
      <xdr:row>41</xdr:row>
      <xdr:rowOff>395415</xdr:rowOff>
    </xdr:from>
    <xdr:to>
      <xdr:col>40</xdr:col>
      <xdr:colOff>497115</xdr:colOff>
      <xdr:row>45</xdr:row>
      <xdr:rowOff>21691</xdr:rowOff>
    </xdr:to>
    <xdr:sp macro="" textlink="">
      <xdr:nvSpPr>
        <xdr:cNvPr id="6" name="TextBox 5">
          <a:extLst>
            <a:ext uri="{FF2B5EF4-FFF2-40B4-BE49-F238E27FC236}">
              <a16:creationId xmlns:a16="http://schemas.microsoft.com/office/drawing/2014/main" id="{5BA833A9-CFC9-4679-8947-94D59EF86760}"/>
            </a:ext>
          </a:extLst>
        </xdr:cNvPr>
        <xdr:cNvSpPr txBox="1"/>
      </xdr:nvSpPr>
      <xdr:spPr>
        <a:xfrm>
          <a:off x="25450800" y="25131107"/>
          <a:ext cx="12079515" cy="1923999"/>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1. Definir os valores de transferência modal (TM), </a:t>
          </a:r>
          <a:r>
            <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rPr>
            <a:t>quando aplicável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2. Especificar a fonte dos dados e a metodologia utilizada para estimar as transferências modais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3. Os valores introduzidos para as TM devem somar 100%</a:t>
          </a:r>
        </a:p>
        <a:p>
          <a:endPar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4. A calculadora não tem valores por defeito para as TM (barco elétrico)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xdr:txBody>
    </xdr:sp>
    <xdr:clientData/>
  </xdr:twoCellAnchor>
  <xdr:twoCellAnchor editAs="oneCell">
    <xdr:from>
      <xdr:col>43</xdr:col>
      <xdr:colOff>360075</xdr:colOff>
      <xdr:row>21</xdr:row>
      <xdr:rowOff>0</xdr:rowOff>
    </xdr:from>
    <xdr:to>
      <xdr:col>44</xdr:col>
      <xdr:colOff>365013</xdr:colOff>
      <xdr:row>22</xdr:row>
      <xdr:rowOff>51523</xdr:rowOff>
    </xdr:to>
    <xdr:pic>
      <xdr:nvPicPr>
        <xdr:cNvPr id="13" name="Graphic 12" descr="CheckList with solid fill">
          <a:hlinkClick xmlns:r="http://schemas.openxmlformats.org/officeDocument/2006/relationships" r:id="rId8"/>
          <a:extLst>
            <a:ext uri="{FF2B5EF4-FFF2-40B4-BE49-F238E27FC236}">
              <a16:creationId xmlns:a16="http://schemas.microsoft.com/office/drawing/2014/main" id="{CEEAEB94-FDE5-4DE1-85A6-4C05C1B67C3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9222075" y="9003323"/>
          <a:ext cx="614538" cy="625954"/>
        </a:xfrm>
        <a:prstGeom prst="rect">
          <a:avLst/>
        </a:prstGeom>
      </xdr:spPr>
    </xdr:pic>
    <xdr:clientData/>
  </xdr:twoCellAnchor>
  <xdr:twoCellAnchor>
    <xdr:from>
      <xdr:col>20</xdr:col>
      <xdr:colOff>0</xdr:colOff>
      <xdr:row>31</xdr:row>
      <xdr:rowOff>67169</xdr:rowOff>
    </xdr:from>
    <xdr:to>
      <xdr:col>39</xdr:col>
      <xdr:colOff>497115</xdr:colOff>
      <xdr:row>35</xdr:row>
      <xdr:rowOff>185814</xdr:rowOff>
    </xdr:to>
    <xdr:sp macro="" textlink="">
      <xdr:nvSpPr>
        <xdr:cNvPr id="20" name="TextBox 19">
          <a:extLst>
            <a:ext uri="{FF2B5EF4-FFF2-40B4-BE49-F238E27FC236}">
              <a16:creationId xmlns:a16="http://schemas.microsoft.com/office/drawing/2014/main" id="{C5031D68-5F29-45D8-9BFE-D64B7207336C}"/>
            </a:ext>
          </a:extLst>
        </xdr:cNvPr>
        <xdr:cNvSpPr txBox="1"/>
      </xdr:nvSpPr>
      <xdr:spPr>
        <a:xfrm>
          <a:off x="24841200" y="19644707"/>
          <a:ext cx="12079515" cy="1923999"/>
        </a:xfrm>
        <a:prstGeom prst="rect">
          <a:avLst/>
        </a:prstGeom>
        <a:solidFill>
          <a:srgbClr val="FFC0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1. Definir os valores de transferência modal (TM), </a:t>
          </a:r>
          <a:r>
            <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rPr>
            <a:t>quando aplicável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1"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rPr>
            <a:t>                2. Especificar a fonte dos dados e a metodologia utilizada para estimar as transferências modais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4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3. Os valores introduzidos para as TM devem somar 100%</a:t>
          </a:r>
        </a:p>
        <a:p>
          <a:endPar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endParaRPr>
        </a:p>
        <a:p>
          <a:r>
            <a:rPr kumimoji="0" lang="en-GB" sz="1400" b="0" i="0" u="none" strike="noStrike" kern="0" cap="none" spc="0" normalizeH="0" baseline="0">
              <a:ln>
                <a:noFill/>
              </a:ln>
              <a:solidFill>
                <a:srgbClr val="993300"/>
              </a:solidFill>
              <a:effectLst/>
              <a:uLnTx/>
              <a:uFillTx/>
              <a:latin typeface="Aptos" panose="020B0004020202020204" pitchFamily="34" charset="0"/>
              <a:ea typeface="+mn-ea"/>
              <a:cs typeface="+mn-cs"/>
            </a:rPr>
            <a:t>               4. A calculadora não tem valores por defeito para as TM (barco elétrico)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rgbClr val="993300"/>
            </a:solidFill>
            <a:effectLst/>
            <a:uLnTx/>
            <a:uFillTx/>
            <a:latin typeface="Aptos" panose="020B0004020202020204" pitchFamily="34" charset="0"/>
            <a:ea typeface="+mn-ea"/>
            <a:cs typeface="+mn-cs"/>
          </a:endParaRPr>
        </a:p>
      </xdr:txBody>
    </xdr:sp>
    <xdr:clientData/>
  </xdr:twoCellAnchor>
  <xdr:twoCellAnchor editAs="oneCell">
    <xdr:from>
      <xdr:col>42</xdr:col>
      <xdr:colOff>360075</xdr:colOff>
      <xdr:row>12</xdr:row>
      <xdr:rowOff>0</xdr:rowOff>
    </xdr:from>
    <xdr:to>
      <xdr:col>43</xdr:col>
      <xdr:colOff>365013</xdr:colOff>
      <xdr:row>13</xdr:row>
      <xdr:rowOff>321154</xdr:rowOff>
    </xdr:to>
    <xdr:pic>
      <xdr:nvPicPr>
        <xdr:cNvPr id="21" name="Graphic 20" descr="CheckList with solid fill">
          <a:hlinkClick xmlns:r="http://schemas.openxmlformats.org/officeDocument/2006/relationships" r:id="rId8"/>
          <a:extLst>
            <a:ext uri="{FF2B5EF4-FFF2-40B4-BE49-F238E27FC236}">
              <a16:creationId xmlns:a16="http://schemas.microsoft.com/office/drawing/2014/main" id="{F82B6843-D02A-4C1F-B1F2-0B20175325B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8612475" y="3516923"/>
          <a:ext cx="614538" cy="625954"/>
        </a:xfrm>
        <a:prstGeom prst="rect">
          <a:avLst/>
        </a:prstGeom>
      </xdr:spPr>
    </xdr:pic>
    <xdr:clientData/>
  </xdr:twoCellAnchor>
  <xdr:twoCellAnchor>
    <xdr:from>
      <xdr:col>43</xdr:col>
      <xdr:colOff>255563</xdr:colOff>
      <xdr:row>12</xdr:row>
      <xdr:rowOff>21104</xdr:rowOff>
    </xdr:from>
    <xdr:to>
      <xdr:col>52</xdr:col>
      <xdr:colOff>515425</xdr:colOff>
      <xdr:row>13</xdr:row>
      <xdr:rowOff>103167</xdr:rowOff>
    </xdr:to>
    <xdr:sp macro="" textlink="">
      <xdr:nvSpPr>
        <xdr:cNvPr id="22" name="TextBox 21">
          <a:hlinkClick xmlns:r="http://schemas.openxmlformats.org/officeDocument/2006/relationships" r:id="rId8"/>
          <a:extLst>
            <a:ext uri="{FF2B5EF4-FFF2-40B4-BE49-F238E27FC236}">
              <a16:creationId xmlns:a16="http://schemas.microsoft.com/office/drawing/2014/main" id="{6F2064C0-D4F5-4601-9228-531288924647}"/>
            </a:ext>
          </a:extLst>
        </xdr:cNvPr>
        <xdr:cNvSpPr txBox="1"/>
      </xdr:nvSpPr>
      <xdr:spPr>
        <a:xfrm>
          <a:off x="39117563" y="3538027"/>
          <a:ext cx="5746262" cy="386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GB" sz="1600" b="1" i="0" u="none" baseline="0">
              <a:solidFill>
                <a:srgbClr val="993300"/>
              </a:solidFill>
              <a:effectLst/>
              <a:latin typeface="Aptos" panose="020B0004020202020204" pitchFamily="34" charset="0"/>
              <a:ea typeface="+mn-ea"/>
              <a:cs typeface="+mn-cs"/>
            </a:rPr>
            <a:t>Sumário de Resultados das várias componentes do projeto </a:t>
          </a:r>
        </a:p>
      </xdr:txBody>
    </xdr:sp>
    <xdr:clientData/>
  </xdr:twoCellAnchor>
  <xdr:twoCellAnchor>
    <xdr:from>
      <xdr:col>6</xdr:col>
      <xdr:colOff>2497020</xdr:colOff>
      <xdr:row>120</xdr:row>
      <xdr:rowOff>117230</xdr:rowOff>
    </xdr:from>
    <xdr:to>
      <xdr:col>13</xdr:col>
      <xdr:colOff>550989</xdr:colOff>
      <xdr:row>130</xdr:row>
      <xdr:rowOff>246183</xdr:rowOff>
    </xdr:to>
    <xdr:graphicFrame macro="">
      <xdr:nvGraphicFramePr>
        <xdr:cNvPr id="5" name="Chart 4">
          <a:extLst>
            <a:ext uri="{FF2B5EF4-FFF2-40B4-BE49-F238E27FC236}">
              <a16:creationId xmlns:a16="http://schemas.microsoft.com/office/drawing/2014/main" id="{690C5DA3-86CC-423D-9657-A419F390D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328246</xdr:colOff>
      <xdr:row>4</xdr:row>
      <xdr:rowOff>93784</xdr:rowOff>
    </xdr:from>
    <xdr:to>
      <xdr:col>9</xdr:col>
      <xdr:colOff>761999</xdr:colOff>
      <xdr:row>5</xdr:row>
      <xdr:rowOff>145548</xdr:rowOff>
    </xdr:to>
    <xdr:sp macro="" textlink="">
      <xdr:nvSpPr>
        <xdr:cNvPr id="15" name="Flowchart: Connector 14">
          <a:extLst>
            <a:ext uri="{FF2B5EF4-FFF2-40B4-BE49-F238E27FC236}">
              <a16:creationId xmlns:a16="http://schemas.microsoft.com/office/drawing/2014/main" id="{7649E8FE-6D3D-4E94-92B7-72182BF74611}"/>
            </a:ext>
          </a:extLst>
        </xdr:cNvPr>
        <xdr:cNvSpPr/>
      </xdr:nvSpPr>
      <xdr:spPr>
        <a:xfrm>
          <a:off x="13047784" y="2028092"/>
          <a:ext cx="1055077" cy="297948"/>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xdr:from>
      <xdr:col>9</xdr:col>
      <xdr:colOff>1488831</xdr:colOff>
      <xdr:row>1</xdr:row>
      <xdr:rowOff>35169</xdr:rowOff>
    </xdr:from>
    <xdr:to>
      <xdr:col>10</xdr:col>
      <xdr:colOff>1263162</xdr:colOff>
      <xdr:row>4</xdr:row>
      <xdr:rowOff>85481</xdr:rowOff>
    </xdr:to>
    <xdr:grpSp>
      <xdr:nvGrpSpPr>
        <xdr:cNvPr id="9" name="Group 8">
          <a:hlinkClick xmlns:r="http://schemas.openxmlformats.org/officeDocument/2006/relationships" r:id="rId10"/>
          <a:extLst>
            <a:ext uri="{FF2B5EF4-FFF2-40B4-BE49-F238E27FC236}">
              <a16:creationId xmlns:a16="http://schemas.microsoft.com/office/drawing/2014/main" id="{5FEFDC74-9E6A-4614-ADB3-6DB88C54D14A}"/>
            </a:ext>
          </a:extLst>
        </xdr:cNvPr>
        <xdr:cNvGrpSpPr/>
      </xdr:nvGrpSpPr>
      <xdr:grpSpPr>
        <a:xfrm>
          <a:off x="15121487" y="332825"/>
          <a:ext cx="1738863" cy="1211172"/>
          <a:chOff x="17335500" y="165100"/>
          <a:chExt cx="1790700" cy="1187450"/>
        </a:xfrm>
      </xdr:grpSpPr>
      <xdr:pic>
        <xdr:nvPicPr>
          <xdr:cNvPr id="10" name="Graphic 9" descr="Badge Question Mark outline">
            <a:extLst>
              <a:ext uri="{FF2B5EF4-FFF2-40B4-BE49-F238E27FC236}">
                <a16:creationId xmlns:a16="http://schemas.microsoft.com/office/drawing/2014/main" id="{D64CA719-E16E-C4EB-AD3C-B45EA03B4FBF}"/>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7802226" y="165100"/>
            <a:ext cx="638175" cy="638175"/>
          </a:xfrm>
          <a:prstGeom prst="rect">
            <a:avLst/>
          </a:prstGeom>
        </xdr:spPr>
      </xdr:pic>
      <xdr:sp macro="" textlink="">
        <xdr:nvSpPr>
          <xdr:cNvPr id="19" name="TextBox 18">
            <a:hlinkClick xmlns:r="http://schemas.openxmlformats.org/officeDocument/2006/relationships" r:id="rId10"/>
            <a:extLst>
              <a:ext uri="{FF2B5EF4-FFF2-40B4-BE49-F238E27FC236}">
                <a16:creationId xmlns:a16="http://schemas.microsoft.com/office/drawing/2014/main" id="{2B08CB36-D58E-C87F-6C13-8ECC0662CD04}"/>
              </a:ext>
            </a:extLst>
          </xdr:cNvPr>
          <xdr:cNvSpPr txBox="1"/>
        </xdr:nvSpPr>
        <xdr:spPr>
          <a:xfrm>
            <a:off x="17335500" y="714374"/>
            <a:ext cx="1790700" cy="638176"/>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a:solidFill>
                  <a:schemeClr val="bg1"/>
                </a:solidFill>
                <a:latin typeface="Aptos" panose="020B0004020202020204" pitchFamily="34" charset="0"/>
              </a:rPr>
              <a:t>Instruções</a:t>
            </a:r>
            <a:r>
              <a:rPr lang="en-GB" sz="1400" baseline="0">
                <a:solidFill>
                  <a:schemeClr val="bg1"/>
                </a:solidFill>
                <a:latin typeface="Aptos" panose="020B0004020202020204" pitchFamily="34" charset="0"/>
              </a:rPr>
              <a:t> e PFs</a:t>
            </a:r>
            <a:endParaRPr lang="en-GB" sz="1400">
              <a:solidFill>
                <a:schemeClr val="bg1"/>
              </a:solidFill>
              <a:latin typeface="Aptos" panose="020B0004020202020204" pitchFamily="34" charset="0"/>
            </a:endParaRPr>
          </a:p>
        </xdr:txBody>
      </xdr:sp>
    </xdr:grpSp>
    <xdr:clientData/>
  </xdr:twoCellAnchor>
  <xdr:twoCellAnchor>
    <xdr:from>
      <xdr:col>10</xdr:col>
      <xdr:colOff>1219203</xdr:colOff>
      <xdr:row>1</xdr:row>
      <xdr:rowOff>105507</xdr:rowOff>
    </xdr:from>
    <xdr:to>
      <xdr:col>11</xdr:col>
      <xdr:colOff>515817</xdr:colOff>
      <xdr:row>3</xdr:row>
      <xdr:rowOff>23446</xdr:rowOff>
    </xdr:to>
    <xdr:grpSp>
      <xdr:nvGrpSpPr>
        <xdr:cNvPr id="2" name="Group 1">
          <a:hlinkClick xmlns:r="http://schemas.openxmlformats.org/officeDocument/2006/relationships" r:id="rId13"/>
          <a:extLst>
            <a:ext uri="{FF2B5EF4-FFF2-40B4-BE49-F238E27FC236}">
              <a16:creationId xmlns:a16="http://schemas.microsoft.com/office/drawing/2014/main" id="{386C3813-517E-1DCF-02E1-C613B69D13F4}"/>
            </a:ext>
          </a:extLst>
        </xdr:cNvPr>
        <xdr:cNvGrpSpPr/>
      </xdr:nvGrpSpPr>
      <xdr:grpSpPr>
        <a:xfrm>
          <a:off x="16816391" y="403163"/>
          <a:ext cx="814660" cy="825791"/>
          <a:chOff x="17783906" y="410307"/>
          <a:chExt cx="855784" cy="808893"/>
        </a:xfrm>
      </xdr:grpSpPr>
      <xdr:sp macro="" textlink="">
        <xdr:nvSpPr>
          <xdr:cNvPr id="26" name="TextBox 25">
            <a:hlinkClick xmlns:r="http://schemas.openxmlformats.org/officeDocument/2006/relationships" r:id="rId13"/>
            <a:extLst>
              <a:ext uri="{FF2B5EF4-FFF2-40B4-BE49-F238E27FC236}">
                <a16:creationId xmlns:a16="http://schemas.microsoft.com/office/drawing/2014/main" id="{DDAC2D3E-CD13-430B-87D1-113C6034B163}"/>
              </a:ext>
            </a:extLst>
          </xdr:cNvPr>
          <xdr:cNvSpPr txBox="1"/>
        </xdr:nvSpPr>
        <xdr:spPr>
          <a:xfrm>
            <a:off x="17783906" y="895643"/>
            <a:ext cx="855784" cy="323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solidFill>
                  <a:schemeClr val="bg1"/>
                </a:solidFill>
                <a:latin typeface="Aptos" panose="020B0004020202020204" pitchFamily="34" charset="0"/>
              </a:rPr>
              <a:t>Triagem</a:t>
            </a:r>
          </a:p>
        </xdr:txBody>
      </xdr:sp>
      <xdr:pic>
        <xdr:nvPicPr>
          <xdr:cNvPr id="28" name="Graphic 27" descr="List outline">
            <a:extLst>
              <a:ext uri="{FF2B5EF4-FFF2-40B4-BE49-F238E27FC236}">
                <a16:creationId xmlns:a16="http://schemas.microsoft.com/office/drawing/2014/main" id="{9EAE5913-9D46-766F-8287-86B899DEF454}"/>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7901138" y="410307"/>
            <a:ext cx="539260" cy="531557"/>
          </a:xfrm>
          <a:prstGeom prst="rect">
            <a:avLst/>
          </a:prstGeom>
        </xdr:spPr>
      </xdr:pic>
    </xdr:grpSp>
    <xdr:clientData/>
  </xdr:twoCellAnchor>
  <xdr:twoCellAnchor>
    <xdr:from>
      <xdr:col>8</xdr:col>
      <xdr:colOff>293076</xdr:colOff>
      <xdr:row>20</xdr:row>
      <xdr:rowOff>155526</xdr:rowOff>
    </xdr:from>
    <xdr:to>
      <xdr:col>9</xdr:col>
      <xdr:colOff>761999</xdr:colOff>
      <xdr:row>21</xdr:row>
      <xdr:rowOff>167249</xdr:rowOff>
    </xdr:to>
    <xdr:sp macro="" textlink="">
      <xdr:nvSpPr>
        <xdr:cNvPr id="38" name="Flowchart: Connector 37">
          <a:extLst>
            <a:ext uri="{FF2B5EF4-FFF2-40B4-BE49-F238E27FC236}">
              <a16:creationId xmlns:a16="http://schemas.microsoft.com/office/drawing/2014/main" id="{2F1E3C2D-4D87-418F-A855-322B4E2762CE}"/>
            </a:ext>
          </a:extLst>
        </xdr:cNvPr>
        <xdr:cNvSpPr/>
      </xdr:nvSpPr>
      <xdr:spPr>
        <a:xfrm>
          <a:off x="13704276" y="7826326"/>
          <a:ext cx="1088683" cy="316523"/>
        </a:xfrm>
        <a:prstGeom prst="flowChartConnector">
          <a:avLst/>
        </a:prstGeom>
        <a:solidFill>
          <a:srgbClr val="FFC000"/>
        </a:solid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i="0">
              <a:solidFill>
                <a:srgbClr val="993300"/>
              </a:solidFill>
              <a:latin typeface="Aptos" panose="020B0004020202020204" pitchFamily="34" charset="0"/>
            </a:rPr>
            <a:t>+info</a:t>
          </a:r>
        </a:p>
      </xdr:txBody>
    </xdr:sp>
    <xdr:clientData/>
  </xdr:twoCellAnchor>
  <xdr:twoCellAnchor editAs="oneCell">
    <xdr:from>
      <xdr:col>0</xdr:col>
      <xdr:colOff>234462</xdr:colOff>
      <xdr:row>167</xdr:row>
      <xdr:rowOff>222738</xdr:rowOff>
    </xdr:from>
    <xdr:to>
      <xdr:col>2</xdr:col>
      <xdr:colOff>715108</xdr:colOff>
      <xdr:row>170</xdr:row>
      <xdr:rowOff>222738</xdr:rowOff>
    </xdr:to>
    <xdr:pic>
      <xdr:nvPicPr>
        <xdr:cNvPr id="3" name="Graphic 2" descr="CheckList outline">
          <a:hlinkClick xmlns:r="http://schemas.openxmlformats.org/officeDocument/2006/relationships" r:id="rId1"/>
          <a:extLst>
            <a:ext uri="{FF2B5EF4-FFF2-40B4-BE49-F238E27FC236}">
              <a16:creationId xmlns:a16="http://schemas.microsoft.com/office/drawing/2014/main" id="{80D9BBD5-4A30-17F0-DE5B-7C8287179842}"/>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234462" y="99610984"/>
          <a:ext cx="914400" cy="914400"/>
        </a:xfrm>
        <a:prstGeom prst="rect">
          <a:avLst/>
        </a:prstGeom>
      </xdr:spPr>
    </xdr:pic>
    <xdr:clientData/>
  </xdr:twoCellAnchor>
  <xdr:twoCellAnchor editAs="oneCell">
    <xdr:from>
      <xdr:col>4</xdr:col>
      <xdr:colOff>187569</xdr:colOff>
      <xdr:row>1</xdr:row>
      <xdr:rowOff>140677</xdr:rowOff>
    </xdr:from>
    <xdr:to>
      <xdr:col>4</xdr:col>
      <xdr:colOff>890954</xdr:colOff>
      <xdr:row>1</xdr:row>
      <xdr:rowOff>844062</xdr:rowOff>
    </xdr:to>
    <xdr:pic>
      <xdr:nvPicPr>
        <xdr:cNvPr id="18" name="Graphic 17" descr="Bus outline">
          <a:extLst>
            <a:ext uri="{FF2B5EF4-FFF2-40B4-BE49-F238E27FC236}">
              <a16:creationId xmlns:a16="http://schemas.microsoft.com/office/drawing/2014/main" id="{E2BE7BF3-688C-FD39-6DA1-0928DE17EAA3}"/>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5697415" y="445477"/>
          <a:ext cx="703385" cy="7033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iago\Desktop\Calculadora%20APA\Base\ferramenta_ghg_protocol_v2023.0.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My%20Drive\Work\Projects\APA\APA%20-%20proj\calculadora_hc_tcm30-485617.xlsx" TargetMode="External"/><Relationship Id="rId1" Type="http://schemas.openxmlformats.org/officeDocument/2006/relationships/externalLinkPath" Target="file:///G:\My%20Drive\Work\Projects\APA\APA%20-%20proj\calculadora_hc_tcm30-4856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iago\Desktop\Calculadora%20APA\Trabalho\Calculadora%20do%20Pro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de agricultura"/>
      <sheetName val="Mudança no uso do solo"/>
      <sheetName val="Resíduos sólidos"/>
      <sheetName val="Efluentes"/>
      <sheetName val="En. elétrica (localização)"/>
      <sheetName val="Perdas T&amp;D (abord. localização)"/>
      <sheetName val="Compra de Energia Térmica"/>
      <sheetName val="En. elétrica(escolha de compra)"/>
      <sheetName val="Perdas T&amp;D (escolha de compra)"/>
      <sheetName val="Categorias de Escopo 3"/>
      <sheetName val="Transp.&amp; Distribuição(Upstream)"/>
      <sheetName val="Resíduos sólidos da operação"/>
      <sheetName val="Efluentes gerados na operação"/>
      <sheetName val="Viagens a Negócios"/>
      <sheetName val="Deslocamento casa-trabalho"/>
      <sheetName val="Transp&amp;Distribuição(Downstream)"/>
      <sheetName val="Resumo"/>
      <sheetName val="Registro Público de Emissões"/>
      <sheetName val="Fatores de Emissão"/>
      <sheetName val="Fatores Variáveis"/>
      <sheetName val="Fugitivas - GEE não Quioto"/>
      <sheetName val="Aeroportos"/>
      <sheetName val="Fatores de conversão"/>
    </sheetNames>
    <sheetDataSet>
      <sheetData sheetId="0" refreshError="1"/>
      <sheetData sheetId="1" refreshError="1">
        <row r="11">
          <cell r="B11" t="str">
            <v>Versão 2023.0.1</v>
          </cell>
        </row>
      </sheetData>
      <sheetData sheetId="2" refreshError="1"/>
      <sheetData sheetId="3" refreshError="1">
        <row r="25">
          <cell r="E25">
            <v>2022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IDO"/>
      <sheetName val="1.Datos generales organización "/>
      <sheetName val="2. Hoja de trabajo. Consumos"/>
      <sheetName val="3. Instalaciones fijas"/>
      <sheetName val="4. Vehículos y maquinaria"/>
      <sheetName val="5. Emisiones Fugitivas"/>
      <sheetName val="6. Emisiones de proceso"/>
      <sheetName val="7. Información adicional"/>
      <sheetName val="8.Electricidad y otras energías"/>
      <sheetName val="9. Informe final. Resultados"/>
      <sheetName val="10. Factores de emisión"/>
      <sheetName val="11. Revisiones calculadora"/>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0">
          <cell r="C710" t="str">
            <v>CO2</v>
          </cell>
        </row>
        <row r="711">
          <cell r="C711" t="str">
            <v>CH4</v>
          </cell>
        </row>
        <row r="712">
          <cell r="C712" t="str">
            <v>N2O</v>
          </cell>
        </row>
        <row r="713">
          <cell r="C713" t="str">
            <v>SF6</v>
          </cell>
        </row>
        <row r="714">
          <cell r="C714" t="str">
            <v>NF3</v>
          </cell>
        </row>
        <row r="715">
          <cell r="C715" t="str">
            <v>HCFE-235da2</v>
          </cell>
        </row>
        <row r="716">
          <cell r="C716" t="str">
            <v>HFE-236ea2</v>
          </cell>
        </row>
        <row r="717">
          <cell r="C717" t="str">
            <v>HFE-347mmz1</v>
          </cell>
        </row>
        <row r="718">
          <cell r="C718" t="str">
            <v>C2F6(PFC-116)</v>
          </cell>
        </row>
        <row r="719">
          <cell r="C719" t="str">
            <v>C3F8 (PFC-218)</v>
          </cell>
        </row>
        <row r="720">
          <cell r="C720" t="str">
            <v>Otro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trodução"/>
      <sheetName val="Combustão estacionária"/>
      <sheetName val="Combustão móvel"/>
      <sheetName val="Emissões fugitivas"/>
      <sheetName val="Processos industriais"/>
      <sheetName val="Agrícolas e uso do solo"/>
      <sheetName val="Resíduos sólidos"/>
      <sheetName val="Listas"/>
      <sheetName val="Efluentes"/>
      <sheetName val="Compra de Energia Elétrica"/>
      <sheetName val="Compra de Energia Térmica"/>
      <sheetName val="Transp.&amp; Distribuição(Upstream)"/>
      <sheetName val="Resíduos sólidos da operação"/>
      <sheetName val="Efluentes gerados na operação"/>
      <sheetName val="Viagens a negócios"/>
      <sheetName val="Fatores de Emissão"/>
      <sheetName val="Permuta casa-trabalho"/>
      <sheetName val="Transp&amp;Distribuição(Downstream)"/>
      <sheetName val="Categorias de Ambito 3"/>
      <sheetName val="Resumo"/>
      <sheetName val="GRI"/>
      <sheetName val="Conversão Unidades"/>
    </sheetNames>
    <sheetDataSet>
      <sheetData sheetId="0"/>
      <sheetData sheetId="1"/>
      <sheetData sheetId="2"/>
      <sheetData sheetId="3"/>
      <sheetData sheetId="4"/>
      <sheetData sheetId="5"/>
      <sheetData sheetId="6"/>
      <sheetData sheetId="7"/>
      <sheetData sheetId="8">
        <row r="2">
          <cell r="D2" t="str">
            <v>Selecione o setor</v>
          </cell>
        </row>
        <row r="3">
          <cell r="D3" t="str">
            <v>Energia</v>
          </cell>
        </row>
        <row r="4">
          <cell r="D4" t="str">
            <v>Manufatura ou Construção</v>
          </cell>
        </row>
        <row r="5">
          <cell r="D5" t="str">
            <v>Comercial ou Institucional</v>
          </cell>
        </row>
        <row r="6">
          <cell r="D6" t="str">
            <v>Residencial, Agricultura, Florestal ou Pesca</v>
          </cell>
        </row>
      </sheetData>
      <sheetData sheetId="9"/>
      <sheetData sheetId="10"/>
      <sheetData sheetId="11"/>
      <sheetData sheetId="12">
        <row r="350">
          <cell r="F350">
            <v>0</v>
          </cell>
        </row>
      </sheetData>
      <sheetData sheetId="13"/>
      <sheetData sheetId="14"/>
      <sheetData sheetId="15"/>
      <sheetData sheetId="16">
        <row r="235">
          <cell r="E235">
            <v>1</v>
          </cell>
        </row>
        <row r="236">
          <cell r="E236">
            <v>25</v>
          </cell>
        </row>
        <row r="237">
          <cell r="E237">
            <v>298</v>
          </cell>
        </row>
      </sheetData>
      <sheetData sheetId="17"/>
      <sheetData sheetId="18"/>
      <sheetData sheetId="19"/>
      <sheetData sheetId="20"/>
      <sheetData sheetId="21"/>
      <sheetData sheetId="22"/>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Ricardo da Silva Vieira" id="{8ACBE6CD-2E6B-4A5E-A213-E8F9C2DFCBCD}" userId="f23a8ae3181923b9" providerId="Windows Live"/>
</personList>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5" dT="2025-08-18T09:48:39.22" personId="{8ACBE6CD-2E6B-4A5E-A213-E8F9C2DFCBCD}" id="{3C4C21E3-CC7F-446E-8895-7B1A16DD8479}">
    <text>De acordo com os dados do INE: nr de veiculos? Fração de energia consumida?</text>
  </threadedComment>
  <threadedComment ref="C55" dT="2025-08-18T09:50:24.81" personId="{8ACBE6CD-2E6B-4A5E-A213-E8F9C2DFCBCD}" id="{FE7F05C8-D3DC-40F6-822D-5BD5DF02E401}">
    <text xml:space="preserve">Não estão a somar 100%
</text>
  </threadedComment>
</ThreadedComments>
</file>

<file path=xl/threadedComments/threadedComment2.xml><?xml version="1.0" encoding="utf-8"?>
<ThreadedComments xmlns="http://schemas.microsoft.com/office/spreadsheetml/2018/threadedcomments" xmlns:x="http://schemas.openxmlformats.org/spreadsheetml/2006/main">
  <threadedComment ref="N9" dT="2025-08-18T09:44:33.40" personId="{8ACBE6CD-2E6B-4A5E-A213-E8F9C2DFCBCD}" id="{5E063AF3-8001-44B0-92A8-B24691D8F44E}">
    <text>As contas aqui não parecem bem</text>
  </threadedComment>
  <threadedComment ref="B37" dT="2025-08-18T09:48:39.22" personId="{8ACBE6CD-2E6B-4A5E-A213-E8F9C2DFCBCD}" id="{6475BE41-950B-40C2-8497-9C5A3223F1B3}">
    <text>De acordo com os dados do INE: nr de veiculos? Fração de energia consumida?</text>
  </threadedComment>
  <threadedComment ref="C54" dT="2025-08-18T09:50:24.81" personId="{8ACBE6CD-2E6B-4A5E-A213-E8F9C2DFCBCD}" id="{E6523AC6-E7FA-4DD3-9F09-E338B95FB770}">
    <text xml:space="preserve">Não estão a somar 100%
</text>
  </threadedComment>
</ThreadedComments>
</file>

<file path=xl/threadedComments/threadedComment3.xml><?xml version="1.0" encoding="utf-8"?>
<ThreadedComments xmlns="http://schemas.microsoft.com/office/spreadsheetml/2018/threadedcomments" xmlns:x="http://schemas.openxmlformats.org/spreadsheetml/2006/main">
  <threadedComment ref="N8" dT="2025-08-18T09:44:33.40" personId="{8ACBE6CD-2E6B-4A5E-A213-E8F9C2DFCBCD}" id="{71B90404-3B8A-4985-B586-0740D58446ED}">
    <text>As contas aqui não parecem bem</text>
  </threadedComment>
  <threadedComment ref="B37" dT="2025-08-18T09:48:39.22" personId="{8ACBE6CD-2E6B-4A5E-A213-E8F9C2DFCBCD}" id="{5AEF9992-66CD-4B04-9562-DD197F5D1CE6}">
    <text>De acordo com os dados do INE: nr de veiculos? Fração de energia consumida?</text>
  </threadedComment>
  <threadedComment ref="C53" dT="2025-08-18T09:50:24.81" personId="{8ACBE6CD-2E6B-4A5E-A213-E8F9C2DFCBCD}" id="{F8CBAFC5-09CA-4CD1-816C-82BB88FD9323}">
    <text xml:space="preserve">Não estão a somar 100%
</text>
  </threadedComment>
</ThreadedComments>
</file>

<file path=xl/threadedComments/threadedComment4.xml><?xml version="1.0" encoding="utf-8"?>
<ThreadedComments xmlns="http://schemas.microsoft.com/office/spreadsheetml/2018/threadedcomments" xmlns:x="http://schemas.openxmlformats.org/spreadsheetml/2006/main">
  <threadedComment ref="B26" dT="2025-08-18T09:48:39.22" personId="{8ACBE6CD-2E6B-4A5E-A213-E8F9C2DFCBCD}" id="{0EF9A538-2EA2-4B8E-8958-8BB1D19CACB5}">
    <text>De acordo com os dados do INE: nr de veiculos? Fração de energia consumida?</text>
  </threadedComment>
</ThreadedComments>
</file>

<file path=xl/threadedComments/threadedComment5.xml><?xml version="1.0" encoding="utf-8"?>
<ThreadedComments xmlns="http://schemas.microsoft.com/office/spreadsheetml/2018/threadedcomments" xmlns:x="http://schemas.openxmlformats.org/spreadsheetml/2006/main">
  <threadedComment ref="B42" dT="2025-08-18T09:48:39.22" personId="{8ACBE6CD-2E6B-4A5E-A213-E8F9C2DFCBCD}" id="{1BF180F8-CE75-48F7-BF69-6A474BA33191}">
    <text>De acordo com os dados do INE: nr de veiculos? Fração de energia consumida?</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bin"/><Relationship Id="rId4" Type="http://schemas.microsoft.com/office/2017/10/relationships/threadedComment" Target="../threadedComments/threadedComment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hyperlink" Target="https://www.ine.pt/xportal/xmain?xpid=INE&amp;xpgid=ine_publicacoes&amp;PUBLICACOESpub_boui=349495406&amp;PUBLICACOESmodo=2&amp;xlang=pt"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8.bin"/><Relationship Id="rId4" Type="http://schemas.microsoft.com/office/2017/10/relationships/threadedComment" Target="../threadedComments/threadedComment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eib.org/en/publications/20220215-eib-project-carbon-footprint-methodologies" TargetMode="External"/><Relationship Id="rId13" Type="http://schemas.openxmlformats.org/officeDocument/2006/relationships/hyperlink" Target="https://www.infraestruturasdeportugal.pt/pt-pt/terminologia?letter=M" TargetMode="External"/><Relationship Id="rId3" Type="http://schemas.openxmlformats.org/officeDocument/2006/relationships/hyperlink" Target="https://www.eib.org/en/publications/20220215-eib-project-carbon-footprint-methodologies" TargetMode="External"/><Relationship Id="rId7" Type="http://schemas.openxmlformats.org/officeDocument/2006/relationships/hyperlink" Target="https://www.eib.org/en/publications/20220215-eib-project-carbon-footprint-methodologies" TargetMode="External"/><Relationship Id="rId12" Type="http://schemas.openxmlformats.org/officeDocument/2006/relationships/hyperlink" Target="https://www.eib.org/en/publications/20220215-eib-project-carbon-footprint-methodologies" TargetMode="External"/><Relationship Id="rId2" Type="http://schemas.openxmlformats.org/officeDocument/2006/relationships/hyperlink" Target="https://www.eib.org/en/publications/20220215-eib-project-carbon-footprint-methodologies" TargetMode="External"/><Relationship Id="rId16" Type="http://schemas.openxmlformats.org/officeDocument/2006/relationships/drawing" Target="../drawings/drawing15.xml"/><Relationship Id="rId1" Type="http://schemas.openxmlformats.org/officeDocument/2006/relationships/hyperlink" Target="https://www.amt-autoridade.pt/media/4491/amt05012023_.pdf" TargetMode="External"/><Relationship Id="rId6" Type="http://schemas.openxmlformats.org/officeDocument/2006/relationships/hyperlink" Target="https://www.eib.org/en/publications/20220215-eib-project-carbon-footprint-methodologies" TargetMode="External"/><Relationship Id="rId11" Type="http://schemas.openxmlformats.org/officeDocument/2006/relationships/hyperlink" Target="https://ra2019.ine.pt/xportal/xmain?xpid=INE&amp;xpgid=ine_faqs&amp;FAQSfaq_boui=655407417&amp;FAQSmodo=1&amp;xlang=pt" TargetMode="External"/><Relationship Id="rId5" Type="http://schemas.openxmlformats.org/officeDocument/2006/relationships/hyperlink" Target="https://www.eib.org/en/publications/20220215-eib-project-carbon-footprint-methodologies" TargetMode="External"/><Relationship Id="rId15" Type="http://schemas.openxmlformats.org/officeDocument/2006/relationships/hyperlink" Target="https://smi.ine.pt/Versao/Detalhes/5215" TargetMode="External"/><Relationship Id="rId10" Type="http://schemas.openxmlformats.org/officeDocument/2006/relationships/hyperlink" Target="https://files.sciencebasedtargets.org/production/files/Land-Transport-Guidance.pdf" TargetMode="External"/><Relationship Id="rId4" Type="http://schemas.openxmlformats.org/officeDocument/2006/relationships/hyperlink" Target="https://www.eib.org/en/publications/20220215-eib-project-carbon-footprint-methodologies" TargetMode="External"/><Relationship Id="rId9" Type="http://schemas.openxmlformats.org/officeDocument/2006/relationships/hyperlink" Target="https://www.eib.org/en/publications/20220215-eib-project-carbon-footprint-methodologies" TargetMode="External"/><Relationship Id="rId14" Type="http://schemas.openxmlformats.org/officeDocument/2006/relationships/hyperlink" Target="https://www.itf-oecd.org/sites/default/files/docs/glossary-transport-statistics.pdf"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oecd.org/content/dam/oecd/en/publications/reports/2024/06/greener-micromobility_5161b98f/9aa6e85a-en.pdf" TargetMode="External"/><Relationship Id="rId13" Type="http://schemas.openxmlformats.org/officeDocument/2006/relationships/hyperlink" Target="https://www.ine.pt/xportal/xmain?xpid=INE&amp;xpgid=ine_destaques&amp;DESTAQUESdest_boui=334619442&amp;DESTAQUESmodo=2&amp;xlang=pt" TargetMode="External"/><Relationship Id="rId18" Type="http://schemas.openxmlformats.org/officeDocument/2006/relationships/drawing" Target="../drawings/drawing16.xml"/><Relationship Id="rId3" Type="http://schemas.openxmlformats.org/officeDocument/2006/relationships/hyperlink" Target="https://www.itf-oecd.org/good-go-assessing-environmental-performance-new-mobility" TargetMode="External"/><Relationship Id="rId7" Type="http://schemas.openxmlformats.org/officeDocument/2006/relationships/hyperlink" Target="https://www.oecd.org/content/dam/oecd/en/publications/reports/2024/06/greener-micromobility_5161b98f/9aa6e85a-en.pdf" TargetMode="External"/><Relationship Id="rId12" Type="http://schemas.openxmlformats.org/officeDocument/2006/relationships/hyperlink" Target="https://www.gov.uk/government/publications/greenhouse-gas-reporting-conversion-factors-2025" TargetMode="External"/><Relationship Id="rId17" Type="http://schemas.openxmlformats.org/officeDocument/2006/relationships/printerSettings" Target="../printerSettings/printerSettings9.bin"/><Relationship Id="rId2" Type="http://schemas.openxmlformats.org/officeDocument/2006/relationships/hyperlink" Target="https://www.itf-oecd.org/good-to-go-environmental-performance-new-mobility" TargetMode="External"/><Relationship Id="rId16" Type="http://schemas.openxmlformats.org/officeDocument/2006/relationships/hyperlink" Target="https://www.ine.pt/xportal/xmain?xpid=INE&amp;xpgid=ine_destaques&amp;DESTAQUESdest_boui=334619442&amp;DESTAQUESmodo=2&amp;xlang=pt" TargetMode="External"/><Relationship Id="rId20" Type="http://schemas.openxmlformats.org/officeDocument/2006/relationships/comments" Target="../comments14.xml"/><Relationship Id="rId1" Type="http://schemas.openxmlformats.org/officeDocument/2006/relationships/hyperlink" Target="https://ttsl.pt/empresa/financiamento-europeu/saiba-mais-sobre-a-nova-frota-100-eletrica/" TargetMode="External"/><Relationship Id="rId6" Type="http://schemas.openxmlformats.org/officeDocument/2006/relationships/hyperlink" Target="https://www.oecd.org/content/dam/oecd/en/publications/reports/2024/06/greener-micromobility_5161b98f/9aa6e85a-en.pdf" TargetMode="External"/><Relationship Id="rId11" Type="http://schemas.openxmlformats.org/officeDocument/2006/relationships/hyperlink" Target="https://www.gov.uk/government/publications/greenhouse-gas-reporting-conversion-factors-2025" TargetMode="External"/><Relationship Id="rId5" Type="http://schemas.openxmlformats.org/officeDocument/2006/relationships/hyperlink" Target="https://apambiente.pt/sites/default/files/_Clima/Inventarios/20250808/fe_gee_eletricidade_2025_final_apc.pdf" TargetMode="External"/><Relationship Id="rId15" Type="http://schemas.openxmlformats.org/officeDocument/2006/relationships/hyperlink" Target="https://www.ine.pt/xportal/xmain?xpid=INE&amp;xpgid=ine_destaques&amp;DESTAQUESdest_boui=334619442&amp;DESTAQUESmodo=2&amp;xlang=pt" TargetMode="External"/><Relationship Id="rId10" Type="http://schemas.openxmlformats.org/officeDocument/2006/relationships/hyperlink" Target="https://api.environdec.com/api/v1/EPDLibrary/Files/72e66890-a122-4323-c413-08dc95fad0b1/Data" TargetMode="External"/><Relationship Id="rId19" Type="http://schemas.openxmlformats.org/officeDocument/2006/relationships/vmlDrawing" Target="../drawings/vmlDrawing14.vml"/><Relationship Id="rId4" Type="http://schemas.openxmlformats.org/officeDocument/2006/relationships/hyperlink" Target="https://www.cp.pt/info/w/annual-reports" TargetMode="External"/><Relationship Id="rId9" Type="http://schemas.openxmlformats.org/officeDocument/2006/relationships/hyperlink" Target="https://www.gov.uk/government/publications/greenhouse-gas-reporting-conversion-factors-2025" TargetMode="External"/><Relationship Id="rId14" Type="http://schemas.openxmlformats.org/officeDocument/2006/relationships/hyperlink" Target="https://www.ine.pt/xportal/xmain?xpid=INE&amp;xpgid=ine_destaques&amp;DESTAQUESdest_boui=334619442&amp;DESTAQUESmodo=2&amp;xlang=pt"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portugal2030.pt/contacto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eib.org/en/publications/the-eib-group-climate-bank-roadmap" TargetMode="External"/><Relationship Id="rId2" Type="http://schemas.openxmlformats.org/officeDocument/2006/relationships/hyperlink" Target="https://portugal2030.pt/wp-content/uploads/sites/3/2023/03/2021_c373_01.pdf" TargetMode="External"/><Relationship Id="rId1" Type="http://schemas.openxmlformats.org/officeDocument/2006/relationships/hyperlink" Target="https://www.eib.org/en/publications/20220215-eib-project-carbon-footprint-methodologi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sciencedirect.com/science/article/pii/S0966692323001230" TargetMode="External"/><Relationship Id="rId1" Type="http://schemas.openxmlformats.org/officeDocument/2006/relationships/hyperlink" Target="https://www.ine.pt/xportal/xmain?xpid=INE&amp;xpgid=ine_publicacoes&amp;PUBLICACOESpub_boui=349495406&amp;PUBLICACOESmodo=2&amp;xlang=p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FE0A4-A6B4-4EA6-8B64-D89DF99637DC}">
  <sheetPr>
    <tabColor theme="1"/>
  </sheetPr>
  <dimension ref="B1:W48"/>
  <sheetViews>
    <sheetView showGridLines="0" tabSelected="1" zoomScale="80" zoomScaleNormal="80" workbookViewId="0">
      <selection activeCell="B13" sqref="B13:W13"/>
    </sheetView>
  </sheetViews>
  <sheetFormatPr defaultColWidth="8.7109375" defaultRowHeight="0" customHeight="1" zeroHeight="1" x14ac:dyDescent="0.3"/>
  <cols>
    <col min="1" max="26" width="8.7109375" style="26" customWidth="1"/>
    <col min="27" max="16384" width="8.7109375" style="26"/>
  </cols>
  <sheetData>
    <row r="1" spans="2:23" ht="18.75" x14ac:dyDescent="0.3"/>
    <row r="2" spans="2:23" ht="18.75" x14ac:dyDescent="0.3"/>
    <row r="3" spans="2:23" ht="18.75" x14ac:dyDescent="0.3"/>
    <row r="4" spans="2:23" ht="18.75" x14ac:dyDescent="0.3"/>
    <row r="5" spans="2:23" ht="18.75" x14ac:dyDescent="0.3"/>
    <row r="6" spans="2:23" ht="18.75" x14ac:dyDescent="0.3"/>
    <row r="7" spans="2:23" ht="18.75" x14ac:dyDescent="0.3"/>
    <row r="8" spans="2:23" ht="18.75" x14ac:dyDescent="0.3">
      <c r="B8"/>
    </row>
    <row r="9" spans="2:23" ht="18.75" x14ac:dyDescent="0.3"/>
    <row r="10" spans="2:23" ht="23.25" x14ac:dyDescent="0.35">
      <c r="B10" s="79"/>
    </row>
    <row r="11" spans="2:23" ht="18.75" x14ac:dyDescent="0.3">
      <c r="B11" s="80"/>
    </row>
    <row r="12" spans="2:23" ht="41.45" customHeight="1" x14ac:dyDescent="0.3">
      <c r="B12" s="1263"/>
      <c r="C12" s="1263"/>
      <c r="D12" s="1263"/>
      <c r="E12" s="1263"/>
      <c r="F12" s="1263"/>
      <c r="G12" s="1263"/>
      <c r="H12" s="1263"/>
      <c r="I12" s="1263"/>
      <c r="J12" s="1263"/>
      <c r="K12" s="1263"/>
      <c r="L12" s="1263"/>
      <c r="M12" s="1263"/>
      <c r="N12" s="1263"/>
      <c r="O12" s="1263"/>
      <c r="P12" s="1263"/>
      <c r="Q12" s="1263"/>
      <c r="R12" s="1263"/>
      <c r="S12" s="1263"/>
      <c r="T12" s="1263"/>
      <c r="U12" s="1263"/>
      <c r="V12" s="1263"/>
      <c r="W12" s="1263"/>
    </row>
    <row r="13" spans="2:23" ht="34.9" customHeight="1" x14ac:dyDescent="0.3">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row>
    <row r="14" spans="2:23" ht="12.6" customHeight="1" x14ac:dyDescent="0.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row>
    <row r="15" spans="2:23" ht="36.6" customHeight="1" x14ac:dyDescent="0.3">
      <c r="B15" s="1263"/>
      <c r="C15" s="1263"/>
      <c r="D15" s="1263"/>
      <c r="E15" s="1263"/>
      <c r="F15" s="1263"/>
      <c r="G15" s="1263"/>
      <c r="H15" s="1263"/>
      <c r="I15" s="1263"/>
      <c r="J15" s="1263"/>
      <c r="K15" s="1263"/>
      <c r="L15" s="1263"/>
      <c r="M15" s="1263"/>
      <c r="N15" s="1263"/>
      <c r="O15" s="1263"/>
      <c r="P15" s="1263"/>
      <c r="Q15" s="1263"/>
      <c r="R15" s="1263"/>
      <c r="S15" s="1263"/>
      <c r="T15" s="1263"/>
      <c r="U15" s="1263"/>
      <c r="V15" s="1263"/>
      <c r="W15" s="1263"/>
    </row>
    <row r="16" spans="2:23" ht="24.6" customHeight="1" x14ac:dyDescent="0.3">
      <c r="B16" s="81"/>
      <c r="C16" s="81"/>
      <c r="D16" s="81"/>
      <c r="E16" s="81"/>
      <c r="F16" s="81"/>
      <c r="G16" s="81"/>
      <c r="H16" s="81"/>
      <c r="I16" s="81"/>
      <c r="J16" s="81"/>
      <c r="K16" s="81"/>
      <c r="L16" s="81"/>
      <c r="M16" s="81"/>
      <c r="N16" s="81"/>
      <c r="O16" s="81"/>
      <c r="P16" s="81"/>
      <c r="Q16" s="81"/>
      <c r="R16" s="81"/>
      <c r="S16" s="81"/>
      <c r="T16" s="81"/>
      <c r="U16" s="81"/>
      <c r="V16" s="81"/>
      <c r="W16" s="81"/>
    </row>
    <row r="17" spans="2:23" ht="24.6" customHeight="1" x14ac:dyDescent="0.3">
      <c r="B17" s="81"/>
      <c r="C17" s="81"/>
      <c r="D17" s="81"/>
      <c r="E17" s="81"/>
      <c r="F17" s="81"/>
      <c r="G17" s="81"/>
      <c r="H17" s="81"/>
      <c r="I17" s="81"/>
      <c r="J17" s="81"/>
      <c r="K17" s="81"/>
      <c r="L17" s="81"/>
      <c r="M17" s="81"/>
      <c r="N17" s="81"/>
      <c r="O17" s="81"/>
      <c r="P17" s="81"/>
      <c r="Q17" s="81"/>
      <c r="R17" s="81"/>
      <c r="S17" s="81"/>
      <c r="T17" s="81"/>
      <c r="U17" s="81"/>
      <c r="V17" s="81"/>
      <c r="W17" s="81"/>
    </row>
    <row r="18" spans="2:23" ht="43.15" customHeight="1" x14ac:dyDescent="0.3">
      <c r="B18" s="81"/>
      <c r="C18" s="81"/>
      <c r="D18" s="81"/>
      <c r="E18" s="81"/>
      <c r="F18" s="81"/>
      <c r="G18" s="81"/>
      <c r="H18" s="81"/>
      <c r="I18" s="81"/>
      <c r="J18" s="81"/>
      <c r="K18" s="81"/>
      <c r="L18" s="81"/>
      <c r="M18" s="81"/>
      <c r="N18" s="81"/>
      <c r="O18" s="81"/>
      <c r="P18" s="81"/>
      <c r="Q18" s="81"/>
      <c r="R18" s="81"/>
      <c r="S18" s="81"/>
      <c r="T18" s="81"/>
      <c r="U18" s="81"/>
      <c r="V18" s="81"/>
      <c r="W18" s="81"/>
    </row>
    <row r="19" spans="2:23" ht="18.75" x14ac:dyDescent="0.3"/>
    <row r="20" spans="2:23" ht="18.75" x14ac:dyDescent="0.3"/>
    <row r="21" spans="2:23" ht="18.75" x14ac:dyDescent="0.3"/>
    <row r="22" spans="2:23" ht="18.75" x14ac:dyDescent="0.3"/>
    <row r="23" spans="2:23" ht="18.75" x14ac:dyDescent="0.3"/>
    <row r="24" spans="2:23" ht="18.75" x14ac:dyDescent="0.3"/>
    <row r="25" spans="2:23" ht="18.75" x14ac:dyDescent="0.3"/>
    <row r="26" spans="2:23" ht="18.75" x14ac:dyDescent="0.3"/>
    <row r="27" spans="2:23" ht="18.75" x14ac:dyDescent="0.3"/>
    <row r="28" spans="2:23" ht="14.45" customHeight="1" x14ac:dyDescent="0.3"/>
    <row r="29" spans="2:23" ht="14.45" customHeight="1" x14ac:dyDescent="0.3"/>
    <row r="30" spans="2:23" ht="14.45" customHeight="1" x14ac:dyDescent="0.3"/>
    <row r="31" spans="2:23" ht="14.45" customHeight="1" x14ac:dyDescent="0.3"/>
    <row r="32" spans="2:23"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row r="41" ht="14.45" customHeight="1" x14ac:dyDescent="0.3"/>
    <row r="42" ht="14.45" customHeight="1" x14ac:dyDescent="0.3"/>
    <row r="43" ht="14.45" customHeight="1" x14ac:dyDescent="0.3"/>
    <row r="44" ht="14.45" customHeight="1" x14ac:dyDescent="0.3"/>
    <row r="45" ht="14.45" customHeight="1" x14ac:dyDescent="0.3"/>
    <row r="46" ht="14.45" customHeight="1" x14ac:dyDescent="0.3"/>
    <row r="47" ht="14.45" customHeight="1" x14ac:dyDescent="0.3"/>
    <row r="48" ht="14.45" customHeight="1" x14ac:dyDescent="0.3"/>
  </sheetData>
  <sheetProtection algorithmName="SHA-512" hashValue="WjQwExcu12+X1iEdjklqnHF7poY8QUNvKlsZZpvicrKef/yQK/gn26EbnX06KoOkoKcxjbNXLr0kVHuuK3/8yg==" saltValue="sy4zlG19h4qxqXRA/k+x/Q==" spinCount="100000" sheet="1" objects="1" scenarios="1" selectLockedCells="1" selectUnlockedCells="1"/>
  <mergeCells count="4">
    <mergeCell ref="B12:W12"/>
    <mergeCell ref="B13:W13"/>
    <mergeCell ref="B14:W14"/>
    <mergeCell ref="B15:W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B6845-49FD-47F2-BDFC-1428921D62A0}">
  <sheetPr codeName="Sheet13">
    <tabColor rgb="FF02A39C"/>
  </sheetPr>
  <dimension ref="A2:U164"/>
  <sheetViews>
    <sheetView showGridLines="0" zoomScale="64" zoomScaleNormal="64" workbookViewId="0">
      <pane ySplit="3" topLeftCell="A4" activePane="bottomLeft" state="frozen"/>
      <selection activeCell="D13" sqref="D13"/>
      <selection pane="bottomLeft" activeCell="K6" sqref="K6:L6"/>
    </sheetView>
  </sheetViews>
  <sheetFormatPr defaultRowHeight="24" customHeight="1" x14ac:dyDescent="0.25"/>
  <cols>
    <col min="1" max="1" width="3.7109375" customWidth="1"/>
    <col min="2" max="2" width="2.7109375" customWidth="1"/>
    <col min="3" max="3" width="47.7109375" customWidth="1"/>
    <col min="4" max="4" width="26.28515625" customWidth="1"/>
    <col min="5" max="5" width="37.85546875" customWidth="1"/>
    <col min="6" max="6" width="36.7109375" customWidth="1"/>
    <col min="7" max="7" width="37.7109375" customWidth="1"/>
    <col min="8" max="8" width="2.7109375" customWidth="1"/>
    <col min="9" max="9" width="9" customWidth="1"/>
    <col min="10" max="10" width="29.42578125" customWidth="1"/>
    <col min="11" max="11" width="22.7109375" customWidth="1"/>
    <col min="12" max="12" width="37.140625" customWidth="1"/>
    <col min="13" max="13" width="21.28515625" customWidth="1"/>
    <col min="14" max="14" width="36.85546875" customWidth="1"/>
    <col min="18" max="18" width="8.5703125" customWidth="1"/>
    <col min="19" max="19" width="8.85546875" customWidth="1"/>
    <col min="20" max="20" width="40.7109375" hidden="1" customWidth="1"/>
    <col min="21" max="21" width="54.7109375" hidden="1" customWidth="1"/>
  </cols>
  <sheetData>
    <row r="2" spans="1:21" s="4" customFormat="1" ht="70.150000000000006" customHeight="1" x14ac:dyDescent="0.25">
      <c r="A2" s="297"/>
      <c r="B2" s="1497" t="s">
        <v>595</v>
      </c>
      <c r="C2" s="1497"/>
      <c r="D2" s="1497"/>
      <c r="E2" s="1497"/>
      <c r="F2" s="1497"/>
      <c r="G2" s="1497"/>
      <c r="H2" s="1497"/>
      <c r="I2" s="1497"/>
      <c r="J2" s="1497"/>
      <c r="K2" s="1497"/>
      <c r="L2" s="1497"/>
      <c r="M2" s="1497"/>
      <c r="N2" s="52"/>
      <c r="O2" s="52"/>
      <c r="P2" s="52"/>
      <c r="Q2" s="52"/>
      <c r="R2" s="52"/>
      <c r="S2" s="52"/>
      <c r="T2" s="52"/>
      <c r="U2" s="52"/>
    </row>
    <row r="3" spans="1:21" ht="1.1499999999999999" customHeight="1" x14ac:dyDescent="0.25">
      <c r="B3" s="1497"/>
      <c r="C3" s="1497"/>
      <c r="D3" s="1497"/>
      <c r="E3" s="1497"/>
      <c r="F3" s="1497"/>
      <c r="G3" s="1497"/>
      <c r="H3" s="1497"/>
      <c r="I3" s="1497"/>
      <c r="J3" s="1497"/>
      <c r="K3" s="1497"/>
      <c r="L3" s="1497"/>
      <c r="M3" s="1497"/>
    </row>
    <row r="4" spans="1:21" ht="19.899999999999999" customHeight="1" x14ac:dyDescent="0.25">
      <c r="B4" s="464"/>
      <c r="C4" s="464"/>
      <c r="D4" s="464"/>
      <c r="E4" s="464"/>
      <c r="F4" s="464"/>
      <c r="G4" s="464"/>
      <c r="H4" s="464"/>
      <c r="I4" s="464"/>
      <c r="J4" s="464"/>
      <c r="K4" s="464"/>
      <c r="L4" s="464"/>
      <c r="M4" s="464"/>
    </row>
    <row r="5" spans="1:21" ht="19.899999999999999" customHeight="1" thickBot="1" x14ac:dyDescent="0.3"/>
    <row r="6" spans="1:21" ht="40.15" customHeight="1" thickBot="1" x14ac:dyDescent="0.3">
      <c r="B6" s="66"/>
      <c r="C6" s="66" t="s">
        <v>496</v>
      </c>
      <c r="D6" s="57"/>
      <c r="E6" s="57"/>
      <c r="F6" s="57"/>
      <c r="G6" s="57"/>
      <c r="H6" s="58"/>
      <c r="I6" s="56"/>
      <c r="J6" s="562" t="s">
        <v>608</v>
      </c>
      <c r="K6" s="1452" t="s">
        <v>603</v>
      </c>
      <c r="L6" s="1453"/>
    </row>
    <row r="7" spans="1:21" ht="15" customHeight="1" x14ac:dyDescent="0.25">
      <c r="B7" s="512"/>
      <c r="C7" s="56"/>
      <c r="D7" s="56"/>
      <c r="E7" s="56"/>
      <c r="F7" s="56"/>
      <c r="G7" s="56"/>
      <c r="H7" s="511"/>
      <c r="I7" s="56"/>
      <c r="J7" s="1454" t="str">
        <f>IF(K6="","",VLOOKUP(K6,T7:U9,2,FALSE))</f>
        <v>Cálculo das emissões absolutas (Ab), das emissões emissões de referência (Be) e das emissões relativas (Re= Ab - Be)  de projetos de transporte rodoviário de passageiros que impliquem transferência modal.</v>
      </c>
      <c r="K7" s="1455"/>
      <c r="L7" s="1456"/>
      <c r="O7" s="554"/>
      <c r="P7" s="554"/>
      <c r="Q7" s="554"/>
      <c r="R7" s="554"/>
      <c r="S7" s="554"/>
      <c r="T7" s="560" t="s">
        <v>603</v>
      </c>
      <c r="U7" s="554" t="s">
        <v>838</v>
      </c>
    </row>
    <row r="8" spans="1:21" ht="24" customHeight="1" x14ac:dyDescent="0.25">
      <c r="B8" s="512"/>
      <c r="C8" s="1411" t="s">
        <v>489</v>
      </c>
      <c r="D8" s="1410"/>
      <c r="E8" s="1410"/>
      <c r="F8" s="1410"/>
      <c r="G8" s="1410"/>
      <c r="H8" s="511"/>
      <c r="I8" s="56"/>
      <c r="J8" s="1457"/>
      <c r="K8" s="1458"/>
      <c r="L8" s="1459"/>
      <c r="O8" s="553"/>
      <c r="P8" s="553"/>
      <c r="Q8" s="553"/>
      <c r="R8" s="553"/>
      <c r="S8" s="553"/>
      <c r="T8" s="560" t="s">
        <v>606</v>
      </c>
      <c r="U8" s="553" t="s">
        <v>839</v>
      </c>
    </row>
    <row r="9" spans="1:21" ht="19.899999999999999" customHeight="1" x14ac:dyDescent="0.25">
      <c r="B9" s="512"/>
      <c r="C9" s="56"/>
      <c r="D9" s="56"/>
      <c r="E9" s="56"/>
      <c r="F9" s="56"/>
      <c r="G9" s="56"/>
      <c r="H9" s="511"/>
      <c r="I9" s="56"/>
      <c r="J9" s="1457"/>
      <c r="K9" s="1458"/>
      <c r="L9" s="1459"/>
      <c r="O9" s="561"/>
      <c r="P9" s="561"/>
      <c r="Q9" s="561"/>
      <c r="R9" s="561"/>
      <c r="S9" s="561"/>
      <c r="T9" s="560" t="s">
        <v>607</v>
      </c>
      <c r="U9" s="561" t="s">
        <v>727</v>
      </c>
    </row>
    <row r="10" spans="1:21" ht="24" customHeight="1" x14ac:dyDescent="0.25">
      <c r="B10" s="59"/>
      <c r="C10" s="1499" t="s">
        <v>634</v>
      </c>
      <c r="D10" s="1500"/>
      <c r="E10" s="1500"/>
      <c r="F10" s="1500"/>
      <c r="G10" s="1500"/>
      <c r="H10" s="69"/>
      <c r="I10" s="54"/>
      <c r="J10" s="1457"/>
      <c r="K10" s="1458"/>
      <c r="L10" s="1459"/>
      <c r="T10" s="550"/>
    </row>
    <row r="11" spans="1:21" ht="42" customHeight="1" thickBot="1" x14ac:dyDescent="0.3">
      <c r="B11" s="59"/>
      <c r="C11" s="1433" t="s">
        <v>611</v>
      </c>
      <c r="D11" s="1424" t="s">
        <v>913</v>
      </c>
      <c r="E11" s="1425"/>
      <c r="F11" s="1425"/>
      <c r="G11" s="1426"/>
      <c r="H11" s="69"/>
      <c r="I11" s="54"/>
      <c r="J11" s="1460"/>
      <c r="K11" s="1461"/>
      <c r="L11" s="1462"/>
    </row>
    <row r="12" spans="1:21" ht="24" customHeight="1" x14ac:dyDescent="0.25">
      <c r="B12" s="59"/>
      <c r="C12" s="1434"/>
      <c r="D12" s="1427" t="s">
        <v>635</v>
      </c>
      <c r="E12" s="1428"/>
      <c r="F12" s="1428"/>
      <c r="G12" s="1429"/>
      <c r="H12" s="69"/>
      <c r="I12" s="54"/>
      <c r="J12" s="55"/>
      <c r="K12" s="48"/>
      <c r="T12" s="550"/>
    </row>
    <row r="13" spans="1:21" ht="24" customHeight="1" x14ac:dyDescent="0.3">
      <c r="B13" s="59"/>
      <c r="C13" s="1434"/>
      <c r="D13" s="1430" t="s">
        <v>636</v>
      </c>
      <c r="E13" s="1431"/>
      <c r="F13" s="1431"/>
      <c r="G13" s="1432"/>
      <c r="H13" s="69"/>
      <c r="I13" s="54"/>
      <c r="J13" s="55"/>
      <c r="K13" s="48"/>
      <c r="T13" s="549" t="s">
        <v>692</v>
      </c>
    </row>
    <row r="14" spans="1:21" ht="61.15" customHeight="1" x14ac:dyDescent="0.3">
      <c r="B14" s="59"/>
      <c r="C14" s="1435"/>
      <c r="D14" s="1424" t="s">
        <v>1348</v>
      </c>
      <c r="E14" s="1425"/>
      <c r="F14" s="1425"/>
      <c r="G14" s="1426"/>
      <c r="H14" s="69"/>
      <c r="I14" s="54"/>
      <c r="J14" s="207"/>
      <c r="K14" s="48"/>
      <c r="T14" s="549"/>
    </row>
    <row r="15" spans="1:21" ht="39.6" customHeight="1" x14ac:dyDescent="0.3">
      <c r="B15" s="59"/>
      <c r="C15" s="1433" t="s">
        <v>609</v>
      </c>
      <c r="D15" s="1427" t="s">
        <v>627</v>
      </c>
      <c r="E15" s="1428"/>
      <c r="F15" s="1428"/>
      <c r="G15" s="1429"/>
      <c r="H15" s="69"/>
      <c r="I15" s="54"/>
      <c r="J15" s="207"/>
      <c r="K15" s="48"/>
      <c r="T15" s="549"/>
    </row>
    <row r="16" spans="1:21" ht="24" customHeight="1" x14ac:dyDescent="0.3">
      <c r="B16" s="59"/>
      <c r="C16" s="1434"/>
      <c r="D16" s="1436" t="s">
        <v>610</v>
      </c>
      <c r="E16" s="1437"/>
      <c r="F16" s="1437"/>
      <c r="G16" s="1438"/>
      <c r="H16" s="69"/>
      <c r="I16" s="54"/>
      <c r="J16" s="207"/>
      <c r="K16" s="48"/>
      <c r="T16" s="549"/>
    </row>
    <row r="17" spans="2:21" ht="21.6" customHeight="1" x14ac:dyDescent="0.3">
      <c r="B17" s="59"/>
      <c r="C17" s="1434"/>
      <c r="D17" s="1439" t="s">
        <v>837</v>
      </c>
      <c r="E17" s="1440"/>
      <c r="F17" s="1440"/>
      <c r="G17" s="1441"/>
      <c r="H17" s="69"/>
      <c r="I17" s="54"/>
      <c r="J17" s="207"/>
      <c r="K17" s="48"/>
      <c r="T17" s="139"/>
    </row>
    <row r="18" spans="2:21" ht="49.9" customHeight="1" x14ac:dyDescent="0.3">
      <c r="B18" s="59"/>
      <c r="C18" s="1434"/>
      <c r="D18" s="1442" t="s">
        <v>1155</v>
      </c>
      <c r="E18" s="1334"/>
      <c r="F18" s="1334"/>
      <c r="G18" s="1443"/>
      <c r="H18" s="69"/>
      <c r="I18" s="54"/>
      <c r="J18" s="207"/>
      <c r="K18" s="48"/>
      <c r="T18" s="549"/>
    </row>
    <row r="19" spans="2:21" ht="49.9" customHeight="1" x14ac:dyDescent="0.3">
      <c r="B19" s="59"/>
      <c r="C19" s="1434"/>
      <c r="D19" s="1444" t="s">
        <v>726</v>
      </c>
      <c r="E19" s="1445"/>
      <c r="F19" s="1445"/>
      <c r="G19" s="1446"/>
      <c r="H19" s="69"/>
      <c r="I19" s="54"/>
      <c r="J19" s="207"/>
      <c r="K19" s="48"/>
      <c r="T19" s="549"/>
    </row>
    <row r="20" spans="2:21" ht="77.45" customHeight="1" x14ac:dyDescent="0.25">
      <c r="B20" s="59"/>
      <c r="C20" s="1435"/>
      <c r="D20" s="1424" t="s">
        <v>1157</v>
      </c>
      <c r="E20" s="1425"/>
      <c r="F20" s="1426"/>
      <c r="G20" s="1109" t="s">
        <v>81</v>
      </c>
      <c r="H20" s="69"/>
      <c r="I20" s="54"/>
      <c r="J20" s="207"/>
      <c r="K20" s="48"/>
    </row>
    <row r="21" spans="2:21" ht="24" customHeight="1" thickBot="1" x14ac:dyDescent="0.3">
      <c r="B21" s="59"/>
      <c r="C21" s="92"/>
      <c r="D21" s="92"/>
      <c r="E21" s="92"/>
      <c r="F21" s="92"/>
      <c r="G21" s="92"/>
      <c r="H21" s="69"/>
      <c r="I21" s="54"/>
      <c r="J21" s="207"/>
      <c r="K21" s="48"/>
      <c r="T21" s="563"/>
    </row>
    <row r="22" spans="2:21" ht="45.6" customHeight="1" thickBot="1" x14ac:dyDescent="0.3">
      <c r="B22" s="59"/>
      <c r="C22" s="298" t="s">
        <v>483</v>
      </c>
      <c r="D22" s="218" t="s">
        <v>3</v>
      </c>
      <c r="E22" s="219" t="s">
        <v>195</v>
      </c>
      <c r="F22" s="219" t="s">
        <v>157</v>
      </c>
      <c r="G22" s="220" t="s">
        <v>623</v>
      </c>
      <c r="H22" s="69"/>
      <c r="I22" s="54"/>
      <c r="J22" s="562" t="s">
        <v>608</v>
      </c>
      <c r="K22" s="1452" t="s">
        <v>613</v>
      </c>
      <c r="L22" s="1453"/>
    </row>
    <row r="23" spans="2:21" ht="70.150000000000006" customHeight="1" x14ac:dyDescent="0.25">
      <c r="B23" s="59"/>
      <c r="C23" s="291" t="s">
        <v>319</v>
      </c>
      <c r="D23" s="292" t="s">
        <v>617</v>
      </c>
      <c r="E23" s="339" t="s">
        <v>633</v>
      </c>
      <c r="F23" s="1104">
        <v>0.107</v>
      </c>
      <c r="G23" s="287" t="s">
        <v>482</v>
      </c>
      <c r="H23" s="69"/>
      <c r="I23" s="54"/>
      <c r="J23" s="1454" t="str">
        <f>IF(K22="","",VLOOKUP(K22,T23:U26,2,FALSE))</f>
        <v>O fator de emissão de GEE dos autocarros poderá ser consultado na declaração ambiental do produto (EPD- Environmental Product Declaration), a disponibilizar pelo fornecedor.</v>
      </c>
      <c r="K23" s="1455"/>
      <c r="L23" s="1456"/>
      <c r="M23" s="88"/>
      <c r="T23" s="41" t="s">
        <v>613</v>
      </c>
      <c r="U23" s="41" t="s">
        <v>694</v>
      </c>
    </row>
    <row r="24" spans="2:21" ht="34.9" customHeight="1" x14ac:dyDescent="0.25">
      <c r="B24" s="59"/>
      <c r="C24" s="298" t="s">
        <v>624</v>
      </c>
      <c r="D24" s="218" t="s">
        <v>3</v>
      </c>
      <c r="E24" s="219" t="s">
        <v>195</v>
      </c>
      <c r="F24" s="219" t="s">
        <v>157</v>
      </c>
      <c r="G24" s="220" t="s">
        <v>623</v>
      </c>
      <c r="H24" s="69"/>
      <c r="I24" s="54"/>
      <c r="J24" s="1457"/>
      <c r="K24" s="1458"/>
      <c r="L24" s="1459"/>
      <c r="M24" s="100"/>
      <c r="N24" s="254"/>
      <c r="O24" s="100"/>
      <c r="P24" s="100"/>
      <c r="Q24" s="100"/>
      <c r="T24" s="46" t="s">
        <v>614</v>
      </c>
      <c r="U24" s="46" t="s">
        <v>1158</v>
      </c>
    </row>
    <row r="25" spans="2:21" ht="70.150000000000006" customHeight="1" thickBot="1" x14ac:dyDescent="0.3">
      <c r="B25" s="59"/>
      <c r="C25" s="291" t="s">
        <v>689</v>
      </c>
      <c r="D25" s="292" t="s">
        <v>616</v>
      </c>
      <c r="E25" s="1105" t="s">
        <v>146</v>
      </c>
      <c r="F25" s="1105"/>
      <c r="G25" s="1239" t="s">
        <v>482</v>
      </c>
      <c r="H25" s="69"/>
      <c r="I25" s="54"/>
      <c r="J25" s="1460"/>
      <c r="K25" s="1461"/>
      <c r="L25" s="1462"/>
      <c r="M25" s="88"/>
      <c r="N25" s="88"/>
      <c r="O25" s="1451"/>
      <c r="P25" s="1451"/>
      <c r="Q25" s="1451"/>
      <c r="T25" s="554" t="s">
        <v>693</v>
      </c>
      <c r="U25" s="41" t="s">
        <v>697</v>
      </c>
    </row>
    <row r="26" spans="2:21" ht="70.150000000000006" customHeight="1" x14ac:dyDescent="0.25">
      <c r="B26" s="59"/>
      <c r="C26" s="293" t="s">
        <v>618</v>
      </c>
      <c r="D26" s="292" t="s">
        <v>616</v>
      </c>
      <c r="E26" s="1105" t="s">
        <v>146</v>
      </c>
      <c r="F26" s="1105"/>
      <c r="G26" s="1239" t="s">
        <v>482</v>
      </c>
      <c r="H26" s="69"/>
      <c r="I26" s="54"/>
      <c r="J26" s="137"/>
      <c r="K26" s="137"/>
      <c r="L26" s="137"/>
      <c r="M26" s="88"/>
      <c r="N26" s="271"/>
      <c r="O26" s="1451"/>
      <c r="P26" s="1451"/>
      <c r="Q26" s="1451"/>
      <c r="T26" s="554" t="s">
        <v>695</v>
      </c>
      <c r="U26" s="41" t="s">
        <v>696</v>
      </c>
    </row>
    <row r="27" spans="2:21" ht="34.9" customHeight="1" x14ac:dyDescent="0.25">
      <c r="B27" s="59"/>
      <c r="C27" s="310" t="s">
        <v>625</v>
      </c>
      <c r="D27" s="218" t="s">
        <v>3</v>
      </c>
      <c r="E27" s="219" t="s">
        <v>195</v>
      </c>
      <c r="F27" s="219" t="s">
        <v>157</v>
      </c>
      <c r="G27" s="220" t="s">
        <v>623</v>
      </c>
      <c r="H27" s="69"/>
      <c r="I27" s="54"/>
      <c r="N27" s="138"/>
      <c r="O27" s="1451"/>
      <c r="P27" s="1451"/>
      <c r="Q27" s="1451"/>
    </row>
    <row r="28" spans="2:21" ht="70.150000000000006" customHeight="1" x14ac:dyDescent="0.25">
      <c r="B28" s="59"/>
      <c r="C28" s="291" t="s">
        <v>691</v>
      </c>
      <c r="D28" s="292" t="s">
        <v>616</v>
      </c>
      <c r="E28" s="1105" t="s">
        <v>146</v>
      </c>
      <c r="F28" s="1105"/>
      <c r="G28" s="1239" t="s">
        <v>482</v>
      </c>
      <c r="H28" s="69"/>
      <c r="I28" s="54"/>
      <c r="N28" s="138"/>
      <c r="O28" s="256"/>
      <c r="P28" s="256"/>
      <c r="Q28" s="256"/>
    </row>
    <row r="29" spans="2:21" ht="70.150000000000006" customHeight="1" x14ac:dyDescent="0.25">
      <c r="B29" s="59"/>
      <c r="C29" s="293" t="s">
        <v>618</v>
      </c>
      <c r="D29" s="292" t="s">
        <v>616</v>
      </c>
      <c r="E29" s="1105" t="s">
        <v>146</v>
      </c>
      <c r="F29" s="1105"/>
      <c r="G29" s="1239" t="s">
        <v>482</v>
      </c>
      <c r="H29" s="69"/>
      <c r="I29" s="54"/>
      <c r="J29" s="278"/>
      <c r="K29" s="278"/>
      <c r="L29" s="278"/>
      <c r="N29" s="55"/>
      <c r="O29" s="256"/>
      <c r="P29" s="256"/>
      <c r="Q29" s="256"/>
    </row>
    <row r="30" spans="2:21" ht="48" customHeight="1" x14ac:dyDescent="0.25">
      <c r="B30" s="59"/>
      <c r="C30" s="310" t="s">
        <v>626</v>
      </c>
      <c r="D30" s="218" t="s">
        <v>3</v>
      </c>
      <c r="E30" s="219" t="s">
        <v>195</v>
      </c>
      <c r="F30" s="219" t="s">
        <v>157</v>
      </c>
      <c r="G30" s="220" t="s">
        <v>623</v>
      </c>
      <c r="H30" s="69"/>
      <c r="J30" s="565"/>
      <c r="K30" s="566"/>
      <c r="L30" s="445"/>
    </row>
    <row r="31" spans="2:21" ht="70.150000000000006" customHeight="1" x14ac:dyDescent="0.25">
      <c r="B31" s="59"/>
      <c r="C31" s="291" t="s">
        <v>698</v>
      </c>
      <c r="D31" s="292" t="s">
        <v>616</v>
      </c>
      <c r="E31" s="1105" t="s">
        <v>146</v>
      </c>
      <c r="F31" s="1105"/>
      <c r="G31" s="1239" t="s">
        <v>482</v>
      </c>
      <c r="H31" s="69"/>
      <c r="J31" s="1498"/>
      <c r="K31" s="1498"/>
      <c r="L31" s="567"/>
    </row>
    <row r="32" spans="2:21" ht="70.150000000000006" customHeight="1" x14ac:dyDescent="0.25">
      <c r="B32" s="59"/>
      <c r="C32" s="293" t="s">
        <v>618</v>
      </c>
      <c r="D32" s="292" t="s">
        <v>616</v>
      </c>
      <c r="E32" s="1105" t="s">
        <v>146</v>
      </c>
      <c r="F32" s="1105"/>
      <c r="G32" s="1239" t="s">
        <v>482</v>
      </c>
      <c r="H32" s="69"/>
      <c r="J32" s="1498"/>
      <c r="K32" s="1498"/>
      <c r="L32" s="567"/>
    </row>
    <row r="33" spans="1:13" ht="24" customHeight="1" x14ac:dyDescent="0.25">
      <c r="B33" s="59"/>
      <c r="C33" s="87"/>
      <c r="D33" s="88"/>
      <c r="E33" s="88"/>
      <c r="F33" s="88"/>
      <c r="G33" s="88"/>
      <c r="H33" s="69"/>
      <c r="I33" s="54"/>
      <c r="J33" s="1502"/>
      <c r="K33" s="1502"/>
      <c r="L33" s="1503"/>
    </row>
    <row r="34" spans="1:13" ht="24" customHeight="1" x14ac:dyDescent="0.25">
      <c r="B34" s="59"/>
      <c r="C34" s="116" t="s">
        <v>490</v>
      </c>
      <c r="D34" s="115"/>
      <c r="E34" s="115"/>
      <c r="F34" s="115"/>
      <c r="G34" s="115"/>
      <c r="H34" s="69"/>
      <c r="I34" s="54"/>
      <c r="J34" s="1502"/>
      <c r="K34" s="1502"/>
      <c r="L34" s="1503"/>
    </row>
    <row r="35" spans="1:13" ht="24" customHeight="1" x14ac:dyDescent="0.25">
      <c r="B35" s="59"/>
      <c r="C35" s="92"/>
      <c r="D35" s="92"/>
      <c r="E35" s="92"/>
      <c r="F35" s="92"/>
      <c r="G35" s="92"/>
      <c r="H35" s="69"/>
      <c r="I35" s="54"/>
    </row>
    <row r="36" spans="1:13" ht="24" customHeight="1" x14ac:dyDescent="0.25">
      <c r="B36" s="59"/>
      <c r="C36" s="1463" t="s">
        <v>634</v>
      </c>
      <c r="D36" s="1464"/>
      <c r="E36" s="1464"/>
      <c r="F36" s="1464"/>
      <c r="G36" s="1464"/>
      <c r="H36" s="69"/>
      <c r="I36" s="54"/>
    </row>
    <row r="37" spans="1:13" ht="58.15" customHeight="1" x14ac:dyDescent="0.25">
      <c r="B37" s="59"/>
      <c r="C37" s="1433" t="s">
        <v>621</v>
      </c>
      <c r="D37" s="1465" t="s">
        <v>1160</v>
      </c>
      <c r="E37" s="1465"/>
      <c r="F37" s="1465"/>
      <c r="G37" s="1465"/>
      <c r="H37" s="69"/>
      <c r="I37" s="54"/>
      <c r="J37" s="55"/>
      <c r="K37" s="48"/>
    </row>
    <row r="38" spans="1:13" s="46" customFormat="1" ht="24" customHeight="1" x14ac:dyDescent="0.25">
      <c r="B38" s="736"/>
      <c r="C38" s="1434"/>
      <c r="D38" s="1447" t="s">
        <v>1159</v>
      </c>
      <c r="E38" s="1448"/>
      <c r="F38" s="1448"/>
      <c r="G38" s="1449"/>
      <c r="H38" s="69"/>
      <c r="I38" s="54"/>
      <c r="J38" s="284"/>
      <c r="K38" s="737"/>
    </row>
    <row r="39" spans="1:13" s="46" customFormat="1" ht="156" customHeight="1" x14ac:dyDescent="0.25">
      <c r="B39" s="736"/>
      <c r="C39" s="1434"/>
      <c r="D39" s="1447" t="s">
        <v>1221</v>
      </c>
      <c r="E39" s="1448"/>
      <c r="F39" s="1448"/>
      <c r="G39" s="1449"/>
      <c r="H39" s="69"/>
      <c r="I39" s="54"/>
      <c r="J39" s="284"/>
      <c r="K39" s="737"/>
    </row>
    <row r="40" spans="1:13" ht="18" customHeight="1" x14ac:dyDescent="0.25">
      <c r="B40" s="59"/>
      <c r="C40" s="1433" t="s">
        <v>620</v>
      </c>
      <c r="D40" s="1447" t="s">
        <v>1161</v>
      </c>
      <c r="E40" s="1448"/>
      <c r="F40" s="568" t="s">
        <v>896</v>
      </c>
      <c r="G40" s="569"/>
      <c r="H40" s="69"/>
      <c r="I40" s="54"/>
      <c r="J40" s="55"/>
      <c r="K40" s="48"/>
    </row>
    <row r="41" spans="1:13" ht="25.15" customHeight="1" x14ac:dyDescent="0.25">
      <c r="B41" s="59"/>
      <c r="C41" s="1435"/>
      <c r="D41" s="570" t="s">
        <v>111</v>
      </c>
      <c r="E41" s="1493" t="s">
        <v>619</v>
      </c>
      <c r="F41" s="1493"/>
      <c r="G41" s="1494"/>
      <c r="H41" s="69"/>
      <c r="I41" s="54"/>
      <c r="J41" s="55"/>
      <c r="K41" s="48"/>
    </row>
    <row r="42" spans="1:13" ht="30" customHeight="1" x14ac:dyDescent="0.3">
      <c r="B42" s="59"/>
      <c r="C42" s="223"/>
      <c r="D42" s="211"/>
      <c r="E42" s="216"/>
      <c r="F42" s="1501"/>
      <c r="G42" s="1501"/>
      <c r="H42" s="69"/>
      <c r="I42" s="54"/>
      <c r="J42" s="55"/>
      <c r="K42" s="139"/>
      <c r="M42" s="50"/>
    </row>
    <row r="43" spans="1:13" ht="40.15" customHeight="1" x14ac:dyDescent="0.25">
      <c r="B43" s="59"/>
      <c r="C43" s="571" t="s">
        <v>612</v>
      </c>
      <c r="D43" s="573" t="s">
        <v>3</v>
      </c>
      <c r="E43" s="572" t="s">
        <v>797</v>
      </c>
      <c r="F43" s="1416" t="s">
        <v>126</v>
      </c>
      <c r="G43" s="1417"/>
      <c r="H43" s="69"/>
      <c r="I43" s="54"/>
      <c r="J43" s="55"/>
      <c r="K43" s="48"/>
    </row>
    <row r="44" spans="1:13" ht="49.9" customHeight="1" x14ac:dyDescent="0.25">
      <c r="A44" s="50"/>
      <c r="B44" s="59"/>
      <c r="C44" s="1251" t="s">
        <v>1340</v>
      </c>
      <c r="D44" s="309" t="s">
        <v>119</v>
      </c>
      <c r="E44" s="1107"/>
      <c r="F44" s="1491" t="s">
        <v>160</v>
      </c>
      <c r="G44" s="1492"/>
      <c r="H44" s="69"/>
      <c r="I44" s="54"/>
      <c r="J44" s="55"/>
      <c r="K44" s="64"/>
    </row>
    <row r="45" spans="1:13" ht="30" customHeight="1" x14ac:dyDescent="0.25">
      <c r="B45" s="59"/>
      <c r="C45" s="298" t="s">
        <v>687</v>
      </c>
      <c r="D45" s="573" t="s">
        <v>3</v>
      </c>
      <c r="E45" s="572" t="s">
        <v>86</v>
      </c>
      <c r="F45" s="1473" t="s">
        <v>126</v>
      </c>
      <c r="G45" s="1474"/>
      <c r="H45" s="69"/>
      <c r="I45" s="54"/>
      <c r="J45" s="55"/>
      <c r="K45" s="64"/>
    </row>
    <row r="46" spans="1:13" ht="71.45" customHeight="1" x14ac:dyDescent="0.25">
      <c r="B46" s="59"/>
      <c r="C46" s="293" t="s">
        <v>898</v>
      </c>
      <c r="D46" s="292" t="s">
        <v>840</v>
      </c>
      <c r="E46" s="1107"/>
      <c r="F46" s="1489" t="s">
        <v>160</v>
      </c>
      <c r="G46" s="1490"/>
      <c r="H46" s="69"/>
      <c r="I46" s="54"/>
      <c r="J46" s="54"/>
      <c r="K46" s="54"/>
      <c r="L46" s="54"/>
      <c r="M46" s="50"/>
    </row>
    <row r="47" spans="1:13" ht="62.45" customHeight="1" x14ac:dyDescent="0.25">
      <c r="B47" s="59"/>
      <c r="C47" s="293" t="s">
        <v>907</v>
      </c>
      <c r="D47" s="595" t="s">
        <v>902</v>
      </c>
      <c r="E47" s="1252"/>
      <c r="F47" s="1489" t="s">
        <v>160</v>
      </c>
      <c r="G47" s="1490"/>
      <c r="H47" s="69"/>
      <c r="I47" s="54"/>
      <c r="J47" s="54"/>
    </row>
    <row r="48" spans="1:13" ht="30" customHeight="1" x14ac:dyDescent="0.25">
      <c r="B48" s="59"/>
      <c r="C48" s="298" t="s">
        <v>688</v>
      </c>
      <c r="D48" s="573" t="s">
        <v>3</v>
      </c>
      <c r="E48" s="572" t="s">
        <v>86</v>
      </c>
      <c r="F48" s="1473" t="s">
        <v>126</v>
      </c>
      <c r="G48" s="1474"/>
      <c r="H48" s="69"/>
      <c r="I48" s="54"/>
      <c r="J48" s="54"/>
    </row>
    <row r="49" spans="2:12" ht="60" customHeight="1" x14ac:dyDescent="0.25">
      <c r="B49" s="59"/>
      <c r="C49" s="293" t="s">
        <v>898</v>
      </c>
      <c r="D49" s="292" t="s">
        <v>840</v>
      </c>
      <c r="E49" s="1107"/>
      <c r="F49" s="1489" t="s">
        <v>160</v>
      </c>
      <c r="G49" s="1490"/>
      <c r="H49" s="69"/>
      <c r="I49" s="54"/>
      <c r="J49" s="54"/>
      <c r="K49" s="54"/>
      <c r="L49" s="54"/>
    </row>
    <row r="50" spans="2:12" ht="60" customHeight="1" x14ac:dyDescent="0.25">
      <c r="B50" s="59"/>
      <c r="C50" s="293" t="s">
        <v>907</v>
      </c>
      <c r="D50" s="595" t="s">
        <v>902</v>
      </c>
      <c r="E50" s="1107"/>
      <c r="F50" s="1489" t="s">
        <v>160</v>
      </c>
      <c r="G50" s="1490"/>
      <c r="H50" s="69"/>
      <c r="I50" s="54"/>
      <c r="J50" s="54"/>
      <c r="K50" s="54"/>
      <c r="L50" s="54"/>
    </row>
    <row r="51" spans="2:12" ht="30" customHeight="1" x14ac:dyDescent="0.25">
      <c r="B51" s="59"/>
      <c r="C51" s="310" t="s">
        <v>631</v>
      </c>
      <c r="D51" s="573" t="s">
        <v>3</v>
      </c>
      <c r="E51" s="572" t="s">
        <v>86</v>
      </c>
      <c r="F51" s="1416" t="s">
        <v>126</v>
      </c>
      <c r="G51" s="1417"/>
      <c r="H51" s="69"/>
      <c r="I51" s="54"/>
      <c r="J51" s="54"/>
      <c r="K51" s="54"/>
      <c r="L51" s="54"/>
    </row>
    <row r="52" spans="2:12" ht="70.150000000000006" customHeight="1" x14ac:dyDescent="0.25">
      <c r="B52" s="59"/>
      <c r="C52" s="1230" t="s">
        <v>898</v>
      </c>
      <c r="D52" s="292" t="s">
        <v>840</v>
      </c>
      <c r="E52" s="1107"/>
      <c r="F52" s="1489" t="s">
        <v>160</v>
      </c>
      <c r="G52" s="1490"/>
      <c r="H52" s="69"/>
      <c r="I52" s="54"/>
      <c r="J52" s="54"/>
      <c r="K52" s="54"/>
      <c r="L52" s="54"/>
    </row>
    <row r="53" spans="2:12" ht="70.150000000000006" customHeight="1" x14ac:dyDescent="0.25">
      <c r="B53" s="59"/>
      <c r="C53" s="1230" t="s">
        <v>907</v>
      </c>
      <c r="D53" s="595" t="s">
        <v>902</v>
      </c>
      <c r="E53" s="1107"/>
      <c r="F53" s="1489" t="s">
        <v>160</v>
      </c>
      <c r="G53" s="1490"/>
      <c r="H53" s="69"/>
      <c r="I53" s="54"/>
      <c r="J53" s="54"/>
      <c r="K53" s="54"/>
      <c r="L53" s="54"/>
    </row>
    <row r="54" spans="2:12" ht="30" customHeight="1" x14ac:dyDescent="0.3">
      <c r="B54" s="59"/>
      <c r="C54" s="310" t="s">
        <v>632</v>
      </c>
      <c r="D54" s="573" t="s">
        <v>3</v>
      </c>
      <c r="E54" s="572" t="s">
        <v>86</v>
      </c>
      <c r="F54" s="1416" t="s">
        <v>126</v>
      </c>
      <c r="G54" s="1417"/>
      <c r="H54" s="69"/>
      <c r="I54" s="54"/>
      <c r="J54" s="94"/>
      <c r="K54" s="54"/>
      <c r="L54" s="54"/>
    </row>
    <row r="55" spans="2:12" ht="60" customHeight="1" x14ac:dyDescent="0.25">
      <c r="B55" s="59"/>
      <c r="C55" s="293" t="s">
        <v>898</v>
      </c>
      <c r="D55" s="292" t="s">
        <v>840</v>
      </c>
      <c r="E55" s="1107"/>
      <c r="F55" s="1489" t="s">
        <v>160</v>
      </c>
      <c r="G55" s="1490"/>
      <c r="H55" s="69"/>
      <c r="I55" s="54"/>
      <c r="J55" s="54"/>
      <c r="K55" s="54"/>
      <c r="L55" s="54"/>
    </row>
    <row r="56" spans="2:12" ht="60" customHeight="1" x14ac:dyDescent="0.25">
      <c r="B56" s="59"/>
      <c r="C56" s="1230" t="s">
        <v>907</v>
      </c>
      <c r="D56" s="595" t="s">
        <v>902</v>
      </c>
      <c r="E56" s="1107"/>
      <c r="F56" s="1489" t="s">
        <v>160</v>
      </c>
      <c r="G56" s="1490"/>
      <c r="H56" s="69"/>
      <c r="I56" s="54"/>
      <c r="J56" s="54"/>
      <c r="K56" s="54"/>
      <c r="L56" s="54"/>
    </row>
    <row r="57" spans="2:12" ht="50.45" customHeight="1" x14ac:dyDescent="0.25">
      <c r="B57" s="59"/>
      <c r="C57" s="310" t="s">
        <v>706</v>
      </c>
      <c r="D57" s="573" t="s">
        <v>3</v>
      </c>
      <c r="E57" s="572" t="s">
        <v>86</v>
      </c>
      <c r="F57" s="1416" t="s">
        <v>126</v>
      </c>
      <c r="G57" s="1417"/>
      <c r="H57" s="69"/>
      <c r="I57" s="54"/>
      <c r="J57" s="54"/>
      <c r="K57" s="54"/>
      <c r="L57" s="54"/>
    </row>
    <row r="58" spans="2:12" ht="70.150000000000006" customHeight="1" x14ac:dyDescent="0.25">
      <c r="B58" s="59"/>
      <c r="C58" s="293" t="s">
        <v>898</v>
      </c>
      <c r="D58" s="292" t="s">
        <v>840</v>
      </c>
      <c r="E58" s="1107"/>
      <c r="F58" s="1489" t="s">
        <v>160</v>
      </c>
      <c r="G58" s="1490"/>
      <c r="H58" s="69"/>
      <c r="I58" s="54"/>
      <c r="J58" s="54"/>
      <c r="K58" s="54"/>
      <c r="L58" s="54"/>
    </row>
    <row r="59" spans="2:12" ht="70.150000000000006" customHeight="1" x14ac:dyDescent="0.25">
      <c r="B59" s="59"/>
      <c r="C59" s="1230" t="s">
        <v>907</v>
      </c>
      <c r="D59" s="595" t="s">
        <v>902</v>
      </c>
      <c r="E59" s="1107"/>
      <c r="F59" s="1489" t="s">
        <v>160</v>
      </c>
      <c r="G59" s="1490"/>
      <c r="H59" s="69"/>
      <c r="I59" s="54"/>
      <c r="J59" s="54"/>
      <c r="K59" s="54"/>
      <c r="L59" s="54"/>
    </row>
    <row r="60" spans="2:12" ht="49.9" customHeight="1" x14ac:dyDescent="0.25">
      <c r="B60" s="59"/>
      <c r="C60" s="310" t="s">
        <v>638</v>
      </c>
      <c r="D60" s="573" t="s">
        <v>3</v>
      </c>
      <c r="E60" s="572" t="s">
        <v>86</v>
      </c>
      <c r="F60" s="1416" t="s">
        <v>126</v>
      </c>
      <c r="G60" s="1417"/>
      <c r="H60" s="69"/>
      <c r="I60" s="54"/>
      <c r="J60" s="54"/>
      <c r="K60" s="54"/>
      <c r="L60" s="54"/>
    </row>
    <row r="61" spans="2:12" ht="70.150000000000006" customHeight="1" x14ac:dyDescent="0.25">
      <c r="B61" s="59"/>
      <c r="C61" s="293" t="s">
        <v>898</v>
      </c>
      <c r="D61" s="292" t="s">
        <v>840</v>
      </c>
      <c r="E61" s="1107"/>
      <c r="F61" s="1489" t="s">
        <v>160</v>
      </c>
      <c r="G61" s="1490"/>
      <c r="H61" s="69"/>
      <c r="I61" s="54"/>
      <c r="J61" s="54"/>
      <c r="K61" s="54"/>
      <c r="L61" s="54"/>
    </row>
    <row r="62" spans="2:12" ht="70.150000000000006" customHeight="1" x14ac:dyDescent="0.25">
      <c r="B62" s="59"/>
      <c r="C62" s="1230" t="s">
        <v>907</v>
      </c>
      <c r="D62" s="292" t="s">
        <v>902</v>
      </c>
      <c r="E62" s="1107"/>
      <c r="F62" s="1489" t="s">
        <v>160</v>
      </c>
      <c r="G62" s="1490"/>
      <c r="H62" s="69"/>
      <c r="I62" s="54"/>
      <c r="J62" s="54"/>
      <c r="K62" s="54"/>
      <c r="L62" s="54"/>
    </row>
    <row r="63" spans="2:12" ht="15" customHeight="1" x14ac:dyDescent="0.25">
      <c r="B63" s="61"/>
      <c r="C63" s="75"/>
      <c r="D63" s="76"/>
      <c r="E63" s="76"/>
      <c r="F63" s="76"/>
      <c r="G63" s="76"/>
      <c r="H63" s="70"/>
      <c r="I63" s="54"/>
      <c r="J63" s="54"/>
      <c r="K63" s="54"/>
      <c r="L63" s="54"/>
    </row>
    <row r="64" spans="2:12" ht="24" customHeight="1" x14ac:dyDescent="0.25">
      <c r="C64" s="64"/>
      <c r="D64" s="54"/>
      <c r="E64" s="54"/>
      <c r="F64" s="54"/>
      <c r="G64" s="54"/>
      <c r="H64" s="54"/>
      <c r="I64" s="54"/>
      <c r="J64" s="54"/>
      <c r="K64" s="54"/>
      <c r="L64" s="54"/>
    </row>
    <row r="67" spans="2:13" ht="40.15" customHeight="1" x14ac:dyDescent="0.25">
      <c r="B67" s="66"/>
      <c r="C67" s="66" t="s">
        <v>492</v>
      </c>
      <c r="D67" s="57"/>
      <c r="E67" s="57"/>
      <c r="F67" s="57"/>
      <c r="G67" s="57"/>
      <c r="H67" s="58"/>
      <c r="I67" s="56"/>
      <c r="J67" s="56"/>
    </row>
    <row r="68" spans="2:13" ht="24" customHeight="1" x14ac:dyDescent="0.25">
      <c r="B68" s="59"/>
      <c r="H68" s="60"/>
      <c r="I68" s="65"/>
      <c r="J68" s="65"/>
    </row>
    <row r="69" spans="2:13" ht="24" customHeight="1" x14ac:dyDescent="0.25">
      <c r="B69" s="59"/>
      <c r="C69" s="1411" t="s">
        <v>493</v>
      </c>
      <c r="D69" s="1410"/>
      <c r="E69" s="1410"/>
      <c r="F69" s="1410"/>
      <c r="G69" s="115"/>
      <c r="H69" s="60"/>
      <c r="I69" s="65"/>
      <c r="J69" s="65"/>
    </row>
    <row r="70" spans="2:13" ht="24" customHeight="1" x14ac:dyDescent="0.25">
      <c r="B70" s="59"/>
      <c r="C70" s="92"/>
      <c r="D70" s="92"/>
      <c r="E70" s="92"/>
      <c r="F70" s="92"/>
      <c r="G70" s="92"/>
      <c r="H70" s="60"/>
      <c r="I70" s="65"/>
      <c r="J70" s="65"/>
    </row>
    <row r="71" spans="2:13" ht="24" customHeight="1" x14ac:dyDescent="0.25">
      <c r="B71" s="59"/>
      <c r="C71" s="1463" t="s">
        <v>634</v>
      </c>
      <c r="D71" s="1464"/>
      <c r="E71" s="1464"/>
      <c r="F71" s="1464"/>
      <c r="G71" s="1464"/>
      <c r="H71" s="60"/>
      <c r="I71" s="65"/>
      <c r="J71" s="65"/>
    </row>
    <row r="72" spans="2:13" ht="40.15" customHeight="1" x14ac:dyDescent="0.25">
      <c r="B72" s="59"/>
      <c r="C72" s="564" t="s">
        <v>641</v>
      </c>
      <c r="D72" s="1465" t="s">
        <v>1217</v>
      </c>
      <c r="E72" s="1465"/>
      <c r="F72" s="1465"/>
      <c r="G72" s="1465"/>
      <c r="H72" s="68"/>
      <c r="I72" s="53"/>
      <c r="J72" s="96"/>
      <c r="K72" s="96"/>
      <c r="L72" s="96"/>
      <c r="M72" s="96"/>
    </row>
    <row r="73" spans="2:13" ht="25.9" customHeight="1" x14ac:dyDescent="0.25">
      <c r="B73" s="59"/>
      <c r="C73" s="564" t="s">
        <v>676</v>
      </c>
      <c r="D73" s="1465" t="s">
        <v>1229</v>
      </c>
      <c r="E73" s="1465"/>
      <c r="F73" s="1465"/>
      <c r="G73" s="1465"/>
      <c r="H73" s="68"/>
      <c r="I73" s="53"/>
      <c r="J73" s="96"/>
      <c r="K73" s="96"/>
      <c r="L73" s="96"/>
      <c r="M73" s="96"/>
    </row>
    <row r="74" spans="2:13" ht="59.45" customHeight="1" x14ac:dyDescent="0.25">
      <c r="B74" s="59"/>
      <c r="C74" s="597" t="s">
        <v>642</v>
      </c>
      <c r="D74" s="1465" t="s">
        <v>1162</v>
      </c>
      <c r="E74" s="1465"/>
      <c r="F74" s="1465"/>
      <c r="G74" s="1465"/>
      <c r="H74" s="68"/>
      <c r="I74" s="53"/>
      <c r="J74" s="96"/>
      <c r="K74" s="96"/>
      <c r="L74" s="96"/>
      <c r="M74" s="96"/>
    </row>
    <row r="75" spans="2:13" ht="19.899999999999999" customHeight="1" x14ac:dyDescent="0.25">
      <c r="B75" s="59"/>
      <c r="C75" s="95"/>
      <c r="D75" s="95"/>
      <c r="E75" s="95"/>
      <c r="F75" s="95"/>
      <c r="G75" s="95"/>
      <c r="H75" s="68"/>
      <c r="I75" s="53"/>
      <c r="J75" s="96"/>
      <c r="K75" s="96"/>
      <c r="L75" s="96"/>
      <c r="M75" s="96"/>
    </row>
    <row r="76" spans="2:13" ht="49.9" customHeight="1" x14ac:dyDescent="0.3">
      <c r="B76" s="59"/>
      <c r="C76" s="583" t="s">
        <v>643</v>
      </c>
      <c r="D76" s="574" t="s">
        <v>3</v>
      </c>
      <c r="E76" s="572" t="s">
        <v>751</v>
      </c>
      <c r="F76" s="1495" t="s">
        <v>640</v>
      </c>
      <c r="G76" s="1496"/>
      <c r="H76" s="68"/>
      <c r="I76" s="53"/>
      <c r="J76" s="94"/>
      <c r="K76" s="93"/>
    </row>
    <row r="77" spans="2:13" ht="30" customHeight="1" x14ac:dyDescent="0.3">
      <c r="B77" s="59"/>
      <c r="C77" s="584"/>
      <c r="D77" s="581"/>
      <c r="E77" s="580" t="str">
        <f>IFERROR(IF(SUM(E78:E81)=0, "",IF(SUM(E78:E81)&gt;100, "  A soma das TM é superior a 100%. Por favor reveja.", IF(SUM(E78:E81)&lt;100, " A soma das TM é inferior a 100%. Por favor reveja.", ""))),"")</f>
        <v/>
      </c>
      <c r="F77" s="584"/>
      <c r="G77" s="582"/>
      <c r="H77" s="68"/>
      <c r="I77" s="53"/>
      <c r="J77" s="94"/>
      <c r="K77" s="93"/>
    </row>
    <row r="78" spans="2:13" ht="70.150000000000006" customHeight="1" x14ac:dyDescent="0.25">
      <c r="B78" s="59"/>
      <c r="C78" s="293" t="s">
        <v>361</v>
      </c>
      <c r="D78" s="292" t="s">
        <v>77</v>
      </c>
      <c r="E78" s="1105"/>
      <c r="F78" s="1418" t="s">
        <v>160</v>
      </c>
      <c r="G78" s="1419"/>
      <c r="H78" s="69"/>
      <c r="I78" s="54"/>
      <c r="K78" s="90"/>
    </row>
    <row r="79" spans="2:13" ht="70.150000000000006" customHeight="1" x14ac:dyDescent="0.25">
      <c r="B79" s="59"/>
      <c r="C79" s="293" t="s">
        <v>342</v>
      </c>
      <c r="D79" s="292" t="s">
        <v>77</v>
      </c>
      <c r="E79" s="1105"/>
      <c r="F79" s="1418" t="s">
        <v>160</v>
      </c>
      <c r="G79" s="1419"/>
      <c r="H79" s="69"/>
      <c r="I79" s="54"/>
      <c r="J79" s="90"/>
      <c r="K79" s="90"/>
    </row>
    <row r="80" spans="2:13" ht="70.150000000000006" customHeight="1" x14ac:dyDescent="0.25">
      <c r="B80" s="59"/>
      <c r="C80" s="293" t="s">
        <v>1163</v>
      </c>
      <c r="D80" s="292" t="s">
        <v>77</v>
      </c>
      <c r="E80" s="1105"/>
      <c r="F80" s="1418" t="s">
        <v>160</v>
      </c>
      <c r="G80" s="1419"/>
      <c r="H80" s="69"/>
      <c r="I80" s="54"/>
      <c r="J80" s="90"/>
      <c r="K80" s="90"/>
    </row>
    <row r="81" spans="2:11" ht="70.150000000000006" customHeight="1" x14ac:dyDescent="0.25">
      <c r="B81" s="59"/>
      <c r="C81" s="293" t="s">
        <v>639</v>
      </c>
      <c r="D81" s="292" t="s">
        <v>77</v>
      </c>
      <c r="E81" s="1105"/>
      <c r="F81" s="1418" t="s">
        <v>160</v>
      </c>
      <c r="G81" s="1419"/>
      <c r="H81" s="69"/>
      <c r="I81" s="54"/>
      <c r="J81" s="90"/>
      <c r="K81" s="90"/>
    </row>
    <row r="82" spans="2:11" ht="49.9" customHeight="1" x14ac:dyDescent="0.25">
      <c r="B82" s="59"/>
      <c r="C82" s="583" t="s">
        <v>630</v>
      </c>
      <c r="D82" s="574" t="s">
        <v>3</v>
      </c>
      <c r="E82" s="572" t="s">
        <v>86</v>
      </c>
      <c r="F82" s="1495" t="s">
        <v>640</v>
      </c>
      <c r="G82" s="1496"/>
      <c r="H82" s="69"/>
      <c r="I82" s="54"/>
      <c r="J82" s="90"/>
      <c r="K82" s="90"/>
    </row>
    <row r="83" spans="2:11" ht="30" customHeight="1" x14ac:dyDescent="0.25">
      <c r="B83" s="59"/>
      <c r="C83" s="583"/>
      <c r="D83" s="575"/>
      <c r="E83" s="580" t="str">
        <f>IFERROR(IF(SUM(E84:E87)=0, "",IF(SUM(E84:E87)&gt;100, "  A soma das TM é superior a 100%. Por favor reveja.", IF(SUM(E84:E87)&lt;100, " A soma das TM é inferior a 100%. Por favor reveja.", ""))),"")</f>
        <v/>
      </c>
      <c r="F83" s="509" t="str">
        <f>IFERROR(IF(SUM(F84:F87)=0, "",IF(SUM(F84:F87)&gt;100, "  A soma das TM é superior a 100%. Por favor reveja.", IF(SUM(F84:F87)&lt;100, " A soma das TM é inferior a 100%. Por favor reveja.", ""))),"")</f>
        <v/>
      </c>
      <c r="G83" s="136"/>
      <c r="H83" s="69"/>
      <c r="I83" s="54"/>
      <c r="J83" s="90"/>
      <c r="K83" s="90"/>
    </row>
    <row r="84" spans="2:11" ht="70.150000000000006" customHeight="1" x14ac:dyDescent="0.25">
      <c r="B84" s="59"/>
      <c r="C84" s="293" t="s">
        <v>404</v>
      </c>
      <c r="D84" s="222" t="s">
        <v>77</v>
      </c>
      <c r="E84" s="1105"/>
      <c r="F84" s="1418" t="s">
        <v>160</v>
      </c>
      <c r="G84" s="1419"/>
      <c r="H84" s="69"/>
      <c r="I84" s="54"/>
      <c r="J84" s="90"/>
      <c r="K84" s="90"/>
    </row>
    <row r="85" spans="2:11" ht="70.150000000000006" customHeight="1" x14ac:dyDescent="0.25">
      <c r="B85" s="59"/>
      <c r="C85" s="293" t="s">
        <v>343</v>
      </c>
      <c r="D85" s="222" t="s">
        <v>77</v>
      </c>
      <c r="E85" s="1105"/>
      <c r="F85" s="1418" t="s">
        <v>160</v>
      </c>
      <c r="G85" s="1419"/>
      <c r="H85" s="69"/>
      <c r="I85" s="54"/>
      <c r="J85" s="90"/>
      <c r="K85" s="90"/>
    </row>
    <row r="86" spans="2:11" ht="70.150000000000006" customHeight="1" x14ac:dyDescent="0.25">
      <c r="B86" s="59"/>
      <c r="C86" s="293" t="s">
        <v>344</v>
      </c>
      <c r="D86" s="222" t="s">
        <v>77</v>
      </c>
      <c r="E86" s="1105"/>
      <c r="F86" s="1418" t="s">
        <v>160</v>
      </c>
      <c r="G86" s="1419"/>
      <c r="H86" s="69"/>
      <c r="I86" s="54"/>
      <c r="J86" s="90"/>
      <c r="K86" s="90"/>
    </row>
    <row r="87" spans="2:11" ht="70.150000000000006" customHeight="1" x14ac:dyDescent="0.25">
      <c r="B87" s="59"/>
      <c r="C87" s="293" t="s">
        <v>645</v>
      </c>
      <c r="D87" s="222" t="s">
        <v>77</v>
      </c>
      <c r="E87" s="1105"/>
      <c r="F87" s="1418" t="s">
        <v>160</v>
      </c>
      <c r="G87" s="1419"/>
      <c r="H87" s="69"/>
      <c r="I87" s="54"/>
      <c r="J87" s="90"/>
      <c r="K87" s="90"/>
    </row>
    <row r="88" spans="2:11" ht="49.9" customHeight="1" x14ac:dyDescent="0.25">
      <c r="B88" s="59"/>
      <c r="C88" s="310" t="s">
        <v>631</v>
      </c>
      <c r="D88" s="574" t="s">
        <v>3</v>
      </c>
      <c r="E88" s="572" t="s">
        <v>86</v>
      </c>
      <c r="F88" s="1495" t="s">
        <v>640</v>
      </c>
      <c r="G88" s="1496"/>
      <c r="H88" s="69"/>
      <c r="I88" s="54"/>
      <c r="J88" s="90"/>
      <c r="K88" s="90"/>
    </row>
    <row r="89" spans="2:11" ht="30" customHeight="1" x14ac:dyDescent="0.25">
      <c r="B89" s="59"/>
      <c r="C89" s="1414"/>
      <c r="D89" s="1415"/>
      <c r="E89" s="580" t="str">
        <f>IFERROR(IF(SUM(E90:E93)=0, "",IF(SUM(E90:E93)&gt;100, "  A soma das TM é superior a 100%. Por favor reveja.", IF(SUM(E90:E93)&lt;100, " A soma das TM é inferior a 100%. Por favor reveja.", ""))),"")</f>
        <v/>
      </c>
      <c r="F89" s="509" t="str">
        <f>IFERROR(IF(SUM(F90:F93)=0, "",IF(SUM(F90:F93)&gt;100, "  A soma das TM é superior a 100%. Por favor reveja.", IF(SUM(F90:F93)&lt;100, " A soma das TM é inferior a 100%. Por favor reveja.", ""))),"")</f>
        <v/>
      </c>
      <c r="G89" s="136"/>
      <c r="H89" s="69"/>
      <c r="I89" s="54"/>
      <c r="J89" s="90"/>
      <c r="K89" s="90"/>
    </row>
    <row r="90" spans="2:11" s="26" customFormat="1" ht="70.150000000000006" customHeight="1" x14ac:dyDescent="0.3">
      <c r="B90" s="305"/>
      <c r="C90" s="293" t="s">
        <v>405</v>
      </c>
      <c r="D90" s="292" t="s">
        <v>77</v>
      </c>
      <c r="E90" s="1105"/>
      <c r="F90" s="1418" t="s">
        <v>160</v>
      </c>
      <c r="G90" s="1419"/>
      <c r="H90" s="306"/>
      <c r="I90" s="307"/>
      <c r="J90" s="308"/>
      <c r="K90" s="308"/>
    </row>
    <row r="91" spans="2:11" s="26" customFormat="1" ht="70.150000000000006" customHeight="1" x14ac:dyDescent="0.3">
      <c r="B91" s="305"/>
      <c r="C91" s="293" t="s">
        <v>646</v>
      </c>
      <c r="D91" s="292" t="s">
        <v>77</v>
      </c>
      <c r="E91" s="1105"/>
      <c r="F91" s="1418" t="s">
        <v>160</v>
      </c>
      <c r="G91" s="1419"/>
      <c r="H91" s="306"/>
      <c r="I91" s="307"/>
      <c r="J91" s="308"/>
      <c r="K91" s="308"/>
    </row>
    <row r="92" spans="2:11" s="26" customFormat="1" ht="70.150000000000006" customHeight="1" x14ac:dyDescent="0.3">
      <c r="B92" s="305"/>
      <c r="C92" s="293" t="s">
        <v>345</v>
      </c>
      <c r="D92" s="292" t="s">
        <v>77</v>
      </c>
      <c r="E92" s="1105"/>
      <c r="F92" s="1418" t="s">
        <v>160</v>
      </c>
      <c r="G92" s="1419"/>
      <c r="H92" s="306"/>
      <c r="I92" s="307"/>
      <c r="J92" s="308"/>
      <c r="K92" s="308"/>
    </row>
    <row r="93" spans="2:11" s="26" customFormat="1" ht="70.150000000000006" customHeight="1" x14ac:dyDescent="0.3">
      <c r="B93" s="305"/>
      <c r="C93" s="293" t="s">
        <v>644</v>
      </c>
      <c r="D93" s="292" t="s">
        <v>77</v>
      </c>
      <c r="E93" s="1105"/>
      <c r="F93" s="1418" t="s">
        <v>160</v>
      </c>
      <c r="G93" s="1419"/>
      <c r="H93" s="306"/>
      <c r="I93" s="307"/>
      <c r="J93" s="308"/>
      <c r="K93" s="308"/>
    </row>
    <row r="94" spans="2:11" s="26" customFormat="1" ht="49.9" customHeight="1" x14ac:dyDescent="0.3">
      <c r="B94" s="305"/>
      <c r="C94" s="310" t="s">
        <v>632</v>
      </c>
      <c r="D94" s="574" t="s">
        <v>3</v>
      </c>
      <c r="E94" s="572" t="s">
        <v>86</v>
      </c>
      <c r="F94" s="1495" t="s">
        <v>640</v>
      </c>
      <c r="G94" s="1496"/>
      <c r="H94" s="306"/>
      <c r="I94" s="307"/>
      <c r="J94" s="308"/>
      <c r="K94" s="308"/>
    </row>
    <row r="95" spans="2:11" ht="30" customHeight="1" x14ac:dyDescent="0.25">
      <c r="B95" s="59"/>
      <c r="C95" s="484"/>
      <c r="D95" s="484"/>
      <c r="E95" s="580" t="str">
        <f>IFERROR(IF(SUM(E96:E99)=0, "",IF(SUM(E96:E99)&gt;100, "  A soma das TM é superior a 100%. Por favor reveja.", IF(SUM(E96:E99)&lt;100, " A soma das TM é inferior a 100%. Por favor reveja.", ""))),"")</f>
        <v/>
      </c>
      <c r="F95" s="509" t="str">
        <f>IFERROR(IF(SUM(F96:F99)=0, "",IF(SUM(F96:F99)&gt;100, "  A soma das TM é superior a 100%. Por favor reveja.", IF(SUM(F96:F99)&lt;100, " A soma das TM é inferior a 100%. Por favor reveja.", ""))),"")</f>
        <v/>
      </c>
      <c r="G95" s="136"/>
      <c r="H95" s="69"/>
      <c r="I95" s="54"/>
      <c r="J95" s="90"/>
      <c r="K95" s="90"/>
    </row>
    <row r="96" spans="2:11" ht="70.150000000000006" customHeight="1" x14ac:dyDescent="0.25">
      <c r="B96" s="59"/>
      <c r="C96" s="293" t="s">
        <v>406</v>
      </c>
      <c r="D96" s="292" t="s">
        <v>77</v>
      </c>
      <c r="E96" s="1105"/>
      <c r="F96" s="1418" t="s">
        <v>160</v>
      </c>
      <c r="G96" s="1419"/>
      <c r="H96" s="69"/>
      <c r="I96" s="54"/>
      <c r="J96" s="55"/>
      <c r="K96" s="48"/>
    </row>
    <row r="97" spans="2:12" ht="70.150000000000006" customHeight="1" x14ac:dyDescent="0.25">
      <c r="B97" s="59"/>
      <c r="C97" s="293" t="s">
        <v>346</v>
      </c>
      <c r="D97" s="292" t="s">
        <v>77</v>
      </c>
      <c r="E97" s="1105"/>
      <c r="F97" s="1418" t="s">
        <v>160</v>
      </c>
      <c r="G97" s="1419"/>
      <c r="H97" s="69"/>
      <c r="I97" s="54"/>
      <c r="J97" s="55"/>
      <c r="K97" s="48"/>
    </row>
    <row r="98" spans="2:12" ht="70.150000000000006" customHeight="1" x14ac:dyDescent="0.25">
      <c r="B98" s="59"/>
      <c r="C98" s="293" t="s">
        <v>347</v>
      </c>
      <c r="D98" s="292" t="s">
        <v>77</v>
      </c>
      <c r="E98" s="1105"/>
      <c r="F98" s="1418" t="s">
        <v>160</v>
      </c>
      <c r="G98" s="1419"/>
      <c r="H98" s="69"/>
      <c r="I98" s="54"/>
      <c r="J98" s="55"/>
      <c r="K98" s="48"/>
    </row>
    <row r="99" spans="2:12" ht="70.150000000000006" customHeight="1" x14ac:dyDescent="0.25">
      <c r="B99" s="59"/>
      <c r="C99" s="293" t="s">
        <v>647</v>
      </c>
      <c r="D99" s="292" t="s">
        <v>77</v>
      </c>
      <c r="E99" s="1105"/>
      <c r="F99" s="1418" t="s">
        <v>160</v>
      </c>
      <c r="G99" s="1419"/>
      <c r="H99" s="69"/>
      <c r="I99" s="54"/>
      <c r="J99" s="55"/>
      <c r="K99" s="48"/>
    </row>
    <row r="100" spans="2:12" ht="49.9" customHeight="1" x14ac:dyDescent="0.25">
      <c r="B100" s="59"/>
      <c r="C100" s="310" t="s">
        <v>637</v>
      </c>
      <c r="D100" s="574" t="s">
        <v>3</v>
      </c>
      <c r="E100" s="572" t="s">
        <v>86</v>
      </c>
      <c r="F100" s="1495" t="s">
        <v>640</v>
      </c>
      <c r="G100" s="1496"/>
      <c r="H100" s="69"/>
      <c r="I100" s="54"/>
      <c r="J100" s="55"/>
      <c r="K100" s="48"/>
    </row>
    <row r="101" spans="2:12" ht="30" customHeight="1" x14ac:dyDescent="0.25">
      <c r="B101" s="59"/>
      <c r="C101" s="310"/>
      <c r="D101" s="484"/>
      <c r="E101" s="580" t="str">
        <f>IFERROR(IF(SUM(E102:E105)=0, "",IF(SUM(E102:E105)&gt;100, "  A soma das TM é superior a 100%. Por favor reveja.", IF(SUM(E102:E105)&lt;100, " A soma das TM é inferior a 100%. Por favor reveja.", ""))),"")</f>
        <v/>
      </c>
      <c r="F101" s="509" t="str">
        <f>IFERROR(IF(SUM(F102:F105)=0, "",IF(SUM(F102:F105)&gt;100, "  A soma das TM é superior a 100%. Por favor reveja.", IF(SUM(F102:F105)&lt;100, " A soma das TM é inferior a 100%. Por favor reveja.", ""))),"")</f>
        <v/>
      </c>
      <c r="G101" s="136"/>
      <c r="H101" s="69"/>
      <c r="I101" s="54"/>
      <c r="J101" s="55"/>
      <c r="K101" s="48"/>
    </row>
    <row r="102" spans="2:12" ht="70.150000000000006" customHeight="1" x14ac:dyDescent="0.25">
      <c r="B102" s="59"/>
      <c r="C102" s="293" t="s">
        <v>407</v>
      </c>
      <c r="D102" s="292" t="s">
        <v>77</v>
      </c>
      <c r="E102" s="1105"/>
      <c r="F102" s="1418" t="s">
        <v>160</v>
      </c>
      <c r="G102" s="1419"/>
      <c r="H102" s="69"/>
      <c r="I102" s="54"/>
      <c r="J102" s="55"/>
      <c r="K102" s="48"/>
    </row>
    <row r="103" spans="2:12" ht="70.150000000000006" customHeight="1" x14ac:dyDescent="0.25">
      <c r="B103" s="59"/>
      <c r="C103" s="293" t="s">
        <v>348</v>
      </c>
      <c r="D103" s="292" t="s">
        <v>77</v>
      </c>
      <c r="E103" s="1105"/>
      <c r="F103" s="1418" t="s">
        <v>160</v>
      </c>
      <c r="G103" s="1419"/>
      <c r="H103" s="69"/>
      <c r="I103" s="54"/>
      <c r="J103" s="55"/>
      <c r="K103" s="48"/>
    </row>
    <row r="104" spans="2:12" ht="70.150000000000006" customHeight="1" x14ac:dyDescent="0.25">
      <c r="B104" s="59"/>
      <c r="C104" s="293" t="s">
        <v>349</v>
      </c>
      <c r="D104" s="292" t="s">
        <v>77</v>
      </c>
      <c r="E104" s="1105"/>
      <c r="F104" s="1418" t="s">
        <v>160</v>
      </c>
      <c r="G104" s="1419"/>
      <c r="H104" s="69"/>
      <c r="I104" s="54"/>
      <c r="J104" s="55"/>
      <c r="K104" s="48"/>
    </row>
    <row r="105" spans="2:12" ht="70.150000000000006" customHeight="1" x14ac:dyDescent="0.25">
      <c r="B105" s="59"/>
      <c r="C105" s="293" t="s">
        <v>648</v>
      </c>
      <c r="D105" s="292" t="s">
        <v>77</v>
      </c>
      <c r="E105" s="1105"/>
      <c r="F105" s="1418" t="s">
        <v>160</v>
      </c>
      <c r="G105" s="1419"/>
      <c r="H105" s="69"/>
      <c r="I105" s="54"/>
      <c r="J105" s="55"/>
      <c r="K105" s="48"/>
    </row>
    <row r="106" spans="2:12" ht="49.9" customHeight="1" x14ac:dyDescent="0.25">
      <c r="B106" s="59"/>
      <c r="C106" s="310" t="s">
        <v>638</v>
      </c>
      <c r="D106" s="574" t="s">
        <v>3</v>
      </c>
      <c r="E106" s="572" t="s">
        <v>86</v>
      </c>
      <c r="F106" s="1495" t="s">
        <v>640</v>
      </c>
      <c r="G106" s="1496"/>
      <c r="H106" s="69"/>
      <c r="I106" s="54"/>
      <c r="J106" s="55"/>
      <c r="K106" s="48"/>
    </row>
    <row r="107" spans="2:12" ht="30" customHeight="1" x14ac:dyDescent="0.25">
      <c r="B107" s="59"/>
      <c r="C107" s="484"/>
      <c r="D107" s="484"/>
      <c r="E107" s="580" t="str">
        <f>IFERROR(IF(SUM(E108:E111)=0, "",IF(SUM(E108:E111)&gt;100, "  A soma das TM é superior a 100%. Por favor reveja.", IF(SUM(E108:E111)&lt;100, " A soma das TM é inferior a 100%. Por favor reveja.", ""))),"")</f>
        <v/>
      </c>
      <c r="F107" s="509" t="str">
        <f>IFERROR(IF(SUM(F108:F111)=0, "",IF(SUM(F108:F111)&gt;100, "  A soma das TM é superior a 100%. Por favor reveja.", IF(SUM(F108:F111)&lt;100, " A soma das TM é inferior a 100%. Por favor reveja.", ""))),"")</f>
        <v/>
      </c>
      <c r="G107" s="136"/>
      <c r="H107" s="69"/>
      <c r="I107" s="54"/>
      <c r="J107" s="55"/>
      <c r="K107" s="48"/>
    </row>
    <row r="108" spans="2:12" ht="70.150000000000006" customHeight="1" x14ac:dyDescent="0.25">
      <c r="B108" s="59"/>
      <c r="C108" s="293" t="s">
        <v>408</v>
      </c>
      <c r="D108" s="292" t="s">
        <v>77</v>
      </c>
      <c r="E108" s="1105"/>
      <c r="F108" s="1418" t="s">
        <v>160</v>
      </c>
      <c r="G108" s="1419"/>
      <c r="H108" s="69"/>
      <c r="I108" s="54"/>
      <c r="J108" s="55"/>
      <c r="K108" s="48"/>
    </row>
    <row r="109" spans="2:12" ht="70.150000000000006" customHeight="1" x14ac:dyDescent="0.25">
      <c r="B109" s="59"/>
      <c r="C109" s="293" t="s">
        <v>350</v>
      </c>
      <c r="D109" s="292" t="s">
        <v>77</v>
      </c>
      <c r="E109" s="1105"/>
      <c r="F109" s="1418" t="s">
        <v>160</v>
      </c>
      <c r="G109" s="1419"/>
      <c r="H109" s="69"/>
      <c r="I109" s="54"/>
      <c r="J109" s="55"/>
      <c r="K109" s="48"/>
    </row>
    <row r="110" spans="2:12" ht="70.150000000000006" customHeight="1" x14ac:dyDescent="0.25">
      <c r="B110" s="59"/>
      <c r="C110" s="293" t="s">
        <v>351</v>
      </c>
      <c r="D110" s="292" t="s">
        <v>77</v>
      </c>
      <c r="E110" s="1105"/>
      <c r="F110" s="1418" t="s">
        <v>160</v>
      </c>
      <c r="G110" s="1419"/>
      <c r="H110" s="69"/>
      <c r="I110" s="54"/>
      <c r="J110" s="55"/>
      <c r="K110" s="48"/>
    </row>
    <row r="111" spans="2:12" ht="70.150000000000006" customHeight="1" x14ac:dyDescent="0.25">
      <c r="B111" s="59"/>
      <c r="C111" s="293" t="s">
        <v>649</v>
      </c>
      <c r="D111" s="292" t="s">
        <v>77</v>
      </c>
      <c r="E111" s="1105"/>
      <c r="F111" s="1418" t="s">
        <v>160</v>
      </c>
      <c r="G111" s="1419"/>
      <c r="H111" s="69"/>
      <c r="I111" s="54"/>
      <c r="J111" s="55"/>
      <c r="K111" s="48"/>
    </row>
    <row r="112" spans="2:12" ht="15" customHeight="1" x14ac:dyDescent="0.25">
      <c r="B112" s="61"/>
      <c r="C112" s="75"/>
      <c r="D112" s="76"/>
      <c r="E112" s="76"/>
      <c r="F112" s="76"/>
      <c r="G112" s="76"/>
      <c r="H112" s="70"/>
      <c r="I112" s="54"/>
      <c r="J112" s="54"/>
      <c r="K112" s="54"/>
      <c r="L112" s="54"/>
    </row>
    <row r="119" spans="2:18" ht="40.15" customHeight="1" x14ac:dyDescent="0.25">
      <c r="B119" s="66"/>
      <c r="C119" s="66" t="s">
        <v>494</v>
      </c>
      <c r="D119" s="57"/>
      <c r="E119" s="57"/>
      <c r="F119" s="57"/>
      <c r="G119" s="57"/>
      <c r="H119" s="58"/>
    </row>
    <row r="120" spans="2:18" ht="24" customHeight="1" x14ac:dyDescent="0.25">
      <c r="B120" s="59"/>
      <c r="H120" s="60"/>
    </row>
    <row r="121" spans="2:18" ht="24" customHeight="1" x14ac:dyDescent="0.25">
      <c r="B121" s="59"/>
      <c r="C121" s="1411" t="s">
        <v>857</v>
      </c>
      <c r="D121" s="1410"/>
      <c r="E121" s="1410"/>
      <c r="F121" s="1410"/>
      <c r="G121" s="115"/>
      <c r="H121" s="60"/>
      <c r="J121" s="55"/>
      <c r="K121" s="64"/>
      <c r="Q121" s="55"/>
      <c r="R121" s="48"/>
    </row>
    <row r="122" spans="2:18" ht="40.15" customHeight="1" x14ac:dyDescent="0.25">
      <c r="B122" s="59"/>
      <c r="C122" s="592" t="s">
        <v>114</v>
      </c>
      <c r="D122" s="593" t="s">
        <v>3</v>
      </c>
      <c r="E122" s="593" t="s">
        <v>671</v>
      </c>
      <c r="F122" s="593" t="s">
        <v>673</v>
      </c>
      <c r="G122" s="212"/>
      <c r="H122" s="60"/>
      <c r="J122" s="55"/>
      <c r="K122" s="64"/>
      <c r="Q122" s="55"/>
      <c r="R122" s="48"/>
    </row>
    <row r="123" spans="2:18" ht="40.15" customHeight="1" x14ac:dyDescent="0.25">
      <c r="B123" s="59"/>
      <c r="C123" s="311" t="s">
        <v>866</v>
      </c>
      <c r="D123" s="312" t="s">
        <v>681</v>
      </c>
      <c r="E123" s="522" t="str">
        <f>IFERROR(FACalc_rodovia!D119," ")</f>
        <v/>
      </c>
      <c r="F123" s="523" t="str">
        <f>IFERROR(FACalc_rodovia!E119," ")</f>
        <v/>
      </c>
      <c r="G123" s="213"/>
      <c r="H123" s="60"/>
      <c r="J123" s="55"/>
      <c r="K123" s="64"/>
      <c r="Q123" s="55"/>
      <c r="R123" s="48"/>
    </row>
    <row r="124" spans="2:18" ht="40.15" customHeight="1" x14ac:dyDescent="0.25">
      <c r="B124" s="59"/>
      <c r="C124" s="313" t="s">
        <v>867</v>
      </c>
      <c r="D124" s="314" t="s">
        <v>681</v>
      </c>
      <c r="E124" s="524">
        <f>IFERROR(FACalc_rodovia!D120,"")</f>
        <v>0</v>
      </c>
      <c r="F124" s="525">
        <f>IFERROR(FACalc_rodovia!E120,"")</f>
        <v>0</v>
      </c>
      <c r="G124" s="604" t="str">
        <f>IF(F23= "","!Preencher Fator de Emissão de eletricidade","")</f>
        <v/>
      </c>
      <c r="H124" s="60"/>
      <c r="J124" s="55"/>
      <c r="K124" s="64"/>
      <c r="Q124" s="55"/>
      <c r="R124" s="48"/>
    </row>
    <row r="125" spans="2:18" ht="40.15" customHeight="1" x14ac:dyDescent="0.25">
      <c r="B125" s="59"/>
      <c r="C125" s="316" t="s">
        <v>868</v>
      </c>
      <c r="D125" s="317" t="s">
        <v>681</v>
      </c>
      <c r="E125" s="526" t="str">
        <f>IFERROR(FACalc_rodovia!D121,"")</f>
        <v/>
      </c>
      <c r="F125" s="527" t="str">
        <f>IFERROR(FACalc_rodovia!E121,"")</f>
        <v/>
      </c>
      <c r="G125" s="497"/>
      <c r="H125" s="60"/>
      <c r="J125" s="55"/>
      <c r="K125" s="64"/>
      <c r="Q125" s="55"/>
      <c r="R125" s="48"/>
    </row>
    <row r="126" spans="2:18" ht="40.15" customHeight="1" x14ac:dyDescent="0.25">
      <c r="B126" s="59"/>
      <c r="C126" s="598" t="s">
        <v>869</v>
      </c>
      <c r="D126" s="599" t="s">
        <v>681</v>
      </c>
      <c r="E126" s="600" t="str">
        <f>IFERROR(-E123,"")</f>
        <v/>
      </c>
      <c r="F126" s="601" t="str">
        <f>IFERROR(-F123,"")</f>
        <v/>
      </c>
      <c r="G126" s="497"/>
      <c r="H126" s="60"/>
      <c r="J126" s="55"/>
      <c r="K126" s="64"/>
      <c r="Q126" s="55"/>
      <c r="R126" s="48"/>
    </row>
    <row r="127" spans="2:18" ht="40.15" customHeight="1" x14ac:dyDescent="0.25">
      <c r="B127" s="59"/>
      <c r="C127" s="320" t="s">
        <v>441</v>
      </c>
      <c r="D127" s="321" t="s">
        <v>118</v>
      </c>
      <c r="E127" s="528">
        <f>IFERROR(FACalc_rodovia!D122,"")</f>
        <v>0</v>
      </c>
      <c r="F127" s="529" t="s">
        <v>107</v>
      </c>
      <c r="G127" s="213"/>
      <c r="H127" s="60"/>
      <c r="J127" s="55"/>
      <c r="K127" s="64"/>
      <c r="Q127" s="55"/>
      <c r="R127" s="48"/>
    </row>
    <row r="128" spans="2:18" ht="40.15" customHeight="1" x14ac:dyDescent="0.25">
      <c r="B128" s="59"/>
      <c r="C128" s="1250" t="s">
        <v>1320</v>
      </c>
      <c r="D128" s="321" t="s">
        <v>681</v>
      </c>
      <c r="E128" s="528">
        <f>IFERROR(FACalc_rodovia!D123,"")</f>
        <v>0</v>
      </c>
      <c r="F128" s="529" t="s">
        <v>107</v>
      </c>
      <c r="G128" s="213"/>
      <c r="H128" s="60"/>
      <c r="J128" s="55"/>
      <c r="K128" s="64"/>
      <c r="Q128" s="55"/>
      <c r="R128" s="48"/>
    </row>
    <row r="129" spans="2:18" ht="48" customHeight="1" x14ac:dyDescent="0.25">
      <c r="B129" s="59"/>
      <c r="C129" s="605" t="s">
        <v>670</v>
      </c>
      <c r="D129" s="1238" t="s">
        <v>1304</v>
      </c>
      <c r="E129" s="606" t="str">
        <f>IFERROR(FACalc_rodovia!D124,"")</f>
        <v/>
      </c>
      <c r="F129" s="607" t="str">
        <f>IFERROR(FACalc_rodovia!E124,"")</f>
        <v/>
      </c>
      <c r="G129" s="682" t="str">
        <f>IF(E129="","!Preencher Ano de início da exploração (ID_Identificação do Projeto)","" )</f>
        <v>!Preencher Ano de início da exploração (ID_Identificação do Projeto)</v>
      </c>
      <c r="H129" s="60"/>
      <c r="J129" s="55"/>
      <c r="K129" s="64"/>
      <c r="Q129" s="55"/>
      <c r="R129" s="48"/>
    </row>
    <row r="130" spans="2:18" ht="23.45" customHeight="1" x14ac:dyDescent="0.25">
      <c r="B130" s="59"/>
      <c r="C130" s="397"/>
      <c r="D130" s="397"/>
      <c r="E130" s="397"/>
      <c r="F130" s="88"/>
      <c r="G130" s="88"/>
      <c r="H130" s="60"/>
      <c r="J130" s="55"/>
      <c r="K130" s="48"/>
      <c r="Q130" s="55"/>
      <c r="R130" s="48"/>
    </row>
    <row r="131" spans="2:18" ht="19.899999999999999" customHeight="1" x14ac:dyDescent="0.25">
      <c r="B131" s="59"/>
      <c r="C131" s="87"/>
      <c r="D131" s="88"/>
      <c r="E131" s="88"/>
      <c r="F131" s="88"/>
      <c r="G131" s="88"/>
      <c r="H131" s="60"/>
      <c r="J131" s="55"/>
      <c r="K131" s="48"/>
      <c r="Q131" s="55"/>
      <c r="R131" s="48"/>
    </row>
    <row r="132" spans="2:18" ht="24" customHeight="1" x14ac:dyDescent="0.25">
      <c r="B132" s="59"/>
      <c r="C132" s="1410" t="s">
        <v>682</v>
      </c>
      <c r="D132" s="1410"/>
      <c r="E132" s="1410"/>
      <c r="F132" s="1410"/>
      <c r="G132" s="115"/>
      <c r="H132" s="60"/>
      <c r="J132" s="55"/>
      <c r="K132" s="48"/>
      <c r="Q132" s="55"/>
      <c r="R132" s="48"/>
    </row>
    <row r="133" spans="2:18" ht="40.15" customHeight="1" x14ac:dyDescent="0.25">
      <c r="B133" s="59"/>
      <c r="C133" s="575" t="s">
        <v>629</v>
      </c>
      <c r="D133" s="591" t="s">
        <v>3</v>
      </c>
      <c r="E133" s="591" t="s">
        <v>671</v>
      </c>
      <c r="F133" s="591" t="s">
        <v>673</v>
      </c>
      <c r="G133" s="214"/>
      <c r="H133" s="60"/>
      <c r="J133" s="55"/>
      <c r="K133" s="48"/>
      <c r="Q133" s="55"/>
      <c r="R133" s="48"/>
    </row>
    <row r="134" spans="2:18" ht="40.15" customHeight="1" x14ac:dyDescent="0.25">
      <c r="B134" s="59"/>
      <c r="C134" s="329" t="s">
        <v>504</v>
      </c>
      <c r="D134" s="330" t="s">
        <v>681</v>
      </c>
      <c r="E134" s="366" t="str">
        <f>IFERROR(FACalc_rodovia!I111,"")</f>
        <v/>
      </c>
      <c r="F134" s="367" t="str">
        <f>IFERROR(FACalc_rodovia!J111,"")</f>
        <v/>
      </c>
      <c r="G134" s="213"/>
      <c r="H134" s="60"/>
      <c r="J134" s="207"/>
      <c r="K134" s="48"/>
      <c r="Q134" s="55"/>
      <c r="R134" s="48"/>
    </row>
    <row r="135" spans="2:18" ht="40.15" customHeight="1" x14ac:dyDescent="0.25">
      <c r="B135" s="59"/>
      <c r="C135" s="331" t="s">
        <v>334</v>
      </c>
      <c r="D135" s="332" t="s">
        <v>681</v>
      </c>
      <c r="E135" s="498">
        <f>IFERROR(FACalc_rodovia!I112,"")</f>
        <v>0</v>
      </c>
      <c r="F135" s="499">
        <f>IFERROR(FACalc_rodovia!J112,"")</f>
        <v>0</v>
      </c>
      <c r="G135" s="258"/>
      <c r="H135" s="60"/>
      <c r="J135" s="55"/>
      <c r="K135" s="48"/>
      <c r="Q135" s="55"/>
      <c r="R135" s="48"/>
    </row>
    <row r="136" spans="2:18" ht="40.15" customHeight="1" x14ac:dyDescent="0.25">
      <c r="B136" s="59"/>
      <c r="C136" s="333" t="s">
        <v>360</v>
      </c>
      <c r="D136" s="334" t="s">
        <v>681</v>
      </c>
      <c r="E136" s="368" t="str">
        <f>IFERROR(FACalc_rodovia!I113,"")</f>
        <v/>
      </c>
      <c r="F136" s="369" t="str">
        <f>IFERROR(FACalc_rodovia!J113,"")</f>
        <v/>
      </c>
      <c r="G136" s="213"/>
      <c r="H136" s="60"/>
      <c r="J136" s="55"/>
      <c r="K136" s="48"/>
      <c r="Q136" s="55"/>
      <c r="R136" s="48"/>
    </row>
    <row r="137" spans="2:18" ht="40.15" customHeight="1" x14ac:dyDescent="0.25">
      <c r="B137" s="59"/>
      <c r="C137" s="484" t="s">
        <v>630</v>
      </c>
      <c r="D137" s="591" t="s">
        <v>3</v>
      </c>
      <c r="E137" s="591" t="s">
        <v>671</v>
      </c>
      <c r="F137" s="591" t="s">
        <v>673</v>
      </c>
      <c r="G137" s="214"/>
      <c r="H137" s="60"/>
      <c r="J137" s="55"/>
      <c r="K137" s="48"/>
      <c r="Q137" s="55"/>
      <c r="R137" s="48"/>
    </row>
    <row r="138" spans="2:18" ht="40.15" customHeight="1" x14ac:dyDescent="0.25">
      <c r="B138" s="59"/>
      <c r="C138" s="329" t="s">
        <v>504</v>
      </c>
      <c r="D138" s="326" t="s">
        <v>681</v>
      </c>
      <c r="E138" s="366" t="str">
        <f>IFERROR(FACalc_rodovia!I115,"")</f>
        <v/>
      </c>
      <c r="F138" s="367" t="str">
        <f>IFERROR(FACalc_rodovia!J119,"0")</f>
        <v>0</v>
      </c>
      <c r="G138" s="213"/>
      <c r="H138" s="60"/>
      <c r="J138" s="55"/>
      <c r="K138" s="48"/>
      <c r="Q138" s="55"/>
      <c r="R138" s="48"/>
    </row>
    <row r="139" spans="2:18" ht="40.15" customHeight="1" x14ac:dyDescent="0.25">
      <c r="B139" s="59"/>
      <c r="C139" s="331" t="s">
        <v>334</v>
      </c>
      <c r="D139" s="327" t="s">
        <v>681</v>
      </c>
      <c r="E139" s="498">
        <f>IFERROR(FACalc_rodovia!I116,"")</f>
        <v>0</v>
      </c>
      <c r="F139" s="499">
        <f>IFERROR(FACalc_rodovia!J120,"")</f>
        <v>0</v>
      </c>
      <c r="G139" s="213"/>
      <c r="H139" s="60"/>
      <c r="J139" s="54"/>
      <c r="K139" s="54"/>
      <c r="Q139" s="55"/>
      <c r="R139" s="48"/>
    </row>
    <row r="140" spans="2:18" ht="40.15" customHeight="1" x14ac:dyDescent="0.25">
      <c r="B140" s="59"/>
      <c r="C140" s="333" t="s">
        <v>360</v>
      </c>
      <c r="D140" s="328" t="s">
        <v>681</v>
      </c>
      <c r="E140" s="368" t="str">
        <f>IFERROR(FACalc_rodovia!I117,"")</f>
        <v/>
      </c>
      <c r="F140" s="369" t="str">
        <f>IFERROR(FACalc_rodovia!J121,"")</f>
        <v/>
      </c>
      <c r="G140" s="213"/>
      <c r="H140" s="60"/>
      <c r="J140" s="54" t="s">
        <v>112</v>
      </c>
      <c r="K140" s="54"/>
      <c r="Q140" s="55"/>
      <c r="R140" s="48"/>
    </row>
    <row r="141" spans="2:18" ht="40.15" customHeight="1" x14ac:dyDescent="0.25">
      <c r="B141" s="59"/>
      <c r="C141" s="575" t="s">
        <v>631</v>
      </c>
      <c r="D141" s="591" t="s">
        <v>3</v>
      </c>
      <c r="E141" s="591" t="s">
        <v>671</v>
      </c>
      <c r="F141" s="591" t="s">
        <v>673</v>
      </c>
      <c r="G141" s="214"/>
      <c r="H141" s="60"/>
      <c r="J141" s="54"/>
      <c r="K141" s="54"/>
      <c r="Q141" s="55"/>
      <c r="R141" s="48"/>
    </row>
    <row r="142" spans="2:18" ht="40.15" customHeight="1" x14ac:dyDescent="0.25">
      <c r="B142" s="59"/>
      <c r="C142" s="329" t="s">
        <v>504</v>
      </c>
      <c r="D142" s="326" t="s">
        <v>681</v>
      </c>
      <c r="E142" s="366" t="str">
        <f>IFERROR(FACalc_rodovia!I119,"")</f>
        <v/>
      </c>
      <c r="F142" s="367" t="str">
        <f>IFERROR(FACalc_rodovia!J119,"")</f>
        <v/>
      </c>
      <c r="G142" s="213"/>
      <c r="H142" s="60"/>
      <c r="J142" s="54"/>
      <c r="K142" s="54"/>
      <c r="Q142" s="55"/>
      <c r="R142" s="48"/>
    </row>
    <row r="143" spans="2:18" ht="40.15" customHeight="1" x14ac:dyDescent="0.25">
      <c r="B143" s="59"/>
      <c r="C143" s="331" t="s">
        <v>334</v>
      </c>
      <c r="D143" s="327" t="s">
        <v>681</v>
      </c>
      <c r="E143" s="498">
        <f>IFERROR(FACalc_rodovia!I120,"")</f>
        <v>0</v>
      </c>
      <c r="F143" s="499">
        <f>IFERROR(FACalc_rodovia!J120,"")</f>
        <v>0</v>
      </c>
      <c r="G143" s="213"/>
      <c r="H143" s="60"/>
      <c r="J143" s="54"/>
      <c r="K143" s="54"/>
      <c r="Q143" s="55"/>
      <c r="R143" s="48"/>
    </row>
    <row r="144" spans="2:18" ht="40.15" customHeight="1" x14ac:dyDescent="0.25">
      <c r="B144" s="59"/>
      <c r="C144" s="333" t="s">
        <v>360</v>
      </c>
      <c r="D144" s="328" t="s">
        <v>681</v>
      </c>
      <c r="E144" s="368" t="str">
        <f>IFERROR(FACalc_rodovia!I121,"")</f>
        <v/>
      </c>
      <c r="F144" s="369" t="str">
        <f>IFERROR(FACalc_rodovia!J121,"")</f>
        <v/>
      </c>
      <c r="G144" s="213"/>
      <c r="H144" s="60"/>
      <c r="J144" s="208"/>
      <c r="K144" s="54"/>
      <c r="Q144" s="55"/>
      <c r="R144" s="48"/>
    </row>
    <row r="145" spans="2:18" ht="40.15" customHeight="1" x14ac:dyDescent="0.25">
      <c r="B145" s="59"/>
      <c r="C145" s="484" t="s">
        <v>632</v>
      </c>
      <c r="D145" s="591" t="s">
        <v>3</v>
      </c>
      <c r="E145" s="591" t="s">
        <v>671</v>
      </c>
      <c r="F145" s="591" t="s">
        <v>673</v>
      </c>
      <c r="G145" s="214"/>
      <c r="H145" s="60"/>
      <c r="J145" s="208"/>
      <c r="K145" s="54"/>
      <c r="Q145" s="55"/>
      <c r="R145" s="48"/>
    </row>
    <row r="146" spans="2:18" ht="40.15" customHeight="1" x14ac:dyDescent="0.25">
      <c r="B146" s="59"/>
      <c r="C146" s="329" t="s">
        <v>504</v>
      </c>
      <c r="D146" s="326" t="s">
        <v>681</v>
      </c>
      <c r="E146" s="366" t="str">
        <f>IFERROR(FACalc_rodovia!I123,"")</f>
        <v/>
      </c>
      <c r="F146" s="367" t="str">
        <f>IFERROR(FACalc_rodovia!J123,"")</f>
        <v/>
      </c>
      <c r="G146" s="213"/>
      <c r="H146" s="60"/>
      <c r="J146" s="208"/>
      <c r="K146" s="54"/>
      <c r="Q146" s="55"/>
      <c r="R146" s="48"/>
    </row>
    <row r="147" spans="2:18" ht="40.15" customHeight="1" x14ac:dyDescent="0.25">
      <c r="B147" s="59"/>
      <c r="C147" s="331" t="s">
        <v>334</v>
      </c>
      <c r="D147" s="327" t="s">
        <v>681</v>
      </c>
      <c r="E147" s="498">
        <f>IFERROR(FACalc_rodovia!I124,"")</f>
        <v>0</v>
      </c>
      <c r="F147" s="499">
        <f>IFERROR(FACalc_rodovia!J124,"")</f>
        <v>0</v>
      </c>
      <c r="G147" s="213"/>
      <c r="H147" s="60"/>
      <c r="J147" s="208"/>
      <c r="K147" s="54"/>
      <c r="Q147" s="55"/>
      <c r="R147" s="48"/>
    </row>
    <row r="148" spans="2:18" ht="40.15" customHeight="1" x14ac:dyDescent="0.25">
      <c r="B148" s="59"/>
      <c r="C148" s="333" t="s">
        <v>360</v>
      </c>
      <c r="D148" s="328" t="s">
        <v>681</v>
      </c>
      <c r="E148" s="368" t="str">
        <f>IFERROR(FACalc_rodovia!I125,"")</f>
        <v/>
      </c>
      <c r="F148" s="369" t="str">
        <f>IFERROR(FACalc_rodovia!J125,"")</f>
        <v/>
      </c>
      <c r="G148" s="213"/>
      <c r="H148" s="60"/>
      <c r="J148" s="208"/>
      <c r="K148" s="54"/>
      <c r="Q148" s="55"/>
      <c r="R148" s="48"/>
    </row>
    <row r="149" spans="2:18" ht="40.15" customHeight="1" x14ac:dyDescent="0.25">
      <c r="B149" s="59"/>
      <c r="C149" s="484" t="s">
        <v>677</v>
      </c>
      <c r="D149" s="591" t="s">
        <v>3</v>
      </c>
      <c r="E149" s="591" t="s">
        <v>671</v>
      </c>
      <c r="F149" s="591" t="s">
        <v>673</v>
      </c>
      <c r="G149" s="214"/>
      <c r="H149" s="60"/>
      <c r="J149" s="208"/>
      <c r="K149" s="54"/>
      <c r="Q149" s="55"/>
      <c r="R149" s="48"/>
    </row>
    <row r="150" spans="2:18" ht="40.15" customHeight="1" x14ac:dyDescent="0.25">
      <c r="B150" s="59"/>
      <c r="C150" s="329" t="s">
        <v>504</v>
      </c>
      <c r="D150" s="326" t="s">
        <v>681</v>
      </c>
      <c r="E150" s="366" t="str">
        <f>IFERROR(FACalc_rodovia!I127,"")</f>
        <v/>
      </c>
      <c r="F150" s="367" t="str">
        <f>IFERROR(FACalc_rodovia!J127,"")</f>
        <v/>
      </c>
      <c r="G150" s="213"/>
      <c r="H150" s="60"/>
      <c r="J150" s="208"/>
      <c r="K150" s="54"/>
      <c r="Q150" s="55"/>
      <c r="R150" s="48"/>
    </row>
    <row r="151" spans="2:18" ht="40.15" customHeight="1" x14ac:dyDescent="0.25">
      <c r="B151" s="59"/>
      <c r="C151" s="331" t="s">
        <v>334</v>
      </c>
      <c r="D151" s="327" t="s">
        <v>681</v>
      </c>
      <c r="E151" s="498">
        <f>IFERROR(FACalc_rodovia!I128,"")</f>
        <v>0</v>
      </c>
      <c r="F151" s="499">
        <f>IFERROR(FACalc_rodovia!J128,"")</f>
        <v>0</v>
      </c>
      <c r="G151" s="213"/>
      <c r="H151" s="60"/>
      <c r="J151" s="208"/>
      <c r="K151" s="54"/>
      <c r="Q151" s="55"/>
      <c r="R151" s="48"/>
    </row>
    <row r="152" spans="2:18" ht="40.15" customHeight="1" x14ac:dyDescent="0.25">
      <c r="B152" s="59"/>
      <c r="C152" s="333" t="s">
        <v>360</v>
      </c>
      <c r="D152" s="328" t="s">
        <v>681</v>
      </c>
      <c r="E152" s="368" t="str">
        <f>IFERROR(FACalc_rodovia!I129,"")</f>
        <v/>
      </c>
      <c r="F152" s="369" t="str">
        <f>IFERROR(FACalc_rodovia!J129,"")</f>
        <v/>
      </c>
      <c r="G152" s="213"/>
      <c r="H152" s="60"/>
      <c r="J152" s="208"/>
      <c r="K152" s="54"/>
      <c r="Q152" s="55"/>
      <c r="R152" s="48"/>
    </row>
    <row r="153" spans="2:18" ht="40.15" customHeight="1" x14ac:dyDescent="0.25">
      <c r="B153" s="59"/>
      <c r="C153" s="484" t="s">
        <v>678</v>
      </c>
      <c r="D153" s="591" t="s">
        <v>3</v>
      </c>
      <c r="E153" s="591" t="s">
        <v>671</v>
      </c>
      <c r="F153" s="591" t="s">
        <v>673</v>
      </c>
      <c r="G153" s="214"/>
      <c r="H153" s="60"/>
      <c r="J153" s="54"/>
      <c r="K153" s="54"/>
      <c r="Q153" s="55"/>
      <c r="R153" s="48"/>
    </row>
    <row r="154" spans="2:18" ht="40.15" customHeight="1" x14ac:dyDescent="0.25">
      <c r="B154" s="59"/>
      <c r="C154" s="329" t="s">
        <v>504</v>
      </c>
      <c r="D154" s="326" t="s">
        <v>681</v>
      </c>
      <c r="E154" s="366" t="str">
        <f>IFERROR(FACalc_rodovia!I131,"")</f>
        <v/>
      </c>
      <c r="F154" s="367" t="str">
        <f>IFERROR(FACalc_rodovia!J131,"")</f>
        <v/>
      </c>
      <c r="G154" s="213"/>
      <c r="H154" s="60"/>
      <c r="J154" s="54"/>
      <c r="K154" s="64"/>
      <c r="Q154" s="54"/>
      <c r="R154" s="54"/>
    </row>
    <row r="155" spans="2:18" ht="40.15" customHeight="1" x14ac:dyDescent="0.25">
      <c r="B155" s="59"/>
      <c r="C155" s="331" t="s">
        <v>334</v>
      </c>
      <c r="D155" s="327" t="s">
        <v>681</v>
      </c>
      <c r="E155" s="498">
        <f>IFERROR(FACalc_rodovia!I132,"")</f>
        <v>0</v>
      </c>
      <c r="F155" s="499">
        <f>IFERROR(FACalc_rodovia!J132,"")</f>
        <v>0</v>
      </c>
      <c r="G155" s="213"/>
      <c r="H155" s="60"/>
      <c r="J155" s="159"/>
      <c r="K155" s="54"/>
      <c r="Q155" s="54"/>
      <c r="R155" s="54"/>
    </row>
    <row r="156" spans="2:18" ht="40.15" customHeight="1" x14ac:dyDescent="0.25">
      <c r="B156" s="59"/>
      <c r="C156" s="333" t="s">
        <v>360</v>
      </c>
      <c r="D156" s="328" t="s">
        <v>681</v>
      </c>
      <c r="E156" s="368" t="str">
        <f>IFERROR(FACalc_rodovia!I133,"")</f>
        <v/>
      </c>
      <c r="F156" s="369" t="str">
        <f>IFERROR(FACalc_rodovia!J133,"")</f>
        <v/>
      </c>
      <c r="G156" s="213"/>
      <c r="H156" s="60"/>
      <c r="J156" s="54"/>
      <c r="K156" s="64"/>
      <c r="Q156" s="54"/>
      <c r="R156" s="64"/>
    </row>
    <row r="157" spans="2:18" ht="40.15" customHeight="1" x14ac:dyDescent="0.25">
      <c r="B157" s="59"/>
      <c r="C157" s="603"/>
      <c r="D157" s="394"/>
      <c r="E157" s="813"/>
      <c r="F157" s="813"/>
      <c r="G157" s="88"/>
      <c r="H157" s="60"/>
      <c r="J157" s="54"/>
      <c r="K157" s="64"/>
      <c r="Q157" s="54"/>
      <c r="R157" s="64"/>
    </row>
    <row r="158" spans="2:18" x14ac:dyDescent="0.25">
      <c r="B158" s="59"/>
      <c r="C158" s="1410" t="s">
        <v>972</v>
      </c>
      <c r="D158" s="1410"/>
      <c r="E158" s="1410"/>
      <c r="F158" s="1410"/>
      <c r="G158" s="115"/>
      <c r="H158" s="60"/>
      <c r="J158" s="54"/>
      <c r="K158" s="64"/>
      <c r="Q158" s="54"/>
      <c r="R158" s="64"/>
    </row>
    <row r="159" spans="2:18" ht="49.9" customHeight="1" x14ac:dyDescent="0.25">
      <c r="B159" s="59"/>
      <c r="C159" s="594"/>
      <c r="D159" s="759" t="s">
        <v>3</v>
      </c>
      <c r="E159" s="759" t="s">
        <v>400</v>
      </c>
      <c r="F159" s="759" t="s">
        <v>401</v>
      </c>
      <c r="G159" s="759" t="s">
        <v>403</v>
      </c>
      <c r="H159" s="60"/>
      <c r="J159" s="54"/>
      <c r="K159" s="64"/>
      <c r="Q159" s="54"/>
      <c r="R159" s="64"/>
    </row>
    <row r="160" spans="2:18" ht="40.15" customHeight="1" x14ac:dyDescent="0.25">
      <c r="B160" s="59"/>
      <c r="C160" s="804" t="s">
        <v>672</v>
      </c>
      <c r="D160" s="805" t="s">
        <v>889</v>
      </c>
      <c r="E160" s="806">
        <f>IFERROR((E135/FACalc_rodovia!$C$12),"")</f>
        <v>0</v>
      </c>
      <c r="F160" s="806">
        <f>IFERROR((E143/FACalc_rodovia!$C$12),"")</f>
        <v>0</v>
      </c>
      <c r="G160" s="807">
        <f>IFERROR((E151/FACalc_rodovia!$C$12),"")</f>
        <v>0</v>
      </c>
      <c r="H160" s="60"/>
      <c r="J160" s="54"/>
      <c r="K160" s="54"/>
      <c r="Q160" s="54"/>
      <c r="R160" s="54"/>
    </row>
    <row r="161" spans="2:18" ht="40.15" customHeight="1" x14ac:dyDescent="0.25">
      <c r="B161" s="59"/>
      <c r="C161" s="1248" t="s">
        <v>1321</v>
      </c>
      <c r="D161" s="805" t="s">
        <v>679</v>
      </c>
      <c r="E161" s="806">
        <f>IFERROR(E135,"")</f>
        <v>0</v>
      </c>
      <c r="F161" s="806">
        <f>IFERROR(E143,"")</f>
        <v>0</v>
      </c>
      <c r="G161" s="807">
        <f>IFERROR(E151,"")</f>
        <v>0</v>
      </c>
      <c r="H161" s="60"/>
      <c r="J161" s="54"/>
      <c r="K161" s="64"/>
      <c r="Q161" s="54"/>
      <c r="R161" s="54"/>
    </row>
    <row r="162" spans="2:18" ht="40.15" customHeight="1" x14ac:dyDescent="0.25">
      <c r="B162" s="59"/>
      <c r="C162" s="1248" t="s">
        <v>1341</v>
      </c>
      <c r="D162" s="805" t="s">
        <v>887</v>
      </c>
      <c r="E162" s="806" t="str">
        <f>IFERROR(E161/E47,"")</f>
        <v/>
      </c>
      <c r="F162" s="806" t="str">
        <f>IFERROR(F161/E56,"")</f>
        <v/>
      </c>
      <c r="G162" s="807" t="str">
        <f>IFERROR(G161/E59,"")</f>
        <v/>
      </c>
      <c r="H162" s="60"/>
      <c r="J162" s="54"/>
      <c r="K162" s="64"/>
      <c r="Q162" s="54"/>
      <c r="R162" s="54"/>
    </row>
    <row r="163" spans="2:18" ht="40.15" customHeight="1" x14ac:dyDescent="0.25">
      <c r="B163" s="59"/>
      <c r="C163" s="1248" t="s">
        <v>1342</v>
      </c>
      <c r="D163" s="808" t="s">
        <v>680</v>
      </c>
      <c r="E163" s="806" t="str">
        <f>IFERROR((E161/(E46*E47)),"")</f>
        <v/>
      </c>
      <c r="F163" s="806" t="str">
        <f>IFERROR((F161/(E56*E55)),"")</f>
        <v/>
      </c>
      <c r="G163" s="807" t="str">
        <f>IFERROR((G161/(E59*E58)),"")</f>
        <v/>
      </c>
      <c r="H163" s="60"/>
      <c r="J163" s="54"/>
      <c r="K163" s="54"/>
      <c r="Q163" s="54"/>
      <c r="R163" s="54"/>
    </row>
    <row r="164" spans="2:18" ht="15" customHeight="1" x14ac:dyDescent="0.25">
      <c r="B164" s="61"/>
      <c r="C164" s="75"/>
      <c r="D164" s="76"/>
      <c r="E164" s="76"/>
      <c r="F164" s="76"/>
      <c r="G164" s="76"/>
      <c r="H164" s="70"/>
      <c r="I164" s="54"/>
      <c r="J164" s="54"/>
      <c r="K164" s="54"/>
    </row>
  </sheetData>
  <sheetProtection algorithmName="SHA-512" hashValue="GXVrTXNHYFOcw+YRyjmgVTXMkIvD9u/3L21WpgElF8yj3Kq1JrwzXwXh6r+dfRqdr/wcE9StTWvowH8F0ai4EQ==" saltValue="5oaloMq3e6Ol6IiaXparMw==" spinCount="100000" sheet="1" objects="1" scenarios="1" selectLockedCells="1"/>
  <mergeCells count="94">
    <mergeCell ref="F82:G82"/>
    <mergeCell ref="F84:G84"/>
    <mergeCell ref="F85:G85"/>
    <mergeCell ref="F86:G86"/>
    <mergeCell ref="F87:G87"/>
    <mergeCell ref="C158:F158"/>
    <mergeCell ref="F97:G97"/>
    <mergeCell ref="F98:G98"/>
    <mergeCell ref="F99:G99"/>
    <mergeCell ref="F102:G102"/>
    <mergeCell ref="C132:F132"/>
    <mergeCell ref="C121:F121"/>
    <mergeCell ref="F111:G111"/>
    <mergeCell ref="F106:G106"/>
    <mergeCell ref="Q25:Q27"/>
    <mergeCell ref="O25:O27"/>
    <mergeCell ref="J32:K32"/>
    <mergeCell ref="J33:K34"/>
    <mergeCell ref="L33:L34"/>
    <mergeCell ref="P25:P27"/>
    <mergeCell ref="D12:G12"/>
    <mergeCell ref="D13:G13"/>
    <mergeCell ref="D14:G14"/>
    <mergeCell ref="C11:C14"/>
    <mergeCell ref="F61:G61"/>
    <mergeCell ref="F56:G56"/>
    <mergeCell ref="F47:G47"/>
    <mergeCell ref="C37:C39"/>
    <mergeCell ref="F49:G49"/>
    <mergeCell ref="D40:E40"/>
    <mergeCell ref="C40:C41"/>
    <mergeCell ref="F42:G42"/>
    <mergeCell ref="F52:G52"/>
    <mergeCell ref="F53:G53"/>
    <mergeCell ref="F55:G55"/>
    <mergeCell ref="F46:G46"/>
    <mergeCell ref="C89:D89"/>
    <mergeCell ref="C36:G36"/>
    <mergeCell ref="D37:G37"/>
    <mergeCell ref="F76:G76"/>
    <mergeCell ref="F78:G78"/>
    <mergeCell ref="F79:G79"/>
    <mergeCell ref="F80:G80"/>
    <mergeCell ref="C69:F69"/>
    <mergeCell ref="F62:G62"/>
    <mergeCell ref="D38:G38"/>
    <mergeCell ref="D39:G39"/>
    <mergeCell ref="F43:G43"/>
    <mergeCell ref="F45:G45"/>
    <mergeCell ref="F48:G48"/>
    <mergeCell ref="F57:G57"/>
    <mergeCell ref="F60:G60"/>
    <mergeCell ref="B2:M3"/>
    <mergeCell ref="J31:K31"/>
    <mergeCell ref="K22:L22"/>
    <mergeCell ref="J23:L25"/>
    <mergeCell ref="K6:L6"/>
    <mergeCell ref="C8:G8"/>
    <mergeCell ref="D15:G15"/>
    <mergeCell ref="D16:G16"/>
    <mergeCell ref="D17:G17"/>
    <mergeCell ref="D18:G18"/>
    <mergeCell ref="C15:C20"/>
    <mergeCell ref="D19:G19"/>
    <mergeCell ref="D20:F20"/>
    <mergeCell ref="J7:L11"/>
    <mergeCell ref="D11:G11"/>
    <mergeCell ref="C10:G10"/>
    <mergeCell ref="F88:G88"/>
    <mergeCell ref="F104:G104"/>
    <mergeCell ref="F105:G105"/>
    <mergeCell ref="F103:G103"/>
    <mergeCell ref="F94:G94"/>
    <mergeCell ref="D73:G73"/>
    <mergeCell ref="F108:G108"/>
    <mergeCell ref="F109:G109"/>
    <mergeCell ref="F110:G110"/>
    <mergeCell ref="F58:G58"/>
    <mergeCell ref="F59:G59"/>
    <mergeCell ref="D74:G74"/>
    <mergeCell ref="F81:G81"/>
    <mergeCell ref="C71:G71"/>
    <mergeCell ref="D72:G72"/>
    <mergeCell ref="F90:G90"/>
    <mergeCell ref="F91:G91"/>
    <mergeCell ref="F92:G92"/>
    <mergeCell ref="F93:G93"/>
    <mergeCell ref="F96:G96"/>
    <mergeCell ref="F100:G100"/>
    <mergeCell ref="F51:G51"/>
    <mergeCell ref="F54:G54"/>
    <mergeCell ref="F50:G50"/>
    <mergeCell ref="F44:G44"/>
    <mergeCell ref="E41:G41"/>
  </mergeCells>
  <dataValidations count="3">
    <dataValidation errorStyle="warning" allowBlank="1" showInputMessage="1" showErrorMessage="1" error="Não Introduzir valor" sqref="F28:F29 E49:E50 E52:E53 E61:E62 E55:E56 E58:E59 F25:F26 E44 F31:F32 E46:E47" xr:uid="{3F2BD656-487D-4407-B595-30899A256531}"/>
    <dataValidation type="list" allowBlank="1" showInputMessage="1" showErrorMessage="1" sqref="K6" xr:uid="{32900171-9DE0-4C52-92B7-92FCC6D35660}">
      <formula1>$T$7:$T$9</formula1>
    </dataValidation>
    <dataValidation type="list" allowBlank="1" showInputMessage="1" showErrorMessage="1" sqref="K22:L22" xr:uid="{A944E082-6A44-4350-9AAD-9EA623CC2E32}">
      <formula1>$T$23:$T$26</formula1>
    </dataValidation>
  </dataValidations>
  <hyperlinks>
    <hyperlink ref="E41:G41" r:id="rId1" display="Mobilidade e funcionalidade do território nas Áreas Metropolitanas do Porto e de Lisboa : 2017" xr:uid="{BB5AE92E-B3DA-465E-9DC5-410C133A4FA1}"/>
    <hyperlink ref="G124" location="TM2_rodovia!F22" display="TM2_rodovia!F22" xr:uid="{7B48148B-5222-49B5-87A8-24D8BF1BCD5C}"/>
    <hyperlink ref="G20" location="'Fatores de Emissão'!A1" display="Fatores de Emissão" xr:uid="{E8B8EDBC-87C7-4215-90A8-767F1C574590}"/>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90" id="{E54EDE87-C5D5-41F9-ACF4-984DAB4CD382}">
            <xm:f>FACalc_rodovia!$C$11=FAListas!#REF!</xm:f>
            <x14:dxf>
              <fill>
                <patternFill>
                  <bgColor theme="1"/>
                </patternFill>
              </fill>
            </x14:dxf>
          </x14:cfRule>
          <xm:sqref>E42 E77:E81 E83:E87 E89:E93 E95:E99 E101:E105 E107:E111 C122:G128 C129:F129</xm:sqref>
        </x14:conditionalFormatting>
        <x14:conditionalFormatting xmlns:xm="http://schemas.microsoft.com/office/excel/2006/main">
          <x14:cfRule type="expression" priority="800" id="{FEFB13A6-6B80-4860-905A-8616712DDBD6}">
            <xm:f>#REF!=FAListas!#REF!</xm:f>
            <x14:dxf>
              <fill>
                <patternFill>
                  <bgColor theme="1"/>
                </patternFill>
              </fill>
            </x14:dxf>
          </x14:cfRule>
          <xm:sqref>E78:E81 E84:E87 E90:E93 E96:E99 E102:E105 E108:E111</xm:sqref>
        </x14:conditionalFormatting>
        <x14:conditionalFormatting xmlns:xm="http://schemas.microsoft.com/office/excel/2006/main">
          <x14:cfRule type="expression" priority="808" id="{BECC866D-D3CA-4CA8-9E69-3DF3C6D999A1}">
            <xm:f>IF(#REF!=FAListas!#REF!, TRUE, IF(#REF!=FAListas!$C$60, TRUE))</xm:f>
            <x14:dxf>
              <fill>
                <patternFill>
                  <bgColor theme="1"/>
                </patternFill>
              </fill>
            </x14:dxf>
          </x14:cfRule>
          <xm:sqref>E109:E110</xm:sqref>
        </x14:conditionalFormatting>
        <x14:conditionalFormatting xmlns:xm="http://schemas.microsoft.com/office/excel/2006/main">
          <x14:cfRule type="expression" priority="810" id="{7E06CA02-E907-45DE-8AA9-8C5688A0E08F}">
            <xm:f>IF(F23=FAListas!#REF!, TRUE, IF(#REF!=FAListas!$C$60, TRUE))</xm:f>
            <x14:dxf>
              <fill>
                <patternFill>
                  <bgColor theme="1"/>
                </patternFill>
              </fill>
            </x14:dxf>
          </x14:cfRule>
          <xm:sqref>E111</xm:sqref>
        </x14:conditionalFormatting>
        <x14:conditionalFormatting xmlns:xm="http://schemas.microsoft.com/office/excel/2006/main">
          <x14:cfRule type="expression" priority="811" id="{EFE7874D-3617-4BA7-8B33-ED090CA76B97}">
            <xm:f>IF(#REF!=FAListas!$C$6,TRUE, IF(#REF!=FAListas!#REF!, TRUE,""))</xm:f>
            <x14:dxf>
              <fill>
                <patternFill>
                  <bgColor theme="1"/>
                </patternFill>
              </fill>
            </x14:dxf>
          </x14:cfRule>
          <xm:sqref>E123:F123 E128 E129:F129 E134:F134 E138:F138 E142:F142 E146:F146 E150:F150 E154:F154</xm:sqref>
        </x14:conditionalFormatting>
        <x14:conditionalFormatting xmlns:xm="http://schemas.microsoft.com/office/excel/2006/main">
          <x14:cfRule type="expression" priority="5" id="{A771D777-73EA-48E4-9A6C-3B7C597E9B5F}">
            <xm:f>#REF!=FAListas!#REF!</xm:f>
            <x14:dxf>
              <fill>
                <patternFill>
                  <bgColor theme="1"/>
                </patternFill>
              </fill>
            </x14:dxf>
          </x14:cfRule>
          <xm:sqref>E124:F129</xm:sqref>
        </x14:conditionalFormatting>
        <x14:conditionalFormatting xmlns:xm="http://schemas.microsoft.com/office/excel/2006/main">
          <x14:cfRule type="expression" priority="6" id="{0C786230-FAB2-4AC8-882B-29C979913A91}">
            <xm:f>IF(#REF!=FAListas!$C$6,TRUE, IF(#REF!=FAListas!#REF!, TRUE,""))</xm:f>
            <x14:dxf>
              <fill>
                <patternFill>
                  <bgColor theme="1"/>
                </patternFill>
              </fill>
            </x14:dxf>
          </x14:cfRule>
          <xm:sqref>E126:F126</xm:sqref>
        </x14:conditionalFormatting>
        <x14:conditionalFormatting xmlns:xm="http://schemas.microsoft.com/office/excel/2006/main">
          <x14:cfRule type="expression" priority="389" id="{6ED56F06-7720-42E8-91CA-4FAC733BF854}">
            <xm:f>FACalc_rodovia!$C$11=FAListas!$C$6</xm:f>
            <x14:dxf>
              <fill>
                <patternFill>
                  <bgColor theme="1"/>
                </patternFill>
              </fill>
            </x14:dxf>
          </x14:cfRule>
          <xm:sqref>F83 F89 F95 F101 F107</xm:sqref>
        </x14:conditionalFormatting>
        <x14:conditionalFormatting xmlns:xm="http://schemas.microsoft.com/office/excel/2006/main">
          <x14:cfRule type="expression" priority="4" id="{A513DE29-96BB-43CE-B134-8930548905FB}">
            <xm:f>AND($E$25=FAListas!$C$31,OR($E$26=FAListas!$C$34,$E$26=FAListas!$C$35))</xm:f>
            <x14:dxf>
              <font>
                <color theme="1"/>
              </font>
              <fill>
                <patternFill>
                  <bgColor theme="1"/>
                </patternFill>
              </fill>
            </x14:dxf>
          </x14:cfRule>
          <xm:sqref>F24:G24</xm:sqref>
        </x14:conditionalFormatting>
        <x14:conditionalFormatting xmlns:xm="http://schemas.microsoft.com/office/excel/2006/main">
          <x14:cfRule type="expression" priority="163" id="{890FF630-6A80-4853-95BF-AE85423DDD63}">
            <xm:f>IF($E$25=FAListas!$C$31,TRUE, "")</xm:f>
            <x14:dxf>
              <fill>
                <patternFill patternType="solid">
                  <fgColor rgb="FFFF0000"/>
                  <bgColor theme="1"/>
                </patternFill>
              </fill>
            </x14:dxf>
          </x14:cfRule>
          <xm:sqref>F25:G25</xm:sqref>
        </x14:conditionalFormatting>
        <x14:conditionalFormatting xmlns:xm="http://schemas.microsoft.com/office/excel/2006/main">
          <x14:cfRule type="expression" priority="131" id="{CC9FD049-95CC-4D87-ABF0-D800073DE8ED}">
            <xm:f>IF($E$26=FAListas!$C$34,TRUE,IF($E$26=FAListas!$C$35,TRUE,""))</xm:f>
            <x14:dxf>
              <fill>
                <patternFill>
                  <bgColor theme="1"/>
                </patternFill>
              </fill>
            </x14:dxf>
          </x14:cfRule>
          <xm:sqref>F26:G26</xm:sqref>
        </x14:conditionalFormatting>
        <x14:conditionalFormatting xmlns:xm="http://schemas.microsoft.com/office/excel/2006/main">
          <x14:cfRule type="expression" priority="2" id="{B5AA16DD-688D-45AE-BE4B-7908FD34924A}">
            <xm:f>AND(OR($E$28=FAListas!$C$38,$E$28=FAListas!$C$39),OR($E$29=FAListas!$C$42,$E$29=FAListas!$C$43))</xm:f>
            <x14:dxf>
              <font>
                <color theme="1"/>
              </font>
              <fill>
                <patternFill>
                  <bgColor theme="1"/>
                </patternFill>
              </fill>
            </x14:dxf>
          </x14:cfRule>
          <xm:sqref>F27:G27</xm:sqref>
        </x14:conditionalFormatting>
        <x14:conditionalFormatting xmlns:xm="http://schemas.microsoft.com/office/excel/2006/main">
          <x14:cfRule type="expression" priority="43" id="{669D9738-D9C5-4A2C-B053-AFE453EA78F7}">
            <xm:f>IF($E$28=FAListas!$C$38,TRUE,IF($E$28=FAListas!$C$39,TRUE,""))</xm:f>
            <x14:dxf>
              <fill>
                <patternFill>
                  <bgColor theme="1"/>
                </patternFill>
              </fill>
            </x14:dxf>
          </x14:cfRule>
          <xm:sqref>F28:G28</xm:sqref>
        </x14:conditionalFormatting>
        <x14:conditionalFormatting xmlns:xm="http://schemas.microsoft.com/office/excel/2006/main">
          <x14:cfRule type="expression" priority="130" id="{23CF9D32-CD43-4E7A-9BAC-B636D5914EBB}">
            <xm:f>OR($E$29=FAListas!$C$42,$E$29=FAListas!$C$43)</xm:f>
            <x14:dxf>
              <fill>
                <patternFill patternType="solid">
                  <fgColor rgb="FFFF0000"/>
                  <bgColor theme="1"/>
                </patternFill>
              </fill>
            </x14:dxf>
          </x14:cfRule>
          <xm:sqref>F29:G29</xm:sqref>
        </x14:conditionalFormatting>
        <x14:conditionalFormatting xmlns:xm="http://schemas.microsoft.com/office/excel/2006/main">
          <x14:cfRule type="expression" priority="1" id="{1F8503F5-2A2D-4578-ACFF-20096FB68A60}">
            <xm:f>AND(OR($E$31=FAListas!$C$46,$E$31=FAListas!$C$47),OR($E$32=FAListas!$C$50,$E$32=FAListas!$C$51))</xm:f>
            <x14:dxf>
              <font>
                <color rgb="FF000000"/>
              </font>
              <fill>
                <patternFill>
                  <bgColor theme="1"/>
                </patternFill>
              </fill>
            </x14:dxf>
          </x14:cfRule>
          <xm:sqref>F30:G30</xm:sqref>
        </x14:conditionalFormatting>
        <x14:conditionalFormatting xmlns:xm="http://schemas.microsoft.com/office/excel/2006/main">
          <x14:cfRule type="expression" priority="124" id="{003EDA84-9A7C-414B-AAAE-37FDA75093A0}">
            <xm:f>IF($E$31=FAListas!$C$46,TRUE,IF($E$31=FAListas!$C$47,TRUE,""))</xm:f>
            <x14:dxf>
              <fill>
                <patternFill patternType="solid">
                  <fgColor rgb="FFFF0000"/>
                  <bgColor theme="1"/>
                </patternFill>
              </fill>
            </x14:dxf>
          </x14:cfRule>
          <xm:sqref>F31:G31</xm:sqref>
        </x14:conditionalFormatting>
        <x14:conditionalFormatting xmlns:xm="http://schemas.microsoft.com/office/excel/2006/main">
          <x14:cfRule type="expression" priority="125" id="{F0A5032C-F9CF-4BBC-8550-028CB992623E}">
            <xm:f>OR($E$32=FAListas!$C$50,$E$32=FAListas!$C$51)</xm:f>
            <x14:dxf>
              <fill>
                <patternFill patternType="solid">
                  <fgColor rgb="FFFF0000"/>
                  <bgColor theme="1"/>
                </patternFill>
              </fill>
            </x14:dxf>
          </x14:cfRule>
          <xm:sqref>F32:G32</xm:sqref>
        </x14:conditionalFormatting>
        <x14:conditionalFormatting xmlns:xm="http://schemas.microsoft.com/office/excel/2006/main">
          <x14:cfRule type="expression" priority="3" id="{61FA6E13-ED05-4510-A925-23E389236EB6}">
            <xm:f>FACalc_ferrovia!$C$10=FAListas!#REF!</xm:f>
            <x14:dxf>
              <fill>
                <patternFill>
                  <bgColor theme="1"/>
                </patternFill>
              </fill>
            </x14:dxf>
          </x14:cfRule>
          <xm:sqref>G129</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9FA0F958-EA92-46C6-87BA-1F008A55FF37}">
          <x14:formula1>
            <xm:f>FAListas!$C$55:$C$57</xm:f>
          </x14:formula1>
          <xm:sqref>E33</xm:sqref>
        </x14:dataValidation>
        <x14:dataValidation type="list" allowBlank="1" showInputMessage="1" showErrorMessage="1" xr:uid="{CB8B60A5-6728-419B-A6C8-462E6CBC7649}">
          <x14:formula1>
            <xm:f>FAListas!$C$29:$C$31</xm:f>
          </x14:formula1>
          <xm:sqref>E25</xm:sqref>
        </x14:dataValidation>
        <x14:dataValidation type="list" allowBlank="1" showInputMessage="1" showErrorMessage="1" xr:uid="{1E85845B-F546-49ED-A021-0FD4349A2192}">
          <x14:formula1>
            <xm:f>FAListas!$C$36:$C$39</xm:f>
          </x14:formula1>
          <xm:sqref>E28</xm:sqref>
        </x14:dataValidation>
        <x14:dataValidation type="list" allowBlank="1" showInputMessage="1" showErrorMessage="1" xr:uid="{AE8053FC-0E0F-4749-86D4-77DBCA2F0531}">
          <x14:formula1>
            <xm:f>FAListas!$C$40:$C$43</xm:f>
          </x14:formula1>
          <xm:sqref>E29</xm:sqref>
        </x14:dataValidation>
        <x14:dataValidation type="list" allowBlank="1" showInputMessage="1" showErrorMessage="1" xr:uid="{D0B66830-7AA8-4B1E-85C9-7BB1D4F6A6C3}">
          <x14:formula1>
            <xm:f>FAListas!$C$44:$C$47</xm:f>
          </x14:formula1>
          <xm:sqref>E31</xm:sqref>
        </x14:dataValidation>
        <x14:dataValidation type="list" allowBlank="1" showInputMessage="1" showErrorMessage="1" xr:uid="{46778738-9E68-405E-911E-A2E73B4ADF0C}">
          <x14:formula1>
            <xm:f>FAListas!$C$48:$C$51</xm:f>
          </x14:formula1>
          <xm:sqref>E32</xm:sqref>
        </x14:dataValidation>
        <x14:dataValidation type="list" allowBlank="1" showInputMessage="1" showErrorMessage="1" xr:uid="{4E651E67-C86C-48CD-BAE1-E06673AFA6D1}">
          <x14:formula1>
            <xm:f>FAListas!$C$32:$C$35</xm:f>
          </x14:formula1>
          <xm:sqref>E26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A528D-050F-4712-958C-909E7998888C}">
  <sheetPr codeName="Sheet14">
    <tabColor rgb="FF02A39C"/>
  </sheetPr>
  <dimension ref="A1:V176"/>
  <sheetViews>
    <sheetView showGridLines="0" zoomScale="66" zoomScaleNormal="66" workbookViewId="0">
      <pane ySplit="2" topLeftCell="A3" activePane="bottomLeft" state="frozen"/>
      <selection activeCell="D13" sqref="D13"/>
      <selection pane="bottomLeft" activeCell="K4" sqref="K4:L4"/>
    </sheetView>
  </sheetViews>
  <sheetFormatPr defaultRowHeight="46.9" customHeight="1" x14ac:dyDescent="0.25"/>
  <cols>
    <col min="1" max="1" width="3.7109375" customWidth="1"/>
    <col min="2" max="2" width="2.7109375" customWidth="1"/>
    <col min="3" max="3" width="47" customWidth="1"/>
    <col min="4" max="4" width="32.140625" customWidth="1"/>
    <col min="5" max="5" width="35.42578125" customWidth="1"/>
    <col min="6" max="6" width="36.7109375" customWidth="1"/>
    <col min="7" max="7" width="39.140625" customWidth="1"/>
    <col min="8" max="8" width="2.7109375" customWidth="1"/>
    <col min="9" max="9" width="9" customWidth="1"/>
    <col min="10" max="10" width="32.85546875" customWidth="1"/>
    <col min="11" max="11" width="26.5703125" customWidth="1"/>
    <col min="12" max="12" width="30.7109375" customWidth="1"/>
    <col min="13" max="13" width="35.7109375" customWidth="1"/>
    <col min="20" max="21" width="40.7109375" hidden="1" customWidth="1"/>
  </cols>
  <sheetData>
    <row r="1" spans="1:22" ht="24" customHeight="1" x14ac:dyDescent="0.25"/>
    <row r="2" spans="1:22" s="4" customFormat="1" ht="70.150000000000006" customHeight="1" x14ac:dyDescent="0.25">
      <c r="A2" s="297"/>
      <c r="C2" s="373" t="s">
        <v>712</v>
      </c>
      <c r="D2" s="52"/>
      <c r="E2" s="52"/>
      <c r="F2" s="52"/>
      <c r="G2" s="52"/>
      <c r="H2" s="52"/>
      <c r="I2" s="52"/>
      <c r="J2" s="52"/>
      <c r="K2" s="52"/>
      <c r="L2" s="52"/>
      <c r="M2" s="52"/>
      <c r="N2" s="52"/>
      <c r="O2" s="52"/>
      <c r="P2" s="52"/>
      <c r="Q2" s="52"/>
      <c r="R2" s="52"/>
      <c r="S2" s="52"/>
      <c r="T2" s="52"/>
      <c r="U2" s="52"/>
      <c r="V2" s="52"/>
    </row>
    <row r="3" spans="1:22" ht="46.9" customHeight="1" thickBot="1" x14ac:dyDescent="0.3"/>
    <row r="4" spans="1:22" ht="46.9" customHeight="1" thickBot="1" x14ac:dyDescent="0.3">
      <c r="B4" s="66"/>
      <c r="C4" s="66" t="s">
        <v>814</v>
      </c>
      <c r="D4" s="57"/>
      <c r="E4" s="57"/>
      <c r="F4" s="57"/>
      <c r="G4" s="57"/>
      <c r="H4" s="58"/>
      <c r="I4" s="56"/>
      <c r="J4" s="562" t="s">
        <v>608</v>
      </c>
      <c r="K4" s="1452" t="s">
        <v>603</v>
      </c>
      <c r="L4" s="1453"/>
      <c r="T4" s="560" t="s">
        <v>603</v>
      </c>
      <c r="U4" s="554" t="s">
        <v>831</v>
      </c>
    </row>
    <row r="5" spans="1:22" ht="15" customHeight="1" x14ac:dyDescent="0.25">
      <c r="B5" s="512"/>
      <c r="C5" s="56"/>
      <c r="D5" s="56"/>
      <c r="E5" s="56"/>
      <c r="F5" s="56"/>
      <c r="G5" s="56"/>
      <c r="H5" s="511"/>
      <c r="I5" s="56"/>
      <c r="J5" s="1454" t="str">
        <f>IF(K4="","",VLOOKUP(K4,T4:U6,2,FALSE))</f>
        <v>Cálculo das emissões absolutas (Ab), das emissões emissões de referência (Be) e das emissões relativas (Re= Ab - Be)  de projetos de transporte ferroviário de passageiros, metro e elétricos que impliquem transferência modal.</v>
      </c>
      <c r="K5" s="1455"/>
      <c r="L5" s="1456"/>
      <c r="T5" s="560" t="s">
        <v>606</v>
      </c>
      <c r="U5" s="553" t="s">
        <v>832</v>
      </c>
    </row>
    <row r="6" spans="1:22" ht="24" customHeight="1" x14ac:dyDescent="0.25">
      <c r="B6" s="59"/>
      <c r="C6" s="116" t="s">
        <v>489</v>
      </c>
      <c r="D6" s="115"/>
      <c r="E6" s="115"/>
      <c r="F6" s="115"/>
      <c r="G6" s="115"/>
      <c r="H6" s="69"/>
      <c r="I6" s="54"/>
      <c r="J6" s="1457"/>
      <c r="K6" s="1458"/>
      <c r="L6" s="1459"/>
      <c r="T6" s="560" t="s">
        <v>713</v>
      </c>
      <c r="U6" s="561" t="s">
        <v>724</v>
      </c>
    </row>
    <row r="7" spans="1:22" ht="15" customHeight="1" x14ac:dyDescent="0.25">
      <c r="B7" s="59"/>
      <c r="C7" s="92"/>
      <c r="D7" s="92"/>
      <c r="E7" s="92"/>
      <c r="F7" s="92"/>
      <c r="G7" s="92"/>
      <c r="H7" s="69"/>
      <c r="I7" s="54"/>
      <c r="J7" s="1457"/>
      <c r="K7" s="1458"/>
      <c r="L7" s="1459"/>
    </row>
    <row r="8" spans="1:22" ht="46.9" customHeight="1" x14ac:dyDescent="0.25">
      <c r="B8" s="59"/>
      <c r="C8" s="686" t="s">
        <v>634</v>
      </c>
      <c r="D8" s="687"/>
      <c r="E8" s="687"/>
      <c r="F8" s="687"/>
      <c r="G8" s="687"/>
      <c r="H8" s="69"/>
      <c r="I8" s="54"/>
      <c r="J8" s="1457"/>
      <c r="K8" s="1458"/>
      <c r="L8" s="1459"/>
    </row>
    <row r="9" spans="1:22" ht="46.9" customHeight="1" thickBot="1" x14ac:dyDescent="0.3">
      <c r="B9" s="59"/>
      <c r="C9" s="639" t="s">
        <v>611</v>
      </c>
      <c r="D9" s="1424" t="s">
        <v>622</v>
      </c>
      <c r="E9" s="1425"/>
      <c r="F9" s="1425"/>
      <c r="G9" s="1426"/>
      <c r="H9" s="69"/>
      <c r="I9" s="54"/>
      <c r="J9" s="1460"/>
      <c r="K9" s="1461"/>
      <c r="L9" s="1462"/>
    </row>
    <row r="10" spans="1:22" ht="24" customHeight="1" x14ac:dyDescent="0.25">
      <c r="B10" s="59"/>
      <c r="C10" s="640"/>
      <c r="D10" s="1427" t="s">
        <v>635</v>
      </c>
      <c r="E10" s="1428"/>
      <c r="F10" s="1428"/>
      <c r="G10" s="1429"/>
      <c r="H10" s="69"/>
      <c r="I10" s="54"/>
      <c r="J10" s="137"/>
      <c r="K10" s="137"/>
      <c r="L10" s="137"/>
    </row>
    <row r="11" spans="1:22" ht="24" customHeight="1" x14ac:dyDescent="0.25">
      <c r="B11" s="59"/>
      <c r="C11" s="640"/>
      <c r="D11" s="1430" t="s">
        <v>636</v>
      </c>
      <c r="E11" s="1431"/>
      <c r="F11" s="1431"/>
      <c r="G11" s="1432"/>
      <c r="H11" s="69"/>
      <c r="I11" s="54"/>
      <c r="J11" s="137"/>
      <c r="K11" s="137"/>
      <c r="L11" s="137"/>
    </row>
    <row r="12" spans="1:22" ht="61.15" customHeight="1" x14ac:dyDescent="0.25">
      <c r="B12" s="59"/>
      <c r="C12" s="641"/>
      <c r="D12" s="1424" t="s">
        <v>836</v>
      </c>
      <c r="E12" s="1425"/>
      <c r="F12" s="1425"/>
      <c r="G12" s="1426"/>
      <c r="H12" s="69"/>
      <c r="I12" s="54"/>
      <c r="J12" s="137"/>
      <c r="K12" s="137"/>
      <c r="L12" s="137"/>
    </row>
    <row r="13" spans="1:22" ht="46.9" customHeight="1" x14ac:dyDescent="0.25">
      <c r="B13" s="59"/>
      <c r="C13" s="1433" t="s">
        <v>609</v>
      </c>
      <c r="D13" s="1427" t="s">
        <v>728</v>
      </c>
      <c r="E13" s="1428"/>
      <c r="F13" s="1428"/>
      <c r="G13" s="1429"/>
      <c r="H13" s="69"/>
      <c r="I13" s="54"/>
      <c r="J13" s="137"/>
      <c r="K13" s="137"/>
      <c r="L13" s="137"/>
    </row>
    <row r="14" spans="1:22" ht="24" customHeight="1" x14ac:dyDescent="0.25">
      <c r="B14" s="59"/>
      <c r="C14" s="1434"/>
      <c r="D14" s="1436" t="s">
        <v>610</v>
      </c>
      <c r="E14" s="1437"/>
      <c r="F14" s="1437"/>
      <c r="G14" s="1438"/>
      <c r="H14" s="69"/>
      <c r="I14" s="54"/>
      <c r="J14" s="207"/>
      <c r="K14" s="48"/>
    </row>
    <row r="15" spans="1:22" ht="24" customHeight="1" x14ac:dyDescent="0.25">
      <c r="B15" s="59"/>
      <c r="C15" s="1434"/>
      <c r="D15" s="1439" t="s">
        <v>837</v>
      </c>
      <c r="E15" s="1440"/>
      <c r="F15" s="1440"/>
      <c r="G15" s="1441"/>
      <c r="H15" s="69"/>
      <c r="I15" s="54"/>
      <c r="J15" s="207"/>
      <c r="K15" s="48"/>
    </row>
    <row r="16" spans="1:22" ht="40.15" customHeight="1" x14ac:dyDescent="0.25">
      <c r="B16" s="59"/>
      <c r="C16" s="1434"/>
      <c r="D16" s="1442" t="s">
        <v>725</v>
      </c>
      <c r="E16" s="1334"/>
      <c r="F16" s="1334"/>
      <c r="G16" s="1443"/>
      <c r="H16" s="69"/>
      <c r="I16" s="54"/>
      <c r="J16" s="207"/>
      <c r="K16" s="48"/>
    </row>
    <row r="17" spans="2:21" ht="40.15" customHeight="1" x14ac:dyDescent="0.25">
      <c r="B17" s="59"/>
      <c r="C17" s="1434"/>
      <c r="D17" s="1444" t="s">
        <v>726</v>
      </c>
      <c r="E17" s="1445"/>
      <c r="F17" s="1445"/>
      <c r="G17" s="1446"/>
      <c r="H17" s="69"/>
      <c r="I17" s="54"/>
      <c r="J17" s="207"/>
      <c r="K17" s="48"/>
    </row>
    <row r="18" spans="2:21" ht="78.599999999999994" customHeight="1" x14ac:dyDescent="0.25">
      <c r="B18" s="59"/>
      <c r="C18" s="1435"/>
      <c r="D18" s="1424" t="s">
        <v>939</v>
      </c>
      <c r="E18" s="1425"/>
      <c r="F18" s="1425"/>
      <c r="G18" s="1109" t="s">
        <v>81</v>
      </c>
      <c r="H18" s="69"/>
      <c r="I18" s="54"/>
      <c r="J18" s="207"/>
      <c r="K18" s="48"/>
    </row>
    <row r="19" spans="2:21" ht="24" customHeight="1" thickBot="1" x14ac:dyDescent="0.3">
      <c r="B19" s="59"/>
      <c r="C19" s="92"/>
      <c r="D19" s="92"/>
      <c r="E19" s="92"/>
      <c r="F19" s="92"/>
      <c r="G19" s="92"/>
      <c r="H19" s="69"/>
      <c r="I19" s="54"/>
      <c r="J19" s="207"/>
      <c r="K19" s="48"/>
    </row>
    <row r="20" spans="2:21" s="374" customFormat="1" ht="46.9" customHeight="1" thickBot="1" x14ac:dyDescent="0.4">
      <c r="B20" s="375"/>
      <c r="C20" s="298" t="s">
        <v>483</v>
      </c>
      <c r="D20" s="299"/>
      <c r="E20" s="219" t="s">
        <v>195</v>
      </c>
      <c r="F20" s="219" t="s">
        <v>157</v>
      </c>
      <c r="G20" s="220" t="s">
        <v>623</v>
      </c>
      <c r="H20" s="376"/>
      <c r="I20" s="377"/>
      <c r="J20" s="562" t="s">
        <v>608</v>
      </c>
      <c r="K20" s="1452" t="s">
        <v>614</v>
      </c>
      <c r="L20" s="1453"/>
      <c r="T20" s="41"/>
      <c r="U20" s="41"/>
    </row>
    <row r="21" spans="2:21" ht="70.150000000000006" customHeight="1" x14ac:dyDescent="0.25">
      <c r="B21" s="59"/>
      <c r="C21" s="291" t="s">
        <v>319</v>
      </c>
      <c r="D21" s="292" t="s">
        <v>617</v>
      </c>
      <c r="E21" s="339" t="s">
        <v>376</v>
      </c>
      <c r="F21" s="1104"/>
      <c r="G21" s="1239" t="s">
        <v>482</v>
      </c>
      <c r="H21" s="69"/>
      <c r="I21" s="54"/>
      <c r="J21" s="1454" t="str">
        <f>IF(K20="","",VLOOKUP(K20,T21:U24,2,FALSE))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v>
      </c>
      <c r="K21" s="1455"/>
      <c r="L21" s="1456"/>
      <c r="M21" s="88"/>
      <c r="T21" s="41" t="s">
        <v>614</v>
      </c>
      <c r="U21" s="46" t="s">
        <v>699</v>
      </c>
    </row>
    <row r="22" spans="2:21" ht="46.9" customHeight="1" x14ac:dyDescent="0.25">
      <c r="B22" s="59"/>
      <c r="C22" s="298" t="s">
        <v>329</v>
      </c>
      <c r="D22" s="218"/>
      <c r="E22" s="219" t="s">
        <v>195</v>
      </c>
      <c r="F22" s="230" t="s">
        <v>157</v>
      </c>
      <c r="G22" s="220" t="s">
        <v>623</v>
      </c>
      <c r="H22" s="69"/>
      <c r="I22" s="54"/>
      <c r="J22" s="1457"/>
      <c r="K22" s="1458"/>
      <c r="L22" s="1459"/>
      <c r="M22" s="100"/>
      <c r="O22" s="254"/>
      <c r="P22" s="100"/>
      <c r="Q22" s="100"/>
      <c r="R22" s="100"/>
      <c r="T22" s="554" t="s">
        <v>693</v>
      </c>
      <c r="U22" s="41" t="s">
        <v>697</v>
      </c>
    </row>
    <row r="23" spans="2:21" ht="70.150000000000006" customHeight="1" thickBot="1" x14ac:dyDescent="0.3">
      <c r="B23" s="59"/>
      <c r="C23" s="291" t="s">
        <v>352</v>
      </c>
      <c r="D23" s="292" t="s">
        <v>616</v>
      </c>
      <c r="E23" s="1106" t="s">
        <v>146</v>
      </c>
      <c r="F23" s="1105"/>
      <c r="G23" s="1239" t="s">
        <v>482</v>
      </c>
      <c r="H23" s="69"/>
      <c r="I23" s="54"/>
      <c r="J23" s="1460"/>
      <c r="K23" s="1461"/>
      <c r="L23" s="1462"/>
      <c r="M23" s="88"/>
      <c r="O23" s="88"/>
      <c r="P23" s="1451"/>
      <c r="Q23" s="1451"/>
      <c r="R23" s="1451"/>
      <c r="T23" s="554"/>
      <c r="U23" s="41"/>
    </row>
    <row r="24" spans="2:21" ht="46.9" customHeight="1" x14ac:dyDescent="0.25">
      <c r="B24" s="59"/>
      <c r="C24" s="310" t="s">
        <v>330</v>
      </c>
      <c r="D24" s="484"/>
      <c r="E24" s="219" t="s">
        <v>195</v>
      </c>
      <c r="F24" s="230" t="s">
        <v>157</v>
      </c>
      <c r="G24" s="220" t="s">
        <v>623</v>
      </c>
      <c r="H24" s="69"/>
      <c r="I24" s="54"/>
      <c r="N24" s="138"/>
      <c r="O24" s="138"/>
      <c r="P24" s="1451"/>
      <c r="Q24" s="1451"/>
      <c r="R24" s="1451"/>
    </row>
    <row r="25" spans="2:21" ht="70.150000000000006" customHeight="1" x14ac:dyDescent="0.25">
      <c r="B25" s="59"/>
      <c r="C25" s="291" t="s">
        <v>352</v>
      </c>
      <c r="D25" s="292" t="s">
        <v>616</v>
      </c>
      <c r="E25" s="1237" t="s">
        <v>146</v>
      </c>
      <c r="F25" s="1105"/>
      <c r="G25" s="1239" t="s">
        <v>482</v>
      </c>
      <c r="H25" s="69"/>
      <c r="I25" s="54"/>
      <c r="J25" s="278"/>
      <c r="K25" s="278"/>
      <c r="L25" s="278"/>
      <c r="N25" s="138"/>
      <c r="O25" s="138"/>
      <c r="P25" s="256"/>
      <c r="Q25" s="256"/>
      <c r="R25" s="256"/>
    </row>
    <row r="26" spans="2:21" ht="46.9" customHeight="1" x14ac:dyDescent="0.25">
      <c r="B26" s="59"/>
      <c r="C26" s="310" t="s">
        <v>331</v>
      </c>
      <c r="D26" s="484"/>
      <c r="E26" s="219" t="s">
        <v>195</v>
      </c>
      <c r="F26" s="230" t="s">
        <v>157</v>
      </c>
      <c r="G26" s="220" t="s">
        <v>623</v>
      </c>
      <c r="H26" s="69"/>
      <c r="I26" s="54"/>
      <c r="J26" s="565"/>
      <c r="K26" s="565"/>
      <c r="L26" s="445"/>
      <c r="N26" s="138"/>
      <c r="O26" s="138"/>
      <c r="P26" s="256"/>
      <c r="Q26" s="256"/>
      <c r="R26" s="256"/>
    </row>
    <row r="27" spans="2:21" ht="70.150000000000006" customHeight="1" x14ac:dyDescent="0.25">
      <c r="B27" s="59"/>
      <c r="C27" s="291" t="s">
        <v>352</v>
      </c>
      <c r="D27" s="292" t="s">
        <v>616</v>
      </c>
      <c r="E27" s="1106" t="s">
        <v>146</v>
      </c>
      <c r="F27" s="1105"/>
      <c r="G27" s="1239" t="s">
        <v>482</v>
      </c>
      <c r="H27" s="69"/>
      <c r="I27" s="54"/>
      <c r="J27" s="1458"/>
      <c r="K27" s="1458"/>
      <c r="L27" s="307"/>
      <c r="N27" s="138"/>
      <c r="O27" s="138"/>
      <c r="P27" s="256"/>
      <c r="Q27" s="256"/>
      <c r="R27" s="256"/>
    </row>
    <row r="28" spans="2:21" ht="46.9" customHeight="1" x14ac:dyDescent="0.25">
      <c r="B28" s="59"/>
      <c r="C28" s="1512" t="s">
        <v>333</v>
      </c>
      <c r="D28" s="1414"/>
      <c r="E28" s="219" t="s">
        <v>195</v>
      </c>
      <c r="F28" s="230" t="s">
        <v>157</v>
      </c>
      <c r="G28" s="220" t="s">
        <v>623</v>
      </c>
      <c r="H28" s="69"/>
      <c r="I28" s="54"/>
      <c r="J28" s="1458"/>
      <c r="K28" s="1458"/>
      <c r="L28" s="307"/>
      <c r="N28" s="138"/>
      <c r="O28" s="138"/>
      <c r="P28" s="256"/>
      <c r="Q28" s="256"/>
      <c r="R28" s="256"/>
    </row>
    <row r="29" spans="2:21" ht="70.150000000000006" customHeight="1" x14ac:dyDescent="0.25">
      <c r="B29" s="59"/>
      <c r="C29" s="291" t="s">
        <v>352</v>
      </c>
      <c r="D29" s="292" t="s">
        <v>616</v>
      </c>
      <c r="E29" s="1105" t="s">
        <v>146</v>
      </c>
      <c r="F29" s="1105"/>
      <c r="G29" s="1239" t="s">
        <v>482</v>
      </c>
      <c r="H29" s="69"/>
      <c r="I29" s="54"/>
      <c r="J29" s="1398"/>
      <c r="K29" s="1398"/>
      <c r="L29" s="394"/>
      <c r="N29" s="138"/>
      <c r="O29" s="138"/>
      <c r="P29" s="256"/>
      <c r="Q29" s="256"/>
      <c r="R29" s="256"/>
    </row>
    <row r="30" spans="2:21" ht="46.9" customHeight="1" x14ac:dyDescent="0.25">
      <c r="B30" s="59"/>
      <c r="C30" s="310" t="s">
        <v>332</v>
      </c>
      <c r="D30" s="245"/>
      <c r="E30" s="219" t="s">
        <v>195</v>
      </c>
      <c r="F30" s="230" t="s">
        <v>157</v>
      </c>
      <c r="G30" s="220" t="s">
        <v>623</v>
      </c>
      <c r="H30" s="69"/>
      <c r="I30" s="54"/>
      <c r="J30" s="596"/>
      <c r="K30" s="596"/>
      <c r="L30" s="394"/>
      <c r="N30" s="138"/>
      <c r="O30" s="138"/>
      <c r="P30" s="256"/>
      <c r="Q30" s="256"/>
      <c r="R30" s="256"/>
    </row>
    <row r="31" spans="2:21" ht="70.150000000000006" customHeight="1" x14ac:dyDescent="0.25">
      <c r="B31" s="59"/>
      <c r="C31" s="291" t="s">
        <v>352</v>
      </c>
      <c r="D31" s="292" t="s">
        <v>616</v>
      </c>
      <c r="E31" s="1105" t="s">
        <v>146</v>
      </c>
      <c r="F31" s="1105"/>
      <c r="G31" s="1239" t="s">
        <v>482</v>
      </c>
      <c r="H31" s="69"/>
      <c r="I31" s="54"/>
      <c r="J31" s="596"/>
      <c r="K31" s="596"/>
      <c r="L31" s="394"/>
      <c r="N31" s="138"/>
      <c r="O31" s="138"/>
      <c r="P31" s="256"/>
      <c r="Q31" s="256"/>
      <c r="R31" s="256"/>
    </row>
    <row r="32" spans="2:21" ht="46.9" customHeight="1" x14ac:dyDescent="0.25">
      <c r="B32" s="59"/>
      <c r="C32" s="1512" t="s">
        <v>739</v>
      </c>
      <c r="D32" s="1513"/>
      <c r="E32" s="219" t="s">
        <v>195</v>
      </c>
      <c r="F32" s="219" t="s">
        <v>157</v>
      </c>
      <c r="G32" s="220" t="s">
        <v>623</v>
      </c>
      <c r="H32" s="69"/>
      <c r="M32" s="278"/>
    </row>
    <row r="33" spans="1:13" ht="70.150000000000006" customHeight="1" x14ac:dyDescent="0.25">
      <c r="B33" s="59"/>
      <c r="C33" s="293" t="s">
        <v>740</v>
      </c>
      <c r="D33" s="292" t="s">
        <v>616</v>
      </c>
      <c r="E33" s="339" t="s">
        <v>442</v>
      </c>
      <c r="F33" s="1105"/>
      <c r="G33" s="1239" t="s">
        <v>482</v>
      </c>
      <c r="H33" s="69"/>
      <c r="M33" s="278"/>
    </row>
    <row r="34" spans="1:13" ht="70.150000000000006" customHeight="1" x14ac:dyDescent="0.25">
      <c r="B34" s="59"/>
      <c r="C34" s="293" t="s">
        <v>779</v>
      </c>
      <c r="D34" s="292" t="s">
        <v>616</v>
      </c>
      <c r="E34" s="339" t="s">
        <v>442</v>
      </c>
      <c r="F34" s="1105"/>
      <c r="G34" s="1239" t="s">
        <v>482</v>
      </c>
      <c r="H34" s="69"/>
      <c r="M34" s="257"/>
    </row>
    <row r="35" spans="1:13" ht="19.899999999999999" customHeight="1" x14ac:dyDescent="0.25">
      <c r="B35" s="59"/>
      <c r="C35" s="87"/>
      <c r="D35" s="88"/>
      <c r="E35" s="88"/>
      <c r="F35" s="88"/>
      <c r="G35" s="88"/>
      <c r="H35" s="69"/>
      <c r="I35" s="54"/>
      <c r="M35" s="88"/>
    </row>
    <row r="36" spans="1:13" ht="24" customHeight="1" x14ac:dyDescent="0.25">
      <c r="B36" s="59"/>
      <c r="C36" s="116" t="s">
        <v>490</v>
      </c>
      <c r="D36" s="115"/>
      <c r="E36" s="115"/>
      <c r="F36" s="115"/>
      <c r="G36" s="115"/>
      <c r="H36" s="69"/>
      <c r="I36" s="54"/>
      <c r="J36" s="1514"/>
      <c r="K36" s="1514"/>
      <c r="L36" s="1509"/>
      <c r="M36" s="1509"/>
    </row>
    <row r="37" spans="1:13" ht="24" customHeight="1" x14ac:dyDescent="0.25">
      <c r="B37" s="59"/>
      <c r="C37" s="92"/>
      <c r="D37" s="92"/>
      <c r="E37" s="92"/>
      <c r="F37" s="92"/>
      <c r="G37" s="92"/>
      <c r="H37" s="69"/>
      <c r="I37" s="54"/>
      <c r="J37" s="1514"/>
      <c r="K37" s="1514"/>
      <c r="L37" s="1509"/>
      <c r="M37" s="1509"/>
    </row>
    <row r="38" spans="1:13" ht="24" customHeight="1" x14ac:dyDescent="0.25">
      <c r="B38" s="59"/>
      <c r="C38" s="1463" t="s">
        <v>634</v>
      </c>
      <c r="D38" s="1464"/>
      <c r="E38" s="1464"/>
      <c r="F38" s="1464"/>
      <c r="G38" s="1464"/>
      <c r="H38" s="69"/>
      <c r="I38" s="54"/>
      <c r="M38" s="1509"/>
    </row>
    <row r="39" spans="1:13" ht="19.899999999999999" customHeight="1" x14ac:dyDescent="0.25">
      <c r="B39" s="59"/>
      <c r="C39" s="1433" t="s">
        <v>621</v>
      </c>
      <c r="D39" s="1465" t="s">
        <v>1164</v>
      </c>
      <c r="E39" s="1465"/>
      <c r="F39" s="1465"/>
      <c r="G39" s="1465"/>
      <c r="H39" s="69"/>
      <c r="I39" s="54"/>
      <c r="M39" s="1509"/>
    </row>
    <row r="40" spans="1:13" ht="40.15" customHeight="1" x14ac:dyDescent="0.25">
      <c r="B40" s="59"/>
      <c r="C40" s="1434"/>
      <c r="D40" s="1447" t="s">
        <v>954</v>
      </c>
      <c r="E40" s="1448"/>
      <c r="F40" s="1448"/>
      <c r="G40" s="1449"/>
      <c r="H40" s="69"/>
      <c r="I40" s="54"/>
      <c r="M40" s="256"/>
    </row>
    <row r="41" spans="1:13" ht="59.45" customHeight="1" x14ac:dyDescent="0.25">
      <c r="B41" s="59"/>
      <c r="C41" s="1434"/>
      <c r="D41" s="1447" t="s">
        <v>899</v>
      </c>
      <c r="E41" s="1448"/>
      <c r="F41" s="1448"/>
      <c r="G41" s="1449"/>
      <c r="H41" s="69"/>
      <c r="I41" s="54"/>
      <c r="M41" s="256"/>
    </row>
    <row r="42" spans="1:13" ht="171.6" customHeight="1" x14ac:dyDescent="0.25">
      <c r="B42" s="59"/>
      <c r="C42" s="1434"/>
      <c r="D42" s="1447" t="s">
        <v>906</v>
      </c>
      <c r="E42" s="1448"/>
      <c r="F42" s="1448"/>
      <c r="G42" s="1449"/>
      <c r="H42" s="69"/>
      <c r="I42" s="54"/>
      <c r="M42" s="256"/>
    </row>
    <row r="43" spans="1:13" ht="19.899999999999999" customHeight="1" x14ac:dyDescent="0.25">
      <c r="B43" s="59"/>
      <c r="C43" s="1433" t="s">
        <v>620</v>
      </c>
      <c r="D43" s="1447" t="s">
        <v>715</v>
      </c>
      <c r="E43" s="1448"/>
      <c r="F43" s="1448"/>
      <c r="G43" s="1449"/>
      <c r="H43" s="69"/>
      <c r="I43" s="54"/>
      <c r="J43" s="55"/>
      <c r="K43" s="48"/>
    </row>
    <row r="44" spans="1:13" ht="19.899999999999999" customHeight="1" x14ac:dyDescent="0.25">
      <c r="B44" s="59"/>
      <c r="C44" s="1434"/>
      <c r="D44" s="1447" t="s">
        <v>714</v>
      </c>
      <c r="E44" s="1448"/>
      <c r="F44" s="1448"/>
      <c r="G44" s="1449"/>
      <c r="H44" s="69"/>
      <c r="I44" s="54"/>
      <c r="J44" s="55"/>
      <c r="K44" s="48"/>
    </row>
    <row r="45" spans="1:13" ht="19.899999999999999" customHeight="1" x14ac:dyDescent="0.25">
      <c r="B45" s="59"/>
      <c r="C45" s="1435"/>
      <c r="D45" s="570" t="s">
        <v>111</v>
      </c>
      <c r="E45" s="1466" t="s">
        <v>619</v>
      </c>
      <c r="F45" s="1466"/>
      <c r="G45" s="1467"/>
      <c r="H45" s="69"/>
      <c r="I45" s="54"/>
      <c r="J45" s="55"/>
      <c r="K45" s="48"/>
    </row>
    <row r="46" spans="1:13" ht="46.9" customHeight="1" x14ac:dyDescent="0.25">
      <c r="B46" s="59"/>
      <c r="C46" s="92"/>
      <c r="D46" s="92"/>
      <c r="E46" s="92"/>
      <c r="F46" s="92"/>
      <c r="G46" s="92"/>
      <c r="H46" s="69"/>
      <c r="I46" s="54"/>
      <c r="J46" s="55"/>
      <c r="K46" s="48"/>
    </row>
    <row r="47" spans="1:13" ht="46.9" customHeight="1" x14ac:dyDescent="0.25">
      <c r="B47" s="59"/>
      <c r="C47" s="571" t="s">
        <v>612</v>
      </c>
      <c r="D47" s="573" t="s">
        <v>3</v>
      </c>
      <c r="E47" s="572" t="s">
        <v>797</v>
      </c>
      <c r="F47" s="1416" t="s">
        <v>126</v>
      </c>
      <c r="G47" s="1417"/>
      <c r="H47" s="69"/>
      <c r="I47" s="54"/>
      <c r="J47" s="55"/>
      <c r="K47" s="48"/>
    </row>
    <row r="48" spans="1:13" ht="49.9" customHeight="1" x14ac:dyDescent="0.25">
      <c r="A48" s="50"/>
      <c r="B48" s="59"/>
      <c r="C48" s="1251" t="s">
        <v>1340</v>
      </c>
      <c r="D48" s="309" t="s">
        <v>119</v>
      </c>
      <c r="E48" s="1105"/>
      <c r="F48" s="1510" t="s">
        <v>160</v>
      </c>
      <c r="G48" s="1511"/>
      <c r="H48" s="69"/>
      <c r="I48" s="54"/>
      <c r="J48" s="55"/>
      <c r="K48" s="64"/>
    </row>
    <row r="49" spans="2:13" ht="46.9" customHeight="1" x14ac:dyDescent="0.25">
      <c r="B49" s="59"/>
      <c r="C49" s="575" t="s">
        <v>329</v>
      </c>
      <c r="D49" s="573" t="s">
        <v>3</v>
      </c>
      <c r="E49" s="572" t="s">
        <v>86</v>
      </c>
      <c r="F49" s="1416" t="s">
        <v>126</v>
      </c>
      <c r="G49" s="1417"/>
      <c r="H49" s="69"/>
      <c r="I49" s="54"/>
      <c r="J49" s="55"/>
      <c r="K49" s="64"/>
    </row>
    <row r="50" spans="2:13" ht="70.900000000000006" customHeight="1" x14ac:dyDescent="0.25">
      <c r="B50" s="59"/>
      <c r="C50" s="293" t="s">
        <v>898</v>
      </c>
      <c r="D50" s="292" t="s">
        <v>840</v>
      </c>
      <c r="E50" s="1105"/>
      <c r="F50" s="1418" t="s">
        <v>160</v>
      </c>
      <c r="G50" s="1419"/>
      <c r="H50" s="69"/>
      <c r="I50" s="54"/>
      <c r="J50" s="54"/>
      <c r="K50" s="54"/>
      <c r="L50" s="54"/>
      <c r="M50" s="50"/>
    </row>
    <row r="51" spans="2:13" ht="108" customHeight="1" x14ac:dyDescent="0.25">
      <c r="B51" s="59"/>
      <c r="C51" s="293" t="s">
        <v>903</v>
      </c>
      <c r="D51" s="595" t="s">
        <v>901</v>
      </c>
      <c r="E51" s="1107"/>
      <c r="F51" s="1418" t="s">
        <v>160</v>
      </c>
      <c r="G51" s="1419"/>
      <c r="H51" s="69"/>
      <c r="I51" s="54"/>
      <c r="J51" s="54"/>
      <c r="K51" s="54"/>
      <c r="L51" s="54"/>
    </row>
    <row r="52" spans="2:13" ht="46.9" customHeight="1" x14ac:dyDescent="0.25">
      <c r="B52" s="59"/>
      <c r="C52" s="575" t="s">
        <v>330</v>
      </c>
      <c r="D52" s="573" t="s">
        <v>3</v>
      </c>
      <c r="E52" s="572" t="s">
        <v>157</v>
      </c>
      <c r="F52" s="1416" t="s">
        <v>126</v>
      </c>
      <c r="G52" s="1417"/>
      <c r="H52" s="69"/>
      <c r="I52" s="54"/>
      <c r="J52" s="54"/>
      <c r="K52" s="54"/>
      <c r="L52" s="54"/>
    </row>
    <row r="53" spans="2:13" ht="70.900000000000006" customHeight="1" x14ac:dyDescent="0.25">
      <c r="B53" s="59"/>
      <c r="C53" s="293" t="s">
        <v>898</v>
      </c>
      <c r="D53" s="292" t="s">
        <v>487</v>
      </c>
      <c r="E53" s="1105"/>
      <c r="F53" s="1418" t="s">
        <v>160</v>
      </c>
      <c r="G53" s="1419"/>
      <c r="H53" s="69"/>
      <c r="I53" s="54"/>
      <c r="J53" s="54"/>
      <c r="K53" s="54"/>
      <c r="L53" s="54"/>
    </row>
    <row r="54" spans="2:13" ht="79.150000000000006" customHeight="1" x14ac:dyDescent="0.25">
      <c r="B54" s="59"/>
      <c r="C54" s="293" t="s">
        <v>903</v>
      </c>
      <c r="D54" s="595" t="s">
        <v>901</v>
      </c>
      <c r="E54" s="1107"/>
      <c r="F54" s="1418" t="s">
        <v>160</v>
      </c>
      <c r="G54" s="1419"/>
      <c r="H54" s="69"/>
      <c r="I54" s="54"/>
      <c r="J54" s="54"/>
      <c r="K54" s="54"/>
      <c r="L54" s="54"/>
    </row>
    <row r="55" spans="2:13" ht="46.9" customHeight="1" x14ac:dyDescent="0.25">
      <c r="B55" s="59"/>
      <c r="C55" s="310" t="s">
        <v>331</v>
      </c>
      <c r="D55" s="573" t="s">
        <v>3</v>
      </c>
      <c r="E55" s="572" t="s">
        <v>157</v>
      </c>
      <c r="F55" s="1416" t="s">
        <v>126</v>
      </c>
      <c r="G55" s="1417"/>
      <c r="H55" s="69"/>
      <c r="I55" s="54"/>
      <c r="J55" s="54"/>
      <c r="K55" s="54"/>
      <c r="L55" s="54"/>
    </row>
    <row r="56" spans="2:13" ht="70.150000000000006" customHeight="1" x14ac:dyDescent="0.25">
      <c r="B56" s="59"/>
      <c r="C56" s="293" t="s">
        <v>898</v>
      </c>
      <c r="D56" s="292" t="s">
        <v>487</v>
      </c>
      <c r="E56" s="1105"/>
      <c r="F56" s="1418" t="s">
        <v>160</v>
      </c>
      <c r="G56" s="1419"/>
      <c r="H56" s="69"/>
      <c r="I56" s="54"/>
      <c r="J56" s="54"/>
      <c r="K56" s="54"/>
      <c r="L56" s="54"/>
    </row>
    <row r="57" spans="2:13" ht="70.150000000000006" customHeight="1" x14ac:dyDescent="0.25">
      <c r="B57" s="59"/>
      <c r="C57" s="293" t="s">
        <v>903</v>
      </c>
      <c r="D57" s="595" t="s">
        <v>901</v>
      </c>
      <c r="E57" s="1107"/>
      <c r="F57" s="1418" t="s">
        <v>160</v>
      </c>
      <c r="G57" s="1419"/>
      <c r="H57" s="69"/>
      <c r="I57" s="54"/>
      <c r="J57" s="54"/>
      <c r="K57" s="54"/>
      <c r="L57" s="54"/>
    </row>
    <row r="58" spans="2:13" ht="46.9" customHeight="1" x14ac:dyDescent="0.25">
      <c r="B58" s="59"/>
      <c r="C58" s="310" t="s">
        <v>333</v>
      </c>
      <c r="D58" s="573" t="s">
        <v>3</v>
      </c>
      <c r="E58" s="572" t="s">
        <v>157</v>
      </c>
      <c r="F58" s="1416" t="s">
        <v>126</v>
      </c>
      <c r="G58" s="1417"/>
      <c r="H58" s="69"/>
      <c r="I58" s="54"/>
      <c r="J58" s="54"/>
      <c r="K58" s="54"/>
      <c r="L58" s="54"/>
    </row>
    <row r="59" spans="2:13" ht="70.150000000000006" customHeight="1" x14ac:dyDescent="0.25">
      <c r="B59" s="59"/>
      <c r="C59" s="293" t="s">
        <v>898</v>
      </c>
      <c r="D59" s="292" t="s">
        <v>487</v>
      </c>
      <c r="E59" s="1105"/>
      <c r="F59" s="1418" t="s">
        <v>160</v>
      </c>
      <c r="G59" s="1419"/>
      <c r="H59" s="69"/>
      <c r="I59" s="54"/>
      <c r="J59" s="54"/>
      <c r="K59" s="54"/>
      <c r="L59" s="54"/>
    </row>
    <row r="60" spans="2:13" ht="70.150000000000006" customHeight="1" x14ac:dyDescent="0.25">
      <c r="B60" s="59"/>
      <c r="C60" s="293" t="s">
        <v>903</v>
      </c>
      <c r="D60" s="595" t="s">
        <v>901</v>
      </c>
      <c r="E60" s="1107"/>
      <c r="F60" s="1418" t="s">
        <v>160</v>
      </c>
      <c r="G60" s="1419"/>
      <c r="H60" s="69"/>
      <c r="I60" s="54"/>
      <c r="J60" s="54"/>
      <c r="K60" s="54"/>
      <c r="L60" s="54"/>
    </row>
    <row r="61" spans="2:13" ht="46.9" customHeight="1" x14ac:dyDescent="0.25">
      <c r="B61" s="59"/>
      <c r="C61" s="310" t="s">
        <v>332</v>
      </c>
      <c r="D61" s="484"/>
      <c r="E61" s="572" t="s">
        <v>157</v>
      </c>
      <c r="F61" s="1416" t="s">
        <v>126</v>
      </c>
      <c r="G61" s="1417"/>
      <c r="H61" s="69"/>
      <c r="I61" s="54"/>
      <c r="J61" s="54"/>
      <c r="K61" s="54"/>
      <c r="L61" s="54"/>
    </row>
    <row r="62" spans="2:13" ht="70.150000000000006" customHeight="1" x14ac:dyDescent="0.25">
      <c r="B62" s="59"/>
      <c r="C62" s="293" t="s">
        <v>898</v>
      </c>
      <c r="D62" s="292" t="s">
        <v>487</v>
      </c>
      <c r="E62" s="1105"/>
      <c r="F62" s="1418" t="s">
        <v>160</v>
      </c>
      <c r="G62" s="1419"/>
      <c r="H62" s="69"/>
      <c r="I62" s="54"/>
      <c r="J62" s="54"/>
      <c r="K62" s="54"/>
      <c r="L62" s="54"/>
    </row>
    <row r="63" spans="2:13" ht="70.150000000000006" customHeight="1" x14ac:dyDescent="0.25">
      <c r="B63" s="59"/>
      <c r="C63" s="293" t="s">
        <v>905</v>
      </c>
      <c r="D63" s="595" t="s">
        <v>902</v>
      </c>
      <c r="E63" s="1107"/>
      <c r="F63" s="1418" t="s">
        <v>160</v>
      </c>
      <c r="G63" s="1419"/>
      <c r="H63" s="69"/>
      <c r="I63" s="54"/>
      <c r="J63" s="54"/>
      <c r="K63" s="54"/>
      <c r="L63" s="54"/>
    </row>
    <row r="64" spans="2:13" ht="46.9" customHeight="1" x14ac:dyDescent="0.25">
      <c r="B64" s="59"/>
      <c r="C64" s="310" t="s">
        <v>739</v>
      </c>
      <c r="D64" s="484"/>
      <c r="E64" s="572" t="s">
        <v>157</v>
      </c>
      <c r="F64" s="1416" t="s">
        <v>126</v>
      </c>
      <c r="G64" s="1417"/>
      <c r="H64" s="69"/>
      <c r="I64" s="54"/>
      <c r="J64" s="54"/>
      <c r="K64" s="54"/>
      <c r="L64" s="54"/>
    </row>
    <row r="65" spans="2:13" ht="70.150000000000006" customHeight="1" x14ac:dyDescent="0.25">
      <c r="B65" s="59"/>
      <c r="C65" s="293" t="s">
        <v>898</v>
      </c>
      <c r="D65" s="292" t="s">
        <v>487</v>
      </c>
      <c r="E65" s="1105"/>
      <c r="F65" s="1418" t="s">
        <v>160</v>
      </c>
      <c r="G65" s="1419"/>
      <c r="H65" s="69"/>
      <c r="I65" s="54"/>
      <c r="J65" s="54"/>
      <c r="K65" s="54"/>
      <c r="L65" s="54"/>
    </row>
    <row r="66" spans="2:13" ht="70.150000000000006" customHeight="1" x14ac:dyDescent="0.25">
      <c r="B66" s="59"/>
      <c r="C66" s="293" t="s">
        <v>897</v>
      </c>
      <c r="D66" s="636" t="s">
        <v>904</v>
      </c>
      <c r="E66" s="1107"/>
      <c r="F66" s="1418" t="s">
        <v>160</v>
      </c>
      <c r="G66" s="1419"/>
      <c r="H66" s="69"/>
      <c r="I66" s="54"/>
      <c r="J66" s="54"/>
      <c r="K66" s="54"/>
      <c r="L66" s="54"/>
    </row>
    <row r="67" spans="2:13" ht="15" customHeight="1" x14ac:dyDescent="0.25">
      <c r="B67" s="61"/>
      <c r="C67" s="75"/>
      <c r="D67" s="76"/>
      <c r="E67" s="76"/>
      <c r="F67" s="76"/>
      <c r="G67" s="76"/>
      <c r="H67" s="70"/>
      <c r="I67" s="54"/>
      <c r="J67" s="54"/>
      <c r="K67" s="54"/>
      <c r="L67" s="54"/>
    </row>
    <row r="68" spans="2:13" ht="46.9" customHeight="1" x14ac:dyDescent="0.25">
      <c r="C68" s="64"/>
      <c r="D68" s="54"/>
      <c r="E68" s="54"/>
      <c r="F68" s="54"/>
      <c r="G68" s="54"/>
      <c r="H68" s="54"/>
      <c r="I68" s="54"/>
      <c r="J68" s="54"/>
      <c r="K68" s="54"/>
      <c r="L68" s="54"/>
    </row>
    <row r="70" spans="2:13" ht="46.9" customHeight="1" x14ac:dyDescent="0.25">
      <c r="B70" s="66"/>
      <c r="C70" s="66" t="s">
        <v>492</v>
      </c>
      <c r="D70" s="57"/>
      <c r="E70" s="57"/>
      <c r="F70" s="57"/>
      <c r="G70" s="57"/>
      <c r="H70" s="58"/>
      <c r="I70" s="56"/>
      <c r="J70" s="56"/>
    </row>
    <row r="71" spans="2:13" ht="24" customHeight="1" x14ac:dyDescent="0.25">
      <c r="B71" s="59"/>
      <c r="H71" s="60"/>
      <c r="I71" s="65"/>
      <c r="J71" s="65"/>
    </row>
    <row r="72" spans="2:13" ht="24" customHeight="1" x14ac:dyDescent="0.25">
      <c r="B72" s="59"/>
      <c r="C72" s="1411" t="s">
        <v>493</v>
      </c>
      <c r="D72" s="1410"/>
      <c r="E72" s="1410"/>
      <c r="F72" s="1410"/>
      <c r="G72" s="115"/>
      <c r="H72" s="60"/>
      <c r="I72" s="65"/>
      <c r="J72" s="65"/>
    </row>
    <row r="73" spans="2:13" ht="24" customHeight="1" x14ac:dyDescent="0.25">
      <c r="B73" s="59"/>
      <c r="C73" s="92"/>
      <c r="D73" s="92"/>
      <c r="E73" s="92"/>
      <c r="F73" s="92"/>
      <c r="G73" s="92"/>
      <c r="H73" s="60"/>
      <c r="I73" s="65"/>
      <c r="J73" s="65"/>
    </row>
    <row r="74" spans="2:13" ht="24" customHeight="1" x14ac:dyDescent="0.25">
      <c r="B74" s="59"/>
      <c r="C74" s="1504" t="s">
        <v>634</v>
      </c>
      <c r="D74" s="1505"/>
      <c r="E74" s="1505"/>
      <c r="F74" s="1505"/>
      <c r="G74" s="1506"/>
      <c r="H74" s="60"/>
      <c r="I74" s="65"/>
      <c r="J74" s="65"/>
    </row>
    <row r="75" spans="2:13" ht="42" customHeight="1" x14ac:dyDescent="0.25">
      <c r="B75" s="59"/>
      <c r="C75" s="703" t="s">
        <v>641</v>
      </c>
      <c r="D75" s="1465" t="s">
        <v>1218</v>
      </c>
      <c r="E75" s="1465"/>
      <c r="F75" s="1465"/>
      <c r="G75" s="1465"/>
      <c r="H75" s="60"/>
      <c r="I75" s="65"/>
      <c r="J75" s="65"/>
    </row>
    <row r="76" spans="2:13" ht="27.6" customHeight="1" x14ac:dyDescent="0.25">
      <c r="B76" s="59"/>
      <c r="C76" s="703" t="s">
        <v>676</v>
      </c>
      <c r="D76" s="1465" t="s">
        <v>1229</v>
      </c>
      <c r="E76" s="1465"/>
      <c r="F76" s="1465"/>
      <c r="G76" s="1465"/>
      <c r="H76" s="60"/>
      <c r="I76" s="65"/>
      <c r="J76" s="65"/>
    </row>
    <row r="77" spans="2:13" ht="58.9" customHeight="1" x14ac:dyDescent="0.25">
      <c r="B77" s="59"/>
      <c r="C77" s="704" t="s">
        <v>642</v>
      </c>
      <c r="D77" s="1465" t="s">
        <v>1165</v>
      </c>
      <c r="E77" s="1465"/>
      <c r="F77" s="1465"/>
      <c r="G77" s="1465"/>
      <c r="H77" s="60"/>
      <c r="I77" s="65"/>
      <c r="J77" s="65"/>
    </row>
    <row r="78" spans="2:13" ht="19.899999999999999" customHeight="1" x14ac:dyDescent="0.25">
      <c r="B78" s="59"/>
      <c r="C78" s="1412"/>
      <c r="D78" s="1412"/>
      <c r="E78" s="1412"/>
      <c r="F78" s="1412"/>
      <c r="G78" s="95"/>
      <c r="H78" s="68"/>
      <c r="I78" s="53"/>
      <c r="J78" s="96"/>
      <c r="K78" s="96"/>
      <c r="L78" s="96"/>
      <c r="M78" s="96"/>
    </row>
    <row r="79" spans="2:13" ht="46.9" customHeight="1" x14ac:dyDescent="0.3">
      <c r="B79" s="59"/>
      <c r="C79" s="575" t="s">
        <v>329</v>
      </c>
      <c r="D79" s="574" t="s">
        <v>3</v>
      </c>
      <c r="E79" s="574" t="s">
        <v>751</v>
      </c>
      <c r="F79" s="1495" t="s">
        <v>640</v>
      </c>
      <c r="G79" s="1496"/>
      <c r="H79" s="68"/>
      <c r="I79" s="53"/>
      <c r="J79" s="94"/>
      <c r="K79" s="93"/>
    </row>
    <row r="80" spans="2:13" ht="45" customHeight="1" x14ac:dyDescent="0.3">
      <c r="B80" s="59"/>
      <c r="C80" s="575"/>
      <c r="D80" s="580"/>
      <c r="E80" s="580" t="str">
        <f>IFERROR(IF(SUM(E81:E85)=0, "",IF(SUM(E81:E85)&gt;100, "A soma da % captação é superior a 100%. Por favor, reveja.", IF(SUM(E81:E85)&lt;100, "A soma da % captação é inferior a 100%. Por favor, reveja.", ""))),"")</f>
        <v/>
      </c>
      <c r="F80" s="509" t="str">
        <f>IFERROR(IF(SUM(F81:F85)=0, "",IF(SUM(F81:F85)&gt;100, "  A soma das TM é superior a 100%. Por favor, reveja.", IF(SUM(F81:F85)&lt;100, " A soma das TM é inferior a 100%. Por favor, reveja.", ""))),"")</f>
        <v/>
      </c>
      <c r="G80" s="220"/>
      <c r="H80" s="68"/>
      <c r="I80" s="53"/>
      <c r="J80" s="94"/>
      <c r="K80" s="93"/>
    </row>
    <row r="81" spans="2:11" ht="60" customHeight="1" x14ac:dyDescent="0.25">
      <c r="B81" s="59"/>
      <c r="C81" s="293" t="s">
        <v>409</v>
      </c>
      <c r="D81" s="292" t="s">
        <v>77</v>
      </c>
      <c r="E81" s="1110"/>
      <c r="F81" s="1418" t="s">
        <v>160</v>
      </c>
      <c r="G81" s="1419"/>
      <c r="H81" s="69"/>
      <c r="I81" s="54"/>
      <c r="K81" s="90"/>
    </row>
    <row r="82" spans="2:11" ht="60" customHeight="1" x14ac:dyDescent="0.25">
      <c r="B82" s="59"/>
      <c r="C82" s="293" t="s">
        <v>747</v>
      </c>
      <c r="D82" s="292" t="s">
        <v>77</v>
      </c>
      <c r="E82" s="1110"/>
      <c r="F82" s="1418" t="s">
        <v>160</v>
      </c>
      <c r="G82" s="1419"/>
      <c r="H82" s="69"/>
      <c r="I82" s="54"/>
      <c r="K82" s="90"/>
    </row>
    <row r="83" spans="2:11" ht="60" customHeight="1" x14ac:dyDescent="0.25">
      <c r="B83" s="59"/>
      <c r="C83" s="293" t="s">
        <v>748</v>
      </c>
      <c r="D83" s="292" t="s">
        <v>77</v>
      </c>
      <c r="E83" s="1110"/>
      <c r="F83" s="1418" t="s">
        <v>160</v>
      </c>
      <c r="G83" s="1419"/>
      <c r="H83" s="69"/>
      <c r="I83" s="54"/>
      <c r="J83" s="90"/>
      <c r="K83" s="90"/>
    </row>
    <row r="84" spans="2:11" ht="60" customHeight="1" x14ac:dyDescent="0.25">
      <c r="B84" s="59"/>
      <c r="C84" s="293" t="s">
        <v>767</v>
      </c>
      <c r="D84" s="292" t="s">
        <v>77</v>
      </c>
      <c r="E84" s="1110"/>
      <c r="F84" s="1418" t="s">
        <v>160</v>
      </c>
      <c r="G84" s="1419"/>
      <c r="H84" s="69"/>
      <c r="I84" s="54"/>
      <c r="J84" s="90"/>
      <c r="K84" s="90"/>
    </row>
    <row r="85" spans="2:11" ht="60" customHeight="1" x14ac:dyDescent="0.25">
      <c r="B85" s="59"/>
      <c r="C85" s="293" t="s">
        <v>749</v>
      </c>
      <c r="D85" s="292" t="s">
        <v>77</v>
      </c>
      <c r="E85" s="1110"/>
      <c r="F85" s="1418" t="s">
        <v>160</v>
      </c>
      <c r="G85" s="1419"/>
      <c r="H85" s="69"/>
      <c r="I85" s="54"/>
      <c r="J85" s="90"/>
      <c r="K85" s="90"/>
    </row>
    <row r="86" spans="2:11" ht="46.9" customHeight="1" x14ac:dyDescent="0.25">
      <c r="B86" s="59"/>
      <c r="C86" s="575" t="s">
        <v>330</v>
      </c>
      <c r="D86" s="574" t="s">
        <v>3</v>
      </c>
      <c r="E86" s="574" t="s">
        <v>751</v>
      </c>
      <c r="F86" s="1495" t="s">
        <v>640</v>
      </c>
      <c r="G86" s="1496"/>
      <c r="H86" s="69"/>
      <c r="I86" s="54"/>
      <c r="J86" s="90"/>
      <c r="K86" s="90"/>
    </row>
    <row r="87" spans="2:11" ht="45" customHeight="1" x14ac:dyDescent="0.25">
      <c r="B87" s="59"/>
      <c r="C87" s="575"/>
      <c r="D87" s="580"/>
      <c r="E87" s="580" t="str">
        <f>IFERROR(IF(SUM(E88:E92)=0, "",IF(SUM(E88:E92)&gt;100, "A soma da % captação é superior a 100%. Por favor, reveja.", IF(SUM(E88:E92)&lt;100, "A soma da % captação é inferior a 100%. Por favor, reveja.", ""))),"")</f>
        <v/>
      </c>
      <c r="F87" s="509" t="str">
        <f>IFERROR(IF(SUM(F88:F92)=0, "",IF(SUM(F88:F92)&gt;100, "  A soma das TM é superior a 100%. Por favor, reveja.", IF(SUM(F88:F92)&lt;100, " A soma das TM é inferior a 100%. Por favor, reveja.", ""))),"")</f>
        <v/>
      </c>
      <c r="G87" s="136"/>
      <c r="H87" s="69"/>
      <c r="I87" s="54"/>
      <c r="J87" s="90"/>
      <c r="K87" s="90"/>
    </row>
    <row r="88" spans="2:11" ht="60" customHeight="1" x14ac:dyDescent="0.25">
      <c r="B88" s="59"/>
      <c r="C88" s="293" t="s">
        <v>410</v>
      </c>
      <c r="D88" s="292" t="s">
        <v>77</v>
      </c>
      <c r="E88" s="1110"/>
      <c r="F88" s="1418" t="s">
        <v>160</v>
      </c>
      <c r="G88" s="1419"/>
      <c r="H88" s="69"/>
      <c r="I88" s="54"/>
      <c r="J88" s="90"/>
      <c r="K88" s="90"/>
    </row>
    <row r="89" spans="2:11" ht="60" customHeight="1" x14ac:dyDescent="0.25">
      <c r="B89" s="59"/>
      <c r="C89" s="293" t="s">
        <v>411</v>
      </c>
      <c r="D89" s="292" t="s">
        <v>77</v>
      </c>
      <c r="E89" s="1110"/>
      <c r="F89" s="1418" t="s">
        <v>160</v>
      </c>
      <c r="G89" s="1419"/>
      <c r="H89" s="69"/>
      <c r="I89" s="54"/>
      <c r="J89" s="90"/>
      <c r="K89" s="90"/>
    </row>
    <row r="90" spans="2:11" ht="60" customHeight="1" x14ac:dyDescent="0.25">
      <c r="B90" s="59"/>
      <c r="C90" s="293" t="s">
        <v>1166</v>
      </c>
      <c r="D90" s="292" t="s">
        <v>77</v>
      </c>
      <c r="E90" s="1110"/>
      <c r="F90" s="1418" t="s">
        <v>160</v>
      </c>
      <c r="G90" s="1419"/>
      <c r="H90" s="69"/>
      <c r="I90" s="54"/>
      <c r="J90" s="90"/>
      <c r="K90" s="90"/>
    </row>
    <row r="91" spans="2:11" ht="60" customHeight="1" x14ac:dyDescent="0.25">
      <c r="B91" s="59"/>
      <c r="C91" s="293" t="s">
        <v>768</v>
      </c>
      <c r="D91" s="292" t="s">
        <v>77</v>
      </c>
      <c r="E91" s="1110"/>
      <c r="F91" s="1418" t="s">
        <v>160</v>
      </c>
      <c r="G91" s="1419"/>
      <c r="H91" s="69"/>
      <c r="I91" s="54"/>
      <c r="J91" s="90"/>
      <c r="K91" s="90"/>
    </row>
    <row r="92" spans="2:11" ht="60" customHeight="1" x14ac:dyDescent="0.25">
      <c r="B92" s="59"/>
      <c r="C92" s="293" t="s">
        <v>731</v>
      </c>
      <c r="D92" s="292" t="s">
        <v>77</v>
      </c>
      <c r="E92" s="1110"/>
      <c r="F92" s="1418" t="s">
        <v>160</v>
      </c>
      <c r="G92" s="1419"/>
      <c r="H92" s="69"/>
      <c r="I92" s="54"/>
      <c r="J92" s="90"/>
      <c r="K92" s="90"/>
    </row>
    <row r="93" spans="2:11" ht="46.9" customHeight="1" x14ac:dyDescent="0.25">
      <c r="B93" s="59"/>
      <c r="C93" s="484" t="s">
        <v>331</v>
      </c>
      <c r="D93" s="574" t="s">
        <v>3</v>
      </c>
      <c r="E93" s="574" t="s">
        <v>751</v>
      </c>
      <c r="F93" s="1495" t="s">
        <v>640</v>
      </c>
      <c r="G93" s="1496"/>
      <c r="H93" s="69"/>
      <c r="I93" s="54"/>
      <c r="J93" s="90"/>
      <c r="K93" s="90"/>
    </row>
    <row r="94" spans="2:11" ht="45" customHeight="1" x14ac:dyDescent="0.25">
      <c r="B94" s="59"/>
      <c r="C94" s="484"/>
      <c r="D94" s="580"/>
      <c r="E94" s="580" t="str">
        <f>IFERROR(IF(SUM(E95:E99)=0, "",IF(SUM(E95:E99)&gt;100, "A soma da % captação é superior a 100%. Por favor, reveja.", IF(SUM(E95:E99)&lt;100, "A soma da % captação é inferior a 100%. Por favor, reveja.", ""))),"")</f>
        <v/>
      </c>
      <c r="F94" s="509" t="str">
        <f>IFERROR(IF(SUM(F95:F99)=0, "",IF(SUM(F95:F99)&gt;100, "  A soma das TM é superior a 100%. Por favor, reveja.", IF(SUM(F95:F99)&lt;100, " A soma das TM é inferior a 100%. Por favor, reveja.", ""))),"")</f>
        <v/>
      </c>
      <c r="G94" s="136"/>
      <c r="H94" s="69"/>
      <c r="I94" s="54"/>
      <c r="J94" s="90"/>
      <c r="K94" s="90"/>
    </row>
    <row r="95" spans="2:11" ht="60" customHeight="1" x14ac:dyDescent="0.25">
      <c r="B95" s="59"/>
      <c r="C95" s="293" t="s">
        <v>412</v>
      </c>
      <c r="D95" s="292" t="s">
        <v>77</v>
      </c>
      <c r="E95" s="1110"/>
      <c r="F95" s="1418" t="s">
        <v>160</v>
      </c>
      <c r="G95" s="1419"/>
      <c r="H95" s="69"/>
      <c r="I95" s="54"/>
      <c r="J95" s="90"/>
      <c r="K95" s="90"/>
    </row>
    <row r="96" spans="2:11" ht="60" customHeight="1" x14ac:dyDescent="0.25">
      <c r="B96" s="59"/>
      <c r="C96" s="293" t="s">
        <v>413</v>
      </c>
      <c r="D96" s="292" t="s">
        <v>77</v>
      </c>
      <c r="E96" s="1110"/>
      <c r="F96" s="1418" t="s">
        <v>160</v>
      </c>
      <c r="G96" s="1419"/>
      <c r="H96" s="69"/>
      <c r="I96" s="54"/>
      <c r="J96" s="90"/>
      <c r="K96" s="90"/>
    </row>
    <row r="97" spans="2:11" ht="60" customHeight="1" x14ac:dyDescent="0.25">
      <c r="B97" s="59"/>
      <c r="C97" s="293" t="s">
        <v>1167</v>
      </c>
      <c r="D97" s="292" t="s">
        <v>77</v>
      </c>
      <c r="E97" s="1110"/>
      <c r="F97" s="1418" t="s">
        <v>160</v>
      </c>
      <c r="G97" s="1419"/>
      <c r="H97" s="69"/>
      <c r="I97" s="54"/>
      <c r="J97" s="90"/>
      <c r="K97" s="90"/>
    </row>
    <row r="98" spans="2:11" ht="60" customHeight="1" x14ac:dyDescent="0.25">
      <c r="B98" s="59"/>
      <c r="C98" s="293" t="s">
        <v>1168</v>
      </c>
      <c r="D98" s="292" t="s">
        <v>77</v>
      </c>
      <c r="E98" s="1110"/>
      <c r="F98" s="1418" t="s">
        <v>160</v>
      </c>
      <c r="G98" s="1419"/>
      <c r="H98" s="69"/>
      <c r="I98" s="54"/>
      <c r="J98" s="90"/>
      <c r="K98" s="90"/>
    </row>
    <row r="99" spans="2:11" ht="60" customHeight="1" x14ac:dyDescent="0.25">
      <c r="B99" s="59"/>
      <c r="C99" s="293" t="s">
        <v>732</v>
      </c>
      <c r="D99" s="292" t="s">
        <v>77</v>
      </c>
      <c r="E99" s="1110"/>
      <c r="F99" s="1418" t="s">
        <v>160</v>
      </c>
      <c r="G99" s="1419"/>
      <c r="H99" s="69"/>
      <c r="I99" s="54"/>
      <c r="J99" s="90"/>
      <c r="K99" s="90"/>
    </row>
    <row r="100" spans="2:11" ht="46.9" customHeight="1" x14ac:dyDescent="0.25">
      <c r="B100" s="59"/>
      <c r="C100" s="484" t="s">
        <v>333</v>
      </c>
      <c r="D100" s="574" t="s">
        <v>3</v>
      </c>
      <c r="E100" s="1111" t="s">
        <v>751</v>
      </c>
      <c r="F100" s="1507" t="s">
        <v>640</v>
      </c>
      <c r="G100" s="1508"/>
      <c r="H100" s="69"/>
      <c r="I100" s="54"/>
      <c r="J100" s="90"/>
      <c r="K100" s="90"/>
    </row>
    <row r="101" spans="2:11" ht="45" customHeight="1" x14ac:dyDescent="0.25">
      <c r="B101" s="59"/>
      <c r="C101" s="484"/>
      <c r="D101" s="580"/>
      <c r="E101" s="580" t="str">
        <f>IFERROR(IF(SUM(E102:E106)=0, "",IF(SUM(E102:E106)&gt;100, "A soma da % captação é superior a 100%. Por favor, reveja.", IF(SUM(E102:E106)&lt;100, "A soma da % captação é inferior a 100%. Por favor, reveja.", ""))),"")</f>
        <v/>
      </c>
      <c r="F101" s="509" t="str">
        <f>IFERROR(IF(SUM(F102:F106)=0, "",IF(SUM(F102:F106)&gt;100, "  A soma das TM é superior a 100%. Por favor, reveja.", IF(SUM(F102:F106)&lt;100, " A soma das TM é inferior a 100%. Por favor, reveja.", ""))),"")</f>
        <v/>
      </c>
      <c r="G101" s="1112"/>
      <c r="H101" s="69"/>
      <c r="I101" s="54"/>
      <c r="J101" s="90"/>
      <c r="K101" s="90"/>
    </row>
    <row r="102" spans="2:11" ht="60" customHeight="1" x14ac:dyDescent="0.25">
      <c r="B102" s="59"/>
      <c r="C102" s="293" t="s">
        <v>733</v>
      </c>
      <c r="D102" s="292" t="s">
        <v>77</v>
      </c>
      <c r="E102" s="1110"/>
      <c r="F102" s="1418" t="s">
        <v>160</v>
      </c>
      <c r="G102" s="1419"/>
      <c r="H102" s="69"/>
      <c r="I102" s="54"/>
      <c r="J102" s="55"/>
      <c r="K102" s="48"/>
    </row>
    <row r="103" spans="2:11" ht="60" customHeight="1" x14ac:dyDescent="0.25">
      <c r="B103" s="59"/>
      <c r="C103" s="293" t="s">
        <v>734</v>
      </c>
      <c r="D103" s="292" t="s">
        <v>77</v>
      </c>
      <c r="E103" s="1110"/>
      <c r="F103" s="1418" t="s">
        <v>160</v>
      </c>
      <c r="G103" s="1419"/>
      <c r="H103" s="69"/>
      <c r="I103" s="54"/>
      <c r="J103" s="55"/>
      <c r="K103" s="48"/>
    </row>
    <row r="104" spans="2:11" ht="60" customHeight="1" x14ac:dyDescent="0.25">
      <c r="B104" s="59"/>
      <c r="C104" s="293" t="s">
        <v>1169</v>
      </c>
      <c r="D104" s="292" t="s">
        <v>77</v>
      </c>
      <c r="E104" s="1110"/>
      <c r="F104" s="1418" t="s">
        <v>160</v>
      </c>
      <c r="G104" s="1419"/>
      <c r="H104" s="69"/>
      <c r="I104" s="54"/>
      <c r="J104" s="55"/>
      <c r="K104" s="48"/>
    </row>
    <row r="105" spans="2:11" ht="60" customHeight="1" x14ac:dyDescent="0.25">
      <c r="B105" s="59"/>
      <c r="C105" s="293" t="s">
        <v>769</v>
      </c>
      <c r="D105" s="292" t="s">
        <v>77</v>
      </c>
      <c r="E105" s="1110"/>
      <c r="F105" s="1418" t="s">
        <v>160</v>
      </c>
      <c r="G105" s="1419"/>
      <c r="H105" s="69"/>
      <c r="I105" s="54"/>
      <c r="J105" s="55"/>
      <c r="K105" s="48"/>
    </row>
    <row r="106" spans="2:11" ht="60" customHeight="1" x14ac:dyDescent="0.25">
      <c r="B106" s="59"/>
      <c r="C106" s="293" t="s">
        <v>735</v>
      </c>
      <c r="D106" s="292" t="s">
        <v>77</v>
      </c>
      <c r="E106" s="1110"/>
      <c r="F106" s="1418" t="s">
        <v>160</v>
      </c>
      <c r="G106" s="1419"/>
      <c r="H106" s="69"/>
      <c r="I106" s="54"/>
      <c r="J106" s="55"/>
      <c r="K106" s="48"/>
    </row>
    <row r="107" spans="2:11" ht="46.9" customHeight="1" x14ac:dyDescent="0.25">
      <c r="B107" s="59"/>
      <c r="C107" s="484" t="s">
        <v>332</v>
      </c>
      <c r="D107" s="574" t="s">
        <v>3</v>
      </c>
      <c r="E107" s="574" t="s">
        <v>751</v>
      </c>
      <c r="F107" s="1495" t="s">
        <v>640</v>
      </c>
      <c r="G107" s="1496"/>
      <c r="H107" s="69"/>
      <c r="I107" s="54"/>
      <c r="J107" s="55"/>
      <c r="K107" s="48"/>
    </row>
    <row r="108" spans="2:11" ht="45" customHeight="1" x14ac:dyDescent="0.25">
      <c r="B108" s="59"/>
      <c r="C108" s="484"/>
      <c r="D108" s="580"/>
      <c r="E108" s="580" t="str">
        <f>IFERROR(IF(SUM(E109:E113)=0, "",IF(SUM(E109:E113)&gt;100, "A soma da % captação é superior a 100%. Por favor, reveja.", IF(SUM(E109:E113)&lt;100, "A soma da % captação é inferior a 100%. Por favor, reveja.", ""))),"")</f>
        <v/>
      </c>
      <c r="F108" s="509" t="str">
        <f>IFERROR(IF(SUM(F109:F113)=0, "",IF(SUM(F109:F113)&gt;100, "  A soma das TM é superior a 100%. Por favor, reveja.", IF(SUM(F109:F113)&lt;100, " A soma das TM é inferior a 100%. Por favor, reveja.", ""))),"")</f>
        <v/>
      </c>
      <c r="G108" s="136"/>
      <c r="H108" s="69"/>
      <c r="I108" s="54"/>
      <c r="J108" s="55"/>
      <c r="K108" s="48"/>
    </row>
    <row r="109" spans="2:11" ht="60" customHeight="1" x14ac:dyDescent="0.25">
      <c r="B109" s="59"/>
      <c r="C109" s="293" t="s">
        <v>414</v>
      </c>
      <c r="D109" s="292" t="s">
        <v>77</v>
      </c>
      <c r="E109" s="1110"/>
      <c r="F109" s="1418" t="s">
        <v>160</v>
      </c>
      <c r="G109" s="1419"/>
      <c r="H109" s="69"/>
      <c r="I109" s="54"/>
      <c r="J109" s="55"/>
      <c r="K109" s="48"/>
    </row>
    <row r="110" spans="2:11" ht="60" customHeight="1" x14ac:dyDescent="0.25">
      <c r="B110" s="59"/>
      <c r="C110" s="293" t="s">
        <v>416</v>
      </c>
      <c r="D110" s="292" t="s">
        <v>77</v>
      </c>
      <c r="E110" s="1110"/>
      <c r="F110" s="1418" t="s">
        <v>160</v>
      </c>
      <c r="G110" s="1419"/>
      <c r="H110" s="69"/>
      <c r="I110" s="54"/>
      <c r="J110" s="55"/>
      <c r="K110" s="48"/>
    </row>
    <row r="111" spans="2:11" ht="60" customHeight="1" x14ac:dyDescent="0.25">
      <c r="B111" s="59"/>
      <c r="C111" s="293" t="s">
        <v>415</v>
      </c>
      <c r="D111" s="292" t="s">
        <v>77</v>
      </c>
      <c r="E111" s="1110"/>
      <c r="F111" s="1418" t="s">
        <v>160</v>
      </c>
      <c r="G111" s="1419"/>
      <c r="H111" s="69"/>
      <c r="I111" s="54"/>
      <c r="J111" s="55"/>
      <c r="K111" s="48"/>
    </row>
    <row r="112" spans="2:11" ht="60" customHeight="1" x14ac:dyDescent="0.25">
      <c r="B112" s="59"/>
      <c r="C112" s="293" t="s">
        <v>750</v>
      </c>
      <c r="D112" s="292" t="s">
        <v>77</v>
      </c>
      <c r="E112" s="1110"/>
      <c r="F112" s="1418" t="s">
        <v>160</v>
      </c>
      <c r="G112" s="1419"/>
      <c r="H112" s="69"/>
      <c r="I112" s="54"/>
      <c r="J112" s="55"/>
      <c r="K112" s="48"/>
    </row>
    <row r="113" spans="2:19" ht="60" customHeight="1" x14ac:dyDescent="0.25">
      <c r="B113" s="59"/>
      <c r="C113" s="293" t="s">
        <v>736</v>
      </c>
      <c r="D113" s="292" t="s">
        <v>77</v>
      </c>
      <c r="E113" s="1110"/>
      <c r="F113" s="1418" t="s">
        <v>160</v>
      </c>
      <c r="G113" s="1419"/>
      <c r="H113" s="69"/>
      <c r="I113" s="54"/>
      <c r="J113" s="55"/>
      <c r="K113" s="48"/>
    </row>
    <row r="114" spans="2:19" ht="46.9" customHeight="1" x14ac:dyDescent="0.25">
      <c r="B114" s="59"/>
      <c r="C114" s="484" t="s">
        <v>739</v>
      </c>
      <c r="D114" s="574" t="s">
        <v>3</v>
      </c>
      <c r="E114" s="574" t="s">
        <v>751</v>
      </c>
      <c r="F114" s="1495" t="s">
        <v>640</v>
      </c>
      <c r="G114" s="1496"/>
      <c r="H114" s="69"/>
      <c r="I114" s="54"/>
      <c r="J114" s="55"/>
      <c r="K114" s="48"/>
    </row>
    <row r="115" spans="2:19" ht="45" customHeight="1" x14ac:dyDescent="0.25">
      <c r="B115" s="59"/>
      <c r="C115" s="484"/>
      <c r="D115" s="580"/>
      <c r="E115" s="580" t="str">
        <f>IFERROR(IF(SUM(E116:E121)=0, "",IF(SUM(E116:E121)&gt;100, "A soma da % captação é superior a 100%. Por favor, reveja.", IF(SUM(E116:E121)&lt;100, "A soma da % captação é inferior a 100%. Por favor, reveja.", ""))),"")</f>
        <v/>
      </c>
      <c r="F115" s="509" t="str">
        <f>IFERROR(IF(SUM(F116:F121)=0, "",IF(SUM(F116:F121)&gt;100, "  A soma das TM é superior a 100%. Por favor, reveja.", IF(SUM(F116:F121)&lt;100, " A soma das TM é inferior a 100%. Por favor, reveja.", ""))),"")</f>
        <v/>
      </c>
      <c r="G115" s="136"/>
      <c r="H115" s="69"/>
      <c r="I115" s="54"/>
      <c r="J115" s="55"/>
      <c r="K115" s="48"/>
    </row>
    <row r="116" spans="2:19" ht="60" customHeight="1" x14ac:dyDescent="0.25">
      <c r="B116" s="59"/>
      <c r="C116" s="293" t="s">
        <v>741</v>
      </c>
      <c r="D116" s="292" t="s">
        <v>77</v>
      </c>
      <c r="E116" s="1110"/>
      <c r="F116" s="1418" t="s">
        <v>160</v>
      </c>
      <c r="G116" s="1419"/>
      <c r="H116" s="69"/>
      <c r="I116" s="54"/>
      <c r="J116" s="55"/>
      <c r="K116" s="48"/>
    </row>
    <row r="117" spans="2:19" ht="60" customHeight="1" x14ac:dyDescent="0.25">
      <c r="B117" s="59"/>
      <c r="C117" s="293" t="s">
        <v>742</v>
      </c>
      <c r="D117" s="292" t="s">
        <v>77</v>
      </c>
      <c r="E117" s="1110"/>
      <c r="F117" s="1418" t="s">
        <v>160</v>
      </c>
      <c r="G117" s="1419"/>
      <c r="H117" s="69"/>
      <c r="I117" s="54"/>
      <c r="J117" s="55"/>
      <c r="K117" s="48"/>
    </row>
    <row r="118" spans="2:19" ht="60" customHeight="1" x14ac:dyDescent="0.25">
      <c r="B118" s="59"/>
      <c r="C118" s="293" t="s">
        <v>743</v>
      </c>
      <c r="D118" s="292" t="s">
        <v>77</v>
      </c>
      <c r="E118" s="1110"/>
      <c r="F118" s="1418" t="s">
        <v>160</v>
      </c>
      <c r="G118" s="1419"/>
      <c r="H118" s="69"/>
      <c r="I118" s="54"/>
      <c r="J118" s="55"/>
      <c r="K118" s="48"/>
    </row>
    <row r="119" spans="2:19" ht="60" customHeight="1" x14ac:dyDescent="0.25">
      <c r="B119" s="59"/>
      <c r="C119" s="293" t="s">
        <v>1170</v>
      </c>
      <c r="D119" s="292" t="s">
        <v>77</v>
      </c>
      <c r="E119" s="1110"/>
      <c r="F119" s="1418" t="s">
        <v>160</v>
      </c>
      <c r="G119" s="1419"/>
      <c r="H119" s="69"/>
      <c r="I119" s="54"/>
      <c r="J119" s="55"/>
      <c r="K119" s="48"/>
    </row>
    <row r="120" spans="2:19" ht="60" customHeight="1" x14ac:dyDescent="0.25">
      <c r="B120" s="59"/>
      <c r="C120" s="293" t="s">
        <v>745</v>
      </c>
      <c r="D120" s="292" t="s">
        <v>77</v>
      </c>
      <c r="E120" s="1110"/>
      <c r="F120" s="1418" t="s">
        <v>160</v>
      </c>
      <c r="G120" s="1419"/>
      <c r="H120" s="69"/>
      <c r="I120" s="54"/>
      <c r="J120" s="55"/>
      <c r="K120" s="48"/>
    </row>
    <row r="121" spans="2:19" ht="60" customHeight="1" x14ac:dyDescent="0.25">
      <c r="B121" s="59"/>
      <c r="C121" s="293" t="s">
        <v>744</v>
      </c>
      <c r="D121" s="292" t="s">
        <v>77</v>
      </c>
      <c r="E121" s="1110"/>
      <c r="F121" s="1418" t="s">
        <v>160</v>
      </c>
      <c r="G121" s="1419"/>
      <c r="H121" s="69"/>
      <c r="I121" s="54"/>
      <c r="J121" s="55"/>
      <c r="K121" s="48"/>
    </row>
    <row r="122" spans="2:19" ht="15" customHeight="1" x14ac:dyDescent="0.25">
      <c r="B122" s="61"/>
      <c r="C122" s="75"/>
      <c r="D122" s="76"/>
      <c r="E122" s="76"/>
      <c r="F122" s="76"/>
      <c r="G122" s="76"/>
      <c r="H122" s="70"/>
      <c r="I122" s="54"/>
      <c r="J122" s="54"/>
      <c r="K122" s="54"/>
      <c r="L122" s="54"/>
    </row>
    <row r="125" spans="2:19" ht="46.9" customHeight="1" x14ac:dyDescent="0.25">
      <c r="B125" s="66"/>
      <c r="C125" s="66" t="s">
        <v>494</v>
      </c>
      <c r="D125" s="57"/>
      <c r="E125" s="57"/>
      <c r="F125" s="57"/>
      <c r="G125" s="57"/>
      <c r="H125" s="58"/>
    </row>
    <row r="126" spans="2:19" ht="24" customHeight="1" x14ac:dyDescent="0.25">
      <c r="B126" s="59"/>
      <c r="H126" s="60"/>
    </row>
    <row r="127" spans="2:19" ht="24" x14ac:dyDescent="0.25">
      <c r="B127" s="59"/>
      <c r="C127" s="1411" t="s">
        <v>857</v>
      </c>
      <c r="D127" s="1410"/>
      <c r="E127" s="1410"/>
      <c r="F127" s="1410"/>
      <c r="G127" s="115"/>
      <c r="H127" s="60"/>
      <c r="J127" s="55"/>
      <c r="K127" s="64"/>
      <c r="R127" s="55"/>
      <c r="S127" s="48"/>
    </row>
    <row r="128" spans="2:19" ht="46.9" customHeight="1" x14ac:dyDescent="0.25">
      <c r="B128" s="59"/>
      <c r="C128" s="592" t="s">
        <v>114</v>
      </c>
      <c r="D128" s="593" t="s">
        <v>3</v>
      </c>
      <c r="E128" s="593" t="s">
        <v>671</v>
      </c>
      <c r="F128" s="593" t="s">
        <v>673</v>
      </c>
      <c r="G128" s="212"/>
      <c r="H128" s="60"/>
      <c r="J128" s="55"/>
      <c r="K128" s="64"/>
      <c r="R128" s="55"/>
      <c r="S128" s="48"/>
    </row>
    <row r="129" spans="2:19" ht="46.9" customHeight="1" x14ac:dyDescent="0.25">
      <c r="B129" s="59"/>
      <c r="C129" s="311" t="s">
        <v>866</v>
      </c>
      <c r="D129" s="312" t="s">
        <v>681</v>
      </c>
      <c r="E129" s="522" t="str">
        <f>FACalc_ferrovia!D123</f>
        <v/>
      </c>
      <c r="F129" s="523" t="str">
        <f>FACalc_ferrovia!E123</f>
        <v/>
      </c>
      <c r="G129" s="213"/>
      <c r="H129" s="60"/>
      <c r="J129" s="55"/>
      <c r="K129" s="64"/>
      <c r="R129" s="55"/>
      <c r="S129" s="48"/>
    </row>
    <row r="130" spans="2:19" ht="46.9" customHeight="1" x14ac:dyDescent="0.25">
      <c r="B130" s="59"/>
      <c r="C130" s="313" t="s">
        <v>867</v>
      </c>
      <c r="D130" s="314" t="s">
        <v>681</v>
      </c>
      <c r="E130" s="524">
        <f>FACalc_ferrovia!D124</f>
        <v>0</v>
      </c>
      <c r="F130" s="525">
        <f>FACalc_ferrovia!E124</f>
        <v>0</v>
      </c>
      <c r="G130" s="604" t="str">
        <f>IF(F21="", "!Preencher Fator de Emissão de eletricidade","")</f>
        <v>!Preencher Fator de Emissão de eletricidade</v>
      </c>
      <c r="H130" s="60"/>
      <c r="J130" s="55"/>
      <c r="K130" s="64"/>
      <c r="R130" s="55"/>
      <c r="S130" s="48"/>
    </row>
    <row r="131" spans="2:19" ht="46.9" customHeight="1" x14ac:dyDescent="0.25">
      <c r="B131" s="59"/>
      <c r="C131" s="316" t="s">
        <v>868</v>
      </c>
      <c r="D131" s="317" t="s">
        <v>681</v>
      </c>
      <c r="E131" s="526" t="str">
        <f>FACalc_ferrovia!D125</f>
        <v/>
      </c>
      <c r="F131" s="527" t="str">
        <f>IFERROR(FACalc_ferrovia!E125," ")</f>
        <v/>
      </c>
      <c r="G131" s="213"/>
      <c r="H131" s="60"/>
      <c r="J131" s="55"/>
      <c r="K131" s="64"/>
      <c r="R131" s="55"/>
      <c r="S131" s="48"/>
    </row>
    <row r="132" spans="2:19" ht="46.9" customHeight="1" x14ac:dyDescent="0.25">
      <c r="B132" s="59"/>
      <c r="C132" s="790" t="s">
        <v>869</v>
      </c>
      <c r="D132" s="791" t="s">
        <v>681</v>
      </c>
      <c r="E132" s="792" t="str">
        <f>IFERROR(-E129,"")</f>
        <v/>
      </c>
      <c r="F132" s="793" t="str">
        <f>IFERROR(-F129,"")</f>
        <v/>
      </c>
      <c r="G132" s="213"/>
      <c r="H132" s="60"/>
      <c r="J132" s="55"/>
      <c r="K132" s="64"/>
      <c r="R132" s="55"/>
      <c r="S132" s="48"/>
    </row>
    <row r="133" spans="2:19" ht="46.9" customHeight="1" x14ac:dyDescent="0.25">
      <c r="B133" s="59"/>
      <c r="C133" s="320" t="s">
        <v>441</v>
      </c>
      <c r="D133" s="321" t="s">
        <v>784</v>
      </c>
      <c r="E133" s="528" t="str">
        <f>FACalc_ferrovia!D126</f>
        <v/>
      </c>
      <c r="F133" s="529" t="s">
        <v>107</v>
      </c>
      <c r="G133" s="213"/>
      <c r="H133" s="60"/>
      <c r="J133" s="55"/>
      <c r="K133" s="64"/>
      <c r="R133" s="55"/>
      <c r="S133" s="48"/>
    </row>
    <row r="134" spans="2:19" ht="46.9" customHeight="1" x14ac:dyDescent="0.25">
      <c r="B134" s="59"/>
      <c r="C134" s="320" t="s">
        <v>402</v>
      </c>
      <c r="D134" s="321" t="s">
        <v>681</v>
      </c>
      <c r="E134" s="528">
        <f>FACalc_ferrovia!D127</f>
        <v>0</v>
      </c>
      <c r="F134" s="529" t="s">
        <v>107</v>
      </c>
      <c r="G134" s="213"/>
      <c r="H134" s="60"/>
      <c r="J134" s="55"/>
      <c r="K134" s="64"/>
      <c r="R134" s="55"/>
      <c r="S134" s="48"/>
    </row>
    <row r="135" spans="2:19" ht="46.9" customHeight="1" x14ac:dyDescent="0.25">
      <c r="B135" s="59"/>
      <c r="C135" s="709" t="s">
        <v>870</v>
      </c>
      <c r="D135" s="1238" t="s">
        <v>1303</v>
      </c>
      <c r="E135" s="802" t="str">
        <f>FACalc_ferrovia!D128</f>
        <v/>
      </c>
      <c r="F135" s="607" t="str">
        <f>FACalc_ferrovia!E128</f>
        <v/>
      </c>
      <c r="G135" s="682" t="str">
        <f>IF(E135="","!Preencher Ano de início da exploração (ID_Identificação do Projeto)","" )</f>
        <v>!Preencher Ano de início da exploração (ID_Identificação do Projeto)</v>
      </c>
      <c r="H135" s="60"/>
      <c r="J135" s="55"/>
      <c r="K135" s="48"/>
      <c r="R135" s="55"/>
      <c r="S135" s="48"/>
    </row>
    <row r="136" spans="2:19" ht="46.9" customHeight="1" x14ac:dyDescent="0.25">
      <c r="B136" s="59"/>
      <c r="C136" s="87"/>
      <c r="D136" s="88"/>
      <c r="E136" s="88"/>
      <c r="F136" s="88"/>
      <c r="G136" s="88"/>
      <c r="H136" s="60"/>
      <c r="J136" s="55"/>
      <c r="K136" s="48"/>
      <c r="R136" s="55"/>
      <c r="S136" s="48"/>
    </row>
    <row r="137" spans="2:19" ht="24" x14ac:dyDescent="0.25">
      <c r="B137" s="59"/>
      <c r="C137" s="1410" t="s">
        <v>682</v>
      </c>
      <c r="D137" s="1410"/>
      <c r="E137" s="1410"/>
      <c r="F137" s="1410"/>
      <c r="G137" s="115"/>
      <c r="H137" s="60"/>
      <c r="J137" s="55"/>
      <c r="K137" s="48"/>
      <c r="R137" s="55"/>
      <c r="S137" s="48"/>
    </row>
    <row r="138" spans="2:19" ht="46.9" customHeight="1" x14ac:dyDescent="0.25">
      <c r="B138" s="59"/>
      <c r="C138" s="298" t="s">
        <v>329</v>
      </c>
      <c r="D138" s="591" t="s">
        <v>3</v>
      </c>
      <c r="E138" s="591" t="s">
        <v>671</v>
      </c>
      <c r="F138" s="591" t="s">
        <v>673</v>
      </c>
      <c r="G138" s="214"/>
      <c r="H138" s="60"/>
      <c r="J138" s="55"/>
      <c r="K138" s="48"/>
      <c r="R138" s="55"/>
      <c r="S138" s="48"/>
    </row>
    <row r="139" spans="2:19" ht="46.9" customHeight="1" x14ac:dyDescent="0.25">
      <c r="B139" s="59"/>
      <c r="C139" s="329" t="s">
        <v>504</v>
      </c>
      <c r="D139" s="330" t="s">
        <v>681</v>
      </c>
      <c r="E139" s="520" t="str">
        <f>IFERROR(FACalc_ferrovia!I115," ")</f>
        <v/>
      </c>
      <c r="F139" s="521" t="str">
        <f>IFERROR(FACalc_ferrovia!J115," ")</f>
        <v/>
      </c>
      <c r="G139" s="213"/>
      <c r="H139" s="60"/>
      <c r="J139" s="207"/>
      <c r="K139" s="48"/>
      <c r="R139" s="55"/>
      <c r="S139" s="48"/>
    </row>
    <row r="140" spans="2:19" ht="46.9" customHeight="1" x14ac:dyDescent="0.25">
      <c r="B140" s="59"/>
      <c r="C140" s="331" t="s">
        <v>334</v>
      </c>
      <c r="D140" s="332" t="s">
        <v>681</v>
      </c>
      <c r="E140" s="449">
        <f>IFERROR(FACalc_ferrovia!I116," ")</f>
        <v>0</v>
      </c>
      <c r="F140" s="450">
        <f>IFERROR(FACalc_ferrovia!J116," ")</f>
        <v>0</v>
      </c>
      <c r="G140" s="213"/>
      <c r="H140" s="60"/>
      <c r="J140" s="55"/>
      <c r="K140" s="48"/>
      <c r="R140" s="55"/>
      <c r="S140" s="48"/>
    </row>
    <row r="141" spans="2:19" ht="46.9" customHeight="1" x14ac:dyDescent="0.25">
      <c r="B141" s="59"/>
      <c r="C141" s="333" t="s">
        <v>360</v>
      </c>
      <c r="D141" s="334" t="s">
        <v>681</v>
      </c>
      <c r="E141" s="318" t="str">
        <f>IFERROR(FACalc_ferrovia!I117," ")</f>
        <v/>
      </c>
      <c r="F141" s="319" t="str">
        <f>IFERROR(FACalc_ferrovia!J117," ")</f>
        <v/>
      </c>
      <c r="G141" s="213"/>
      <c r="H141" s="60"/>
      <c r="J141" s="55"/>
      <c r="K141" s="48"/>
      <c r="R141" s="55"/>
      <c r="S141" s="48"/>
    </row>
    <row r="142" spans="2:19" ht="46.9" customHeight="1" x14ac:dyDescent="0.25">
      <c r="B142" s="59"/>
      <c r="C142" s="310" t="s">
        <v>330</v>
      </c>
      <c r="D142" s="591" t="s">
        <v>3</v>
      </c>
      <c r="E142" s="591" t="s">
        <v>671</v>
      </c>
      <c r="F142" s="591" t="s">
        <v>673</v>
      </c>
      <c r="G142" s="214"/>
      <c r="H142" s="60"/>
      <c r="J142" s="55"/>
      <c r="K142" s="48"/>
      <c r="R142" s="55"/>
      <c r="S142" s="48"/>
    </row>
    <row r="143" spans="2:19" ht="46.9" customHeight="1" x14ac:dyDescent="0.25">
      <c r="B143" s="59"/>
      <c r="C143" s="329" t="s">
        <v>504</v>
      </c>
      <c r="D143" s="330" t="s">
        <v>681</v>
      </c>
      <c r="E143" s="520">
        <f>IFERROR(FACalc_ferrovia!I119," ")</f>
        <v>0</v>
      </c>
      <c r="F143" s="521">
        <f>IFERROR(FACalc_ferrovia!J119," ")</f>
        <v>0</v>
      </c>
      <c r="G143" s="213"/>
      <c r="H143" s="60"/>
      <c r="J143" s="55"/>
      <c r="K143" s="48"/>
      <c r="R143" s="55"/>
      <c r="S143" s="48"/>
    </row>
    <row r="144" spans="2:19" ht="46.9" customHeight="1" x14ac:dyDescent="0.25">
      <c r="B144" s="59"/>
      <c r="C144" s="331" t="s">
        <v>334</v>
      </c>
      <c r="D144" s="332" t="s">
        <v>681</v>
      </c>
      <c r="E144" s="449">
        <f>IFERROR(FACalc_ferrovia!I120," ")</f>
        <v>0</v>
      </c>
      <c r="F144" s="450">
        <f>IFERROR(FACalc_ferrovia!J120," ")</f>
        <v>0</v>
      </c>
      <c r="G144" s="213"/>
      <c r="H144" s="60"/>
      <c r="J144" s="54"/>
      <c r="K144" s="54"/>
      <c r="R144" s="55"/>
      <c r="S144" s="48"/>
    </row>
    <row r="145" spans="2:19" ht="46.9" customHeight="1" x14ac:dyDescent="0.25">
      <c r="B145" s="59"/>
      <c r="C145" s="333" t="s">
        <v>360</v>
      </c>
      <c r="D145" s="334" t="s">
        <v>681</v>
      </c>
      <c r="E145" s="318">
        <f>IFERROR(FACalc_ferrovia!I121," ")</f>
        <v>0</v>
      </c>
      <c r="F145" s="319">
        <f>IFERROR(FACalc_ferrovia!J121," ")</f>
        <v>0</v>
      </c>
      <c r="G145" s="213"/>
      <c r="H145" s="60"/>
      <c r="J145" s="54" t="s">
        <v>112</v>
      </c>
      <c r="K145" s="54"/>
      <c r="R145" s="55"/>
      <c r="S145" s="48"/>
    </row>
    <row r="146" spans="2:19" ht="46.9" customHeight="1" x14ac:dyDescent="0.25">
      <c r="B146" s="59"/>
      <c r="C146" s="310" t="s">
        <v>331</v>
      </c>
      <c r="D146" s="591" t="s">
        <v>3</v>
      </c>
      <c r="E146" s="591" t="s">
        <v>671</v>
      </c>
      <c r="F146" s="591" t="s">
        <v>673</v>
      </c>
      <c r="G146" s="213"/>
      <c r="H146" s="60"/>
      <c r="J146" s="54"/>
      <c r="K146" s="54"/>
      <c r="R146" s="55"/>
      <c r="S146" s="48"/>
    </row>
    <row r="147" spans="2:19" ht="46.9" customHeight="1" x14ac:dyDescent="0.25">
      <c r="B147" s="59"/>
      <c r="C147" s="329" t="s">
        <v>504</v>
      </c>
      <c r="D147" s="330" t="s">
        <v>681</v>
      </c>
      <c r="E147" s="520">
        <f>IFERROR(FACalc_ferrovia!I123," ")</f>
        <v>0</v>
      </c>
      <c r="F147" s="521">
        <f>IFERROR(FACalc_ferrovia!J123," ")</f>
        <v>0</v>
      </c>
      <c r="G147" s="213"/>
      <c r="H147" s="60"/>
      <c r="J147" s="54"/>
      <c r="K147" s="54"/>
      <c r="R147" s="55"/>
      <c r="S147" s="48"/>
    </row>
    <row r="148" spans="2:19" ht="46.9" customHeight="1" x14ac:dyDescent="0.25">
      <c r="B148" s="59"/>
      <c r="C148" s="331" t="s">
        <v>334</v>
      </c>
      <c r="D148" s="332" t="s">
        <v>681</v>
      </c>
      <c r="E148" s="449">
        <f>IFERROR(FACalc_ferrovia!I124," ")</f>
        <v>0</v>
      </c>
      <c r="F148" s="450">
        <f>IFERROR(FACalc_ferrovia!J124," ")</f>
        <v>0</v>
      </c>
      <c r="G148" s="213"/>
      <c r="H148" s="60"/>
      <c r="J148" s="54"/>
      <c r="K148" s="54"/>
      <c r="R148" s="55"/>
      <c r="S148" s="48"/>
    </row>
    <row r="149" spans="2:19" ht="46.9" customHeight="1" x14ac:dyDescent="0.25">
      <c r="B149" s="59"/>
      <c r="C149" s="333" t="s">
        <v>360</v>
      </c>
      <c r="D149" s="334" t="s">
        <v>681</v>
      </c>
      <c r="E149" s="318">
        <f>IFERROR(FACalc_ferrovia!I125," ")</f>
        <v>0</v>
      </c>
      <c r="F149" s="319">
        <f>IFERROR(FACalc_ferrovia!J125," ")</f>
        <v>0</v>
      </c>
      <c r="G149" s="213"/>
      <c r="H149" s="60"/>
      <c r="J149" s="208"/>
      <c r="K149" s="54"/>
      <c r="R149" s="55"/>
      <c r="S149" s="48"/>
    </row>
    <row r="150" spans="2:19" ht="46.9" customHeight="1" x14ac:dyDescent="0.25">
      <c r="B150" s="59"/>
      <c r="C150" s="310" t="s">
        <v>333</v>
      </c>
      <c r="D150" s="591" t="s">
        <v>3</v>
      </c>
      <c r="E150" s="591" t="s">
        <v>671</v>
      </c>
      <c r="F150" s="591" t="s">
        <v>673</v>
      </c>
      <c r="G150" s="214"/>
      <c r="H150" s="60"/>
      <c r="J150" s="208"/>
      <c r="K150" s="54"/>
      <c r="R150" s="55"/>
      <c r="S150" s="48"/>
    </row>
    <row r="151" spans="2:19" ht="46.9" customHeight="1" x14ac:dyDescent="0.25">
      <c r="B151" s="59"/>
      <c r="C151" s="329" t="s">
        <v>504</v>
      </c>
      <c r="D151" s="330" t="s">
        <v>681</v>
      </c>
      <c r="E151" s="520">
        <f>IFERROR(FACalc_ferrovia!I127," ")</f>
        <v>0</v>
      </c>
      <c r="F151" s="521">
        <f>IFERROR(FACalc_ferrovia!J127," ")</f>
        <v>0</v>
      </c>
      <c r="G151" s="213"/>
      <c r="H151" s="60"/>
      <c r="J151" s="208"/>
      <c r="K151" s="54"/>
      <c r="R151" s="55"/>
      <c r="S151" s="48"/>
    </row>
    <row r="152" spans="2:19" ht="46.9" customHeight="1" x14ac:dyDescent="0.25">
      <c r="B152" s="59"/>
      <c r="C152" s="331" t="s">
        <v>334</v>
      </c>
      <c r="D152" s="332" t="s">
        <v>681</v>
      </c>
      <c r="E152" s="449">
        <f>IFERROR(FACalc_ferrovia!I128," ")</f>
        <v>0</v>
      </c>
      <c r="F152" s="450">
        <f>IFERROR(FACalc_ferrovia!J128," ")</f>
        <v>0</v>
      </c>
      <c r="G152" s="213"/>
      <c r="H152" s="60"/>
      <c r="J152" s="208"/>
      <c r="K152" s="54"/>
      <c r="R152" s="55"/>
      <c r="S152" s="48"/>
    </row>
    <row r="153" spans="2:19" ht="46.9" customHeight="1" x14ac:dyDescent="0.25">
      <c r="B153" s="59"/>
      <c r="C153" s="333" t="s">
        <v>360</v>
      </c>
      <c r="D153" s="334" t="s">
        <v>681</v>
      </c>
      <c r="E153" s="318">
        <f>IFERROR(FACalc_ferrovia!I129," ")</f>
        <v>0</v>
      </c>
      <c r="F153" s="319">
        <f>IFERROR(FACalc_ferrovia!J129," ")</f>
        <v>0</v>
      </c>
      <c r="G153" s="213"/>
      <c r="H153" s="60"/>
      <c r="J153" s="208"/>
      <c r="K153" s="54"/>
      <c r="R153" s="55"/>
      <c r="S153" s="48"/>
    </row>
    <row r="154" spans="2:19" ht="46.9" customHeight="1" x14ac:dyDescent="0.25">
      <c r="B154" s="59"/>
      <c r="C154" s="310" t="s">
        <v>332</v>
      </c>
      <c r="D154" s="591" t="s">
        <v>3</v>
      </c>
      <c r="E154" s="591" t="s">
        <v>671</v>
      </c>
      <c r="F154" s="591" t="s">
        <v>673</v>
      </c>
      <c r="G154" s="213"/>
      <c r="H154" s="60"/>
      <c r="J154" s="208"/>
      <c r="K154" s="54"/>
      <c r="R154" s="55"/>
      <c r="S154" s="48"/>
    </row>
    <row r="155" spans="2:19" ht="46.9" customHeight="1" x14ac:dyDescent="0.25">
      <c r="B155" s="59"/>
      <c r="C155" s="329" t="s">
        <v>504</v>
      </c>
      <c r="D155" s="330" t="s">
        <v>681</v>
      </c>
      <c r="E155" s="520" t="str">
        <f>IFERROR(FACalc_ferrovia!I131," ")</f>
        <v/>
      </c>
      <c r="F155" s="521" t="str">
        <f>IFERROR(FACalc_ferrovia!J131," ")</f>
        <v/>
      </c>
      <c r="G155" s="213"/>
      <c r="H155" s="60"/>
      <c r="J155" s="208"/>
      <c r="K155" s="54"/>
      <c r="R155" s="55"/>
      <c r="S155" s="48"/>
    </row>
    <row r="156" spans="2:19" ht="46.9" customHeight="1" x14ac:dyDescent="0.25">
      <c r="B156" s="59"/>
      <c r="C156" s="331" t="s">
        <v>334</v>
      </c>
      <c r="D156" s="332" t="s">
        <v>681</v>
      </c>
      <c r="E156" s="449">
        <f>IFERROR(FACalc_ferrovia!I132," ")</f>
        <v>0</v>
      </c>
      <c r="F156" s="450">
        <f>IFERROR(FACalc_ferrovia!J132," ")</f>
        <v>0</v>
      </c>
      <c r="G156" s="213"/>
      <c r="H156" s="60"/>
      <c r="J156" s="208"/>
      <c r="K156" s="54"/>
      <c r="R156" s="55"/>
      <c r="S156" s="48"/>
    </row>
    <row r="157" spans="2:19" ht="46.9" customHeight="1" x14ac:dyDescent="0.25">
      <c r="B157" s="59"/>
      <c r="C157" s="333" t="s">
        <v>360</v>
      </c>
      <c r="D157" s="334" t="s">
        <v>681</v>
      </c>
      <c r="E157" s="318" t="str">
        <f>IFERROR(FACalc_ferrovia!I133," ")</f>
        <v/>
      </c>
      <c r="F157" s="319" t="str">
        <f>IFERROR(FACalc_ferrovia!J133," ")</f>
        <v/>
      </c>
      <c r="G157" s="213"/>
      <c r="H157" s="60"/>
      <c r="J157" s="208"/>
      <c r="K157" s="54"/>
      <c r="R157" s="55"/>
      <c r="S157" s="48"/>
    </row>
    <row r="158" spans="2:19" ht="46.9" customHeight="1" x14ac:dyDescent="0.25">
      <c r="B158" s="59"/>
      <c r="C158" s="310" t="s">
        <v>739</v>
      </c>
      <c r="D158" s="591" t="s">
        <v>3</v>
      </c>
      <c r="E158" s="591" t="s">
        <v>671</v>
      </c>
      <c r="F158" s="591" t="s">
        <v>673</v>
      </c>
      <c r="G158" s="214"/>
      <c r="H158" s="60"/>
      <c r="J158" s="54"/>
      <c r="K158" s="54"/>
      <c r="R158" s="55"/>
      <c r="S158" s="48"/>
    </row>
    <row r="159" spans="2:19" ht="46.9" customHeight="1" x14ac:dyDescent="0.25">
      <c r="B159" s="59"/>
      <c r="C159" s="329" t="s">
        <v>504</v>
      </c>
      <c r="D159" s="330" t="s">
        <v>681</v>
      </c>
      <c r="E159" s="520" t="str">
        <f>IFERROR(FACalc_ferrovia!I135," ")</f>
        <v xml:space="preserve"> </v>
      </c>
      <c r="F159" s="521" t="str">
        <f>IFERROR(FACalc_ferrovia!J135," ")</f>
        <v xml:space="preserve"> </v>
      </c>
      <c r="G159" s="213"/>
      <c r="H159" s="60"/>
      <c r="J159" s="54"/>
      <c r="K159" s="64"/>
      <c r="R159" s="54"/>
      <c r="S159" s="54"/>
    </row>
    <row r="160" spans="2:19" ht="46.9" customHeight="1" x14ac:dyDescent="0.25">
      <c r="B160" s="59"/>
      <c r="C160" s="331" t="s">
        <v>334</v>
      </c>
      <c r="D160" s="332" t="s">
        <v>681</v>
      </c>
      <c r="E160" s="449">
        <f>IFERROR(FACalc_ferrovia!I136," ")</f>
        <v>0</v>
      </c>
      <c r="F160" s="450">
        <f>IFERROR(FACalc_ferrovia!J136," ")</f>
        <v>0</v>
      </c>
      <c r="G160" s="213"/>
      <c r="H160" s="60"/>
      <c r="J160" s="159"/>
      <c r="K160" s="54"/>
      <c r="R160" s="54"/>
      <c r="S160" s="54"/>
    </row>
    <row r="161" spans="2:19" ht="46.9" customHeight="1" x14ac:dyDescent="0.25">
      <c r="B161" s="59"/>
      <c r="C161" s="333" t="s">
        <v>360</v>
      </c>
      <c r="D161" s="334" t="s">
        <v>681</v>
      </c>
      <c r="E161" s="318" t="str">
        <f>IFERROR(FACalc_ferrovia!I137," ")</f>
        <v/>
      </c>
      <c r="F161" s="319" t="str">
        <f>IFERROR(FACalc_ferrovia!J137," ")</f>
        <v/>
      </c>
      <c r="G161" s="213"/>
      <c r="H161" s="60"/>
      <c r="J161" s="54"/>
      <c r="K161" s="64"/>
      <c r="R161" s="54"/>
      <c r="S161" s="64"/>
    </row>
    <row r="162" spans="2:19" ht="46.9" customHeight="1" x14ac:dyDescent="0.25">
      <c r="B162" s="59"/>
      <c r="C162" s="603"/>
      <c r="D162" s="812"/>
      <c r="E162" s="734"/>
      <c r="F162" s="734"/>
      <c r="G162" s="88"/>
      <c r="H162" s="60"/>
      <c r="J162" s="54"/>
      <c r="K162" s="64"/>
      <c r="R162" s="54"/>
      <c r="S162" s="64"/>
    </row>
    <row r="163" spans="2:19" ht="24" x14ac:dyDescent="0.25">
      <c r="B163" s="59"/>
      <c r="C163" s="1410" t="s">
        <v>972</v>
      </c>
      <c r="D163" s="1410"/>
      <c r="E163" s="1410"/>
      <c r="F163" s="1410"/>
      <c r="G163" s="115"/>
      <c r="H163" s="60"/>
      <c r="J163" s="54"/>
      <c r="K163" s="64"/>
      <c r="R163" s="54"/>
      <c r="S163" s="64"/>
    </row>
    <row r="164" spans="2:19" ht="46.9" customHeight="1" x14ac:dyDescent="0.25">
      <c r="B164" s="59"/>
      <c r="C164" s="759"/>
      <c r="D164" s="759" t="s">
        <v>3</v>
      </c>
      <c r="E164" s="759" t="s">
        <v>338</v>
      </c>
      <c r="F164" s="759" t="s">
        <v>16</v>
      </c>
      <c r="G164" s="759" t="s">
        <v>339</v>
      </c>
      <c r="H164" s="60"/>
      <c r="J164" s="54"/>
      <c r="K164" s="64"/>
      <c r="R164" s="54"/>
      <c r="S164" s="64"/>
    </row>
    <row r="165" spans="2:19" ht="46.9" customHeight="1" x14ac:dyDescent="0.25">
      <c r="B165" s="59"/>
      <c r="C165" s="804" t="s">
        <v>672</v>
      </c>
      <c r="D165" s="805" t="s">
        <v>889</v>
      </c>
      <c r="E165" s="806" t="str">
        <f>IFERROR((E166/FACalc_ferrovia!$C$11)," ")</f>
        <v xml:space="preserve"> </v>
      </c>
      <c r="F165" s="806" t="str">
        <f>IFERROR((F166/FACalc_ferrovia!$C$11)," ")</f>
        <v xml:space="preserve"> </v>
      </c>
      <c r="G165" s="807" t="str">
        <f>IFERROR((G166/FACalc_ferrovia!$C$11)," ")</f>
        <v xml:space="preserve"> </v>
      </c>
      <c r="H165" s="60"/>
      <c r="J165" s="654"/>
      <c r="K165" s="54"/>
      <c r="R165" s="54"/>
      <c r="S165" s="54"/>
    </row>
    <row r="166" spans="2:19" ht="46.9" customHeight="1" x14ac:dyDescent="0.25">
      <c r="B166" s="59"/>
      <c r="C166" s="1248" t="s">
        <v>1321</v>
      </c>
      <c r="D166" s="805" t="s">
        <v>679</v>
      </c>
      <c r="E166" s="806">
        <f>IFERROR(E140,"")</f>
        <v>0</v>
      </c>
      <c r="F166" s="806">
        <f>IFERROR(E144+E148+E152,"")</f>
        <v>0</v>
      </c>
      <c r="G166" s="807">
        <f>IFERROR(E156,"")</f>
        <v>0</v>
      </c>
      <c r="H166" s="60"/>
      <c r="J166" s="655"/>
      <c r="K166" s="64"/>
      <c r="R166" s="54"/>
      <c r="S166" s="54"/>
    </row>
    <row r="167" spans="2:19" ht="46.9" customHeight="1" x14ac:dyDescent="0.25">
      <c r="B167" s="59"/>
      <c r="C167" s="1248" t="s">
        <v>1343</v>
      </c>
      <c r="D167" s="805" t="s">
        <v>1239</v>
      </c>
      <c r="E167" s="809" t="str">
        <f>IFERROR(E166/E51,"")</f>
        <v/>
      </c>
      <c r="F167" s="809" t="str">
        <f>IFERROR(F166/(E54+E57+E60),"")</f>
        <v/>
      </c>
      <c r="G167" s="810" t="str">
        <f>IFERROR(G166/E63,"")</f>
        <v/>
      </c>
      <c r="H167" s="60"/>
      <c r="J167" s="54"/>
      <c r="K167" s="64"/>
      <c r="R167" s="54"/>
      <c r="S167" s="54"/>
    </row>
    <row r="168" spans="2:19" ht="46.9" customHeight="1" x14ac:dyDescent="0.25">
      <c r="B168" s="59"/>
      <c r="C168" s="1248" t="s">
        <v>1344</v>
      </c>
      <c r="D168" s="808" t="s">
        <v>780</v>
      </c>
      <c r="E168" s="806" t="str">
        <f>IFERROR(E166/FACalc_ferrovia!G10,"")</f>
        <v/>
      </c>
      <c r="F168" s="806" t="str">
        <f>IFERROR(F166/(FACalc_ferrovia!G11+FACalc_ferrovia!G12+FACalc_ferrovia!G13),"")</f>
        <v/>
      </c>
      <c r="G168" s="807" t="str">
        <f>IFERROR(G166/FACalc_ferrovia!G14,"")</f>
        <v/>
      </c>
      <c r="H168" s="60"/>
      <c r="J168" s="54"/>
      <c r="K168" s="54"/>
      <c r="R168" s="54"/>
      <c r="S168" s="54"/>
    </row>
    <row r="169" spans="2:19" ht="15" customHeight="1" x14ac:dyDescent="0.25">
      <c r="B169" s="61"/>
      <c r="C169" s="75"/>
      <c r="D169" s="76"/>
      <c r="E169" s="76"/>
      <c r="F169" s="76"/>
      <c r="G169" s="76"/>
      <c r="H169" s="70"/>
      <c r="I169" s="54"/>
      <c r="J169" s="54"/>
      <c r="K169" s="54"/>
    </row>
    <row r="170" spans="2:19" ht="24" customHeight="1" x14ac:dyDescent="0.25"/>
    <row r="171" spans="2:19" ht="24" customHeight="1" x14ac:dyDescent="0.25"/>
    <row r="172" spans="2:19" ht="24" customHeight="1" x14ac:dyDescent="0.25"/>
    <row r="173" spans="2:19" ht="24" customHeight="1" x14ac:dyDescent="0.25"/>
    <row r="174" spans="2:19" ht="24" customHeight="1" x14ac:dyDescent="0.25"/>
    <row r="175" spans="2:19" ht="24" customHeight="1" x14ac:dyDescent="0.25"/>
    <row r="176" spans="2:19" ht="24" customHeight="1" x14ac:dyDescent="0.25"/>
  </sheetData>
  <sheetProtection algorithmName="SHA-512" hashValue="Otk1FuCh7r5WUoQxsMzp7aab3ZpEfYCEv4aE0iB8rAu5sJ4jsC/Uhi8qqx/164X8n1zuILepIyRWQpn5xKzB/w==" saltValue="RQ3csx5nncIHsUB19Ta0wg==" spinCount="100000" sheet="1" objects="1" scenarios="1" selectLockedCells="1"/>
  <mergeCells count="103">
    <mergeCell ref="C163:F163"/>
    <mergeCell ref="K4:L4"/>
    <mergeCell ref="J27:K27"/>
    <mergeCell ref="J28:K28"/>
    <mergeCell ref="J36:K37"/>
    <mergeCell ref="K20:L20"/>
    <mergeCell ref="F66:G66"/>
    <mergeCell ref="F60:G60"/>
    <mergeCell ref="F59:G59"/>
    <mergeCell ref="F57:G57"/>
    <mergeCell ref="F56:G56"/>
    <mergeCell ref="F54:G54"/>
    <mergeCell ref="F62:G62"/>
    <mergeCell ref="F63:G63"/>
    <mergeCell ref="F64:G64"/>
    <mergeCell ref="F52:G52"/>
    <mergeCell ref="F55:G55"/>
    <mergeCell ref="F53:G53"/>
    <mergeCell ref="D18:F18"/>
    <mergeCell ref="J5:L9"/>
    <mergeCell ref="C127:F127"/>
    <mergeCell ref="C137:F137"/>
    <mergeCell ref="D9:G9"/>
    <mergeCell ref="D10:G10"/>
    <mergeCell ref="D11:G11"/>
    <mergeCell ref="D12:G12"/>
    <mergeCell ref="C13:C18"/>
    <mergeCell ref="D13:G13"/>
    <mergeCell ref="D14:G14"/>
    <mergeCell ref="D15:G15"/>
    <mergeCell ref="D16:G16"/>
    <mergeCell ref="D17:G17"/>
    <mergeCell ref="C43:C45"/>
    <mergeCell ref="E45:G45"/>
    <mergeCell ref="D44:G44"/>
    <mergeCell ref="D43:G43"/>
    <mergeCell ref="F119:G119"/>
    <mergeCell ref="F81:G81"/>
    <mergeCell ref="F82:G82"/>
    <mergeCell ref="F121:G121"/>
    <mergeCell ref="P23:P24"/>
    <mergeCell ref="F86:G86"/>
    <mergeCell ref="F114:G114"/>
    <mergeCell ref="F88:G88"/>
    <mergeCell ref="F89:G89"/>
    <mergeCell ref="F90:G90"/>
    <mergeCell ref="F92:G92"/>
    <mergeCell ref="F95:G95"/>
    <mergeCell ref="F96:G96"/>
    <mergeCell ref="F97:G97"/>
    <mergeCell ref="F99:G99"/>
    <mergeCell ref="F102:G102"/>
    <mergeCell ref="F103:G103"/>
    <mergeCell ref="F104:G104"/>
    <mergeCell ref="F106:G106"/>
    <mergeCell ref="F107:G107"/>
    <mergeCell ref="F83:G83"/>
    <mergeCell ref="C78:F78"/>
    <mergeCell ref="F51:G51"/>
    <mergeCell ref="F65:G65"/>
    <mergeCell ref="Q23:Q24"/>
    <mergeCell ref="R23:R24"/>
    <mergeCell ref="L36:L37"/>
    <mergeCell ref="M38:M39"/>
    <mergeCell ref="M36:M37"/>
    <mergeCell ref="J29:K29"/>
    <mergeCell ref="F48:G48"/>
    <mergeCell ref="F50:G50"/>
    <mergeCell ref="J21:L23"/>
    <mergeCell ref="C38:G38"/>
    <mergeCell ref="C39:C42"/>
    <mergeCell ref="D39:G39"/>
    <mergeCell ref="C32:D32"/>
    <mergeCell ref="F49:G49"/>
    <mergeCell ref="C28:D28"/>
    <mergeCell ref="D41:G41"/>
    <mergeCell ref="D42:G42"/>
    <mergeCell ref="D40:G40"/>
    <mergeCell ref="F47:G47"/>
    <mergeCell ref="F85:G85"/>
    <mergeCell ref="F109:G109"/>
    <mergeCell ref="F79:G79"/>
    <mergeCell ref="F120:G120"/>
    <mergeCell ref="C74:G74"/>
    <mergeCell ref="D75:G75"/>
    <mergeCell ref="D76:G76"/>
    <mergeCell ref="F58:G58"/>
    <mergeCell ref="F61:G61"/>
    <mergeCell ref="F116:G116"/>
    <mergeCell ref="F117:G117"/>
    <mergeCell ref="F118:G118"/>
    <mergeCell ref="F110:G110"/>
    <mergeCell ref="F93:G93"/>
    <mergeCell ref="F100:G100"/>
    <mergeCell ref="F111:G111"/>
    <mergeCell ref="F112:G112"/>
    <mergeCell ref="F113:G113"/>
    <mergeCell ref="F84:G84"/>
    <mergeCell ref="F91:G91"/>
    <mergeCell ref="F98:G98"/>
    <mergeCell ref="F105:G105"/>
    <mergeCell ref="D77:G77"/>
    <mergeCell ref="C72:F72"/>
  </mergeCells>
  <dataValidations count="4">
    <dataValidation errorStyle="warning" allowBlank="1" showInputMessage="1" showErrorMessage="1" error="Não Introduzir valor" sqref="E65:E66 E53:E54 E56:E57 E48 F22:F31 F33:F34 E62:E63 E59:E60 E50:E51" xr:uid="{5B286A40-215E-4D80-82D3-06D9C636164F}"/>
    <dataValidation type="list" allowBlank="1" showInputMessage="1" showErrorMessage="1" sqref="K4:L4" xr:uid="{C9D12F83-A173-4F98-9016-DD4CC7470942}">
      <formula1>$T$4:$T$6</formula1>
    </dataValidation>
    <dataValidation type="list" allowBlank="1" showInputMessage="1" showErrorMessage="1" sqref="K20" xr:uid="{8791AA28-C31B-4880-9515-AB328A3A408C}">
      <formula1>$T$20:$T$22</formula1>
    </dataValidation>
    <dataValidation type="list" allowBlank="1" showInputMessage="1" showErrorMessage="1" sqref="T21:T22" xr:uid="{4AA557D9-50C4-4DBE-98F3-9DA0E1B32807}">
      <formula1>$T$21:$T$22</formula1>
    </dataValidation>
  </dataValidations>
  <hyperlinks>
    <hyperlink ref="E45:G45" r:id="rId1" display="Mobilidade e funcionalidade do território nas Áreas Metropolitanas do Porto e de Lisboa : 2017" xr:uid="{9BC50E9E-7952-4BC5-B27F-67D22B1E201E}"/>
    <hyperlink ref="G130" location="'TM3_ferrovia e metro'!F20" display="'TM3_ferrovia e metro'!F20" xr:uid="{8ECE5732-1BDA-4761-92ED-03AAC70D05B2}"/>
    <hyperlink ref="G18" location="'Fatores de Emissão'!A1" display="Fatores de Emissão" xr:uid="{BC0B3037-D39C-4E23-962A-63E699F9DD98}"/>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0" id="{464FD1AA-61AD-44D9-81E7-96C8D717CEA7}">
            <xm:f>FACalc_rodovia!$C$11=FAListas!#REF!</xm:f>
            <x14:dxf>
              <fill>
                <patternFill>
                  <bgColor theme="1"/>
                </patternFill>
              </fill>
            </x14:dxf>
          </x14:cfRule>
          <xm:sqref>C129:D135</xm:sqref>
        </x14:conditionalFormatting>
        <x14:conditionalFormatting xmlns:xm="http://schemas.microsoft.com/office/excel/2006/main">
          <x14:cfRule type="expression" priority="21" id="{D313FD30-198E-41C5-A028-3A0690474651}">
            <xm:f>FACalc_rodovia!$C$11=FAListas!#REF!</xm:f>
            <x14:dxf>
              <fill>
                <patternFill>
                  <bgColor theme="1"/>
                </patternFill>
              </fill>
            </x14:dxf>
          </x14:cfRule>
          <xm:sqref>C128:F128</xm:sqref>
        </x14:conditionalFormatting>
        <x14:conditionalFormatting xmlns:xm="http://schemas.microsoft.com/office/excel/2006/main">
          <x14:cfRule type="expression" priority="30" id="{FCB781F8-983C-49C7-B2B6-76BFB07A7EB8}">
            <xm:f>FACalc_ferrovia!$C$10=FAListas!$C$6</xm:f>
            <x14:dxf>
              <fill>
                <patternFill>
                  <bgColor theme="1"/>
                </patternFill>
              </fill>
            </x14:dxf>
          </x14:cfRule>
          <xm:sqref>D80:F80 D87:F87 D94:F94 D101:F101</xm:sqref>
        </x14:conditionalFormatting>
        <x14:conditionalFormatting xmlns:xm="http://schemas.microsoft.com/office/excel/2006/main">
          <x14:cfRule type="expression" priority="2" id="{34611430-EEEF-4C69-99C2-549E4CEB31B5}">
            <xm:f>FACalc_ferrovia!$C$10=FAListas!$C$6</xm:f>
            <x14:dxf>
              <fill>
                <patternFill>
                  <bgColor theme="1"/>
                </patternFill>
              </fill>
            </x14:dxf>
          </x14:cfRule>
          <xm:sqref>D108:F108</xm:sqref>
        </x14:conditionalFormatting>
        <x14:conditionalFormatting xmlns:xm="http://schemas.microsoft.com/office/excel/2006/main">
          <x14:cfRule type="expression" priority="1" id="{82402B8C-22EE-43E8-953A-E4F8A38A6261}">
            <xm:f>FACalc_ferrovia!$C$10=FAListas!$C$6</xm:f>
            <x14:dxf>
              <fill>
                <patternFill>
                  <bgColor theme="1"/>
                </patternFill>
              </fill>
            </x14:dxf>
          </x14:cfRule>
          <xm:sqref>D115:F115</xm:sqref>
        </x14:conditionalFormatting>
        <x14:conditionalFormatting xmlns:xm="http://schemas.microsoft.com/office/excel/2006/main">
          <x14:cfRule type="expression" priority="854" id="{1783BDEE-3607-4FD1-AB4C-80FC68A86E55}">
            <xm:f>FACalc_ferrovia!$C$10=FAListas!#REF!</xm:f>
            <x14:dxf>
              <fill>
                <patternFill>
                  <bgColor theme="1"/>
                </patternFill>
              </fill>
            </x14:dxf>
          </x14:cfRule>
          <xm:sqref>E48 E50:E51 E53:E54 E56:E57 E59:E60 E62:E63 E65:E66 E81:E85 E88:E92 E95:E99 E102:E106 E109:E113 E116:E121 G128 E129:G135</xm:sqref>
        </x14:conditionalFormatting>
        <x14:conditionalFormatting xmlns:xm="http://schemas.microsoft.com/office/excel/2006/main">
          <x14:cfRule type="expression" priority="14" id="{49312EB9-D1E0-4C06-91C5-C5E13CABC450}">
            <xm:f>IF(#REF!=FAListas!$C$6,TRUE, IF(#REF!=FAListas!#REF!, TRUE,""))</xm:f>
            <x14:dxf>
              <fill>
                <patternFill>
                  <bgColor theme="1"/>
                </patternFill>
              </fill>
            </x14:dxf>
          </x14:cfRule>
          <xm:sqref>E155:F155</xm:sqref>
        </x14:conditionalFormatting>
        <x14:conditionalFormatting xmlns:xm="http://schemas.microsoft.com/office/excel/2006/main">
          <x14:cfRule type="expression" priority="862" id="{D4022019-695C-4C18-9CAE-E3DE10D81A0F}">
            <xm:f>IF(#REF!=FAListas!$C$6,TRUE, IF(#REF!=FAListas!#REF!, TRUE,""))</xm:f>
            <x14:dxf>
              <fill>
                <patternFill>
                  <bgColor theme="1"/>
                </patternFill>
              </fill>
            </x14:dxf>
          </x14:cfRule>
          <xm:sqref>F129:F132 E129:E134 E132:F132 E135:F135 E139:F139 E143:F143 E147:F147 E151:F151 E159:F159</xm:sqref>
        </x14:conditionalFormatting>
        <x14:conditionalFormatting xmlns:xm="http://schemas.microsoft.com/office/excel/2006/main">
          <x14:cfRule type="expression" priority="12" id="{6B748255-BD03-44CD-B570-03FD53DC0665}">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77" id="{F71D15AA-E646-4C52-9A53-84A89EB91CBF}">
            <xm:f>$E$23=FAListas!$C$57</xm:f>
            <x14:dxf>
              <fill>
                <patternFill patternType="solid">
                  <fgColor rgb="FFFF0000"/>
                  <bgColor theme="1"/>
                </patternFill>
              </fill>
            </x14:dxf>
          </x14:cfRule>
          <xm:sqref>F23:G23</xm:sqref>
        </x14:conditionalFormatting>
        <x14:conditionalFormatting xmlns:xm="http://schemas.microsoft.com/office/excel/2006/main">
          <x14:cfRule type="expression" priority="13" id="{3AC061C5-F9F7-455C-A679-04AD4186EFD3}">
            <xm:f>$E$25=FAListas!$C$57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51" id="{FE4F0A1A-4392-4026-A1B5-010EF4535E60}">
            <xm:f>$E$25=FAListas!$C$57</xm:f>
            <x14:dxf>
              <fill>
                <patternFill patternType="solid">
                  <fgColor rgb="FFFF0000"/>
                  <bgColor theme="1"/>
                </patternFill>
              </fill>
            </x14:dxf>
          </x14:cfRule>
          <xm:sqref>F25:G25</xm:sqref>
        </x14:conditionalFormatting>
        <x14:conditionalFormatting xmlns:xm="http://schemas.microsoft.com/office/excel/2006/main">
          <x14:cfRule type="expression" priority="11" id="{72FA05CC-47A6-42E8-B573-EF837F5199FE}">
            <xm:f>$E$27=FAListas!$C$57</xm:f>
            <x14:dxf>
              <font>
                <color theme="1"/>
              </font>
              <fill>
                <patternFill patternType="solid">
                  <fgColor rgb="FFFF0000"/>
                  <bgColor theme="1"/>
                </patternFill>
              </fill>
            </x14:dxf>
          </x14:cfRule>
          <xm:sqref>F26:G26</xm:sqref>
        </x14:conditionalFormatting>
        <x14:conditionalFormatting xmlns:xm="http://schemas.microsoft.com/office/excel/2006/main">
          <x14:cfRule type="expression" priority="50" id="{182D5287-A916-404B-B73F-86551899E967}">
            <xm:f>$E$27=FAListas!$C$57</xm:f>
            <x14:dxf>
              <fill>
                <patternFill patternType="solid">
                  <fgColor rgb="FFFF0000"/>
                  <bgColor theme="1"/>
                </patternFill>
              </fill>
            </x14:dxf>
          </x14:cfRule>
          <xm:sqref>F27:G27</xm:sqref>
        </x14:conditionalFormatting>
        <x14:conditionalFormatting xmlns:xm="http://schemas.microsoft.com/office/excel/2006/main">
          <x14:cfRule type="expression" priority="10" id="{98110E22-A200-460B-A123-AE773FAF55CA}">
            <xm:f>$E$29=FAListas!$C$57</xm:f>
            <x14:dxf>
              <font>
                <color theme="1"/>
              </font>
              <fill>
                <patternFill patternType="solid">
                  <fgColor indexed="64"/>
                  <bgColor theme="1"/>
                </patternFill>
              </fill>
            </x14:dxf>
          </x14:cfRule>
          <xm:sqref>F28:G28</xm:sqref>
        </x14:conditionalFormatting>
        <x14:conditionalFormatting xmlns:xm="http://schemas.microsoft.com/office/excel/2006/main">
          <x14:cfRule type="expression" priority="49" id="{648F6694-8A7B-45B8-A48B-EE504F47F858}">
            <xm:f>$E$29=FAListas!$C$57</xm:f>
            <x14:dxf>
              <fill>
                <patternFill patternType="solid">
                  <fgColor rgb="FFFF0000"/>
                  <bgColor theme="1"/>
                </patternFill>
              </fill>
            </x14:dxf>
          </x14:cfRule>
          <xm:sqref>F29:G29</xm:sqref>
        </x14:conditionalFormatting>
        <x14:conditionalFormatting xmlns:xm="http://schemas.microsoft.com/office/excel/2006/main">
          <x14:cfRule type="expression" priority="8" id="{E84E192D-28D4-481E-B973-9ED2E49E56C1}">
            <xm:f>$E$31=FAListas!$C$57</xm:f>
            <x14:dxf>
              <font>
                <color theme="1"/>
              </font>
              <fill>
                <patternFill patternType="solid">
                  <fgColor indexed="64"/>
                  <bgColor theme="1"/>
                </patternFill>
              </fill>
            </x14:dxf>
          </x14:cfRule>
          <xm:sqref>F30:G30</xm:sqref>
        </x14:conditionalFormatting>
        <x14:conditionalFormatting xmlns:xm="http://schemas.microsoft.com/office/excel/2006/main">
          <x14:cfRule type="expression" priority="6" id="{F71CA04B-2693-45D1-8DF6-26FED52C4FD1}">
            <xm:f>$E$31=FAListas!$C$57</xm:f>
            <x14:dxf>
              <fill>
                <patternFill patternType="solid">
                  <fgColor rgb="FFFF0000"/>
                  <bgColor theme="1"/>
                </patternFill>
              </fill>
            </x14:dxf>
          </x14:cfRule>
          <xm:sqref>F31:G31</xm:sqref>
        </x14:conditionalFormatting>
        <x14:conditionalFormatting xmlns:xm="http://schemas.microsoft.com/office/excel/2006/main">
          <x14:cfRule type="expression" priority="9" id="{9BC3E580-859B-4194-9750-D7F3C185C5F4}">
            <xm:f>$E$31=FAListas!$C$57</xm:f>
            <x14:dxf>
              <font>
                <color theme="1"/>
              </font>
              <fill>
                <patternFill patternType="solid">
                  <fgColor rgb="FFFF0000"/>
                  <bgColor theme="1"/>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4F2348A-1DB9-49AA-9122-D3B805C140A4}">
          <x14:formula1>
            <xm:f>FAListas!$C$55:$C$57</xm:f>
          </x14:formula1>
          <xm:sqref>E31 E29 E27 E25 E23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8456B-436A-40EA-A681-D87C22F6589C}">
  <dimension ref="A2:Y134"/>
  <sheetViews>
    <sheetView topLeftCell="O8" zoomScale="75" zoomScaleNormal="75" workbookViewId="0">
      <selection activeCell="Y11" sqref="Y11"/>
    </sheetView>
  </sheetViews>
  <sheetFormatPr defaultRowHeight="30" customHeight="1" x14ac:dyDescent="0.25"/>
  <cols>
    <col min="1" max="1" width="11.42578125" bestFit="1" customWidth="1"/>
    <col min="2" max="2" width="47.7109375" customWidth="1"/>
    <col min="3" max="3" width="16.28515625" customWidth="1"/>
    <col min="4" max="4" width="37.85546875" style="1" customWidth="1"/>
    <col min="5" max="5" width="36.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120" t="s">
        <v>362</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247"/>
      <c r="D7" s="124"/>
      <c r="E7" s="124"/>
      <c r="F7" s="124"/>
      <c r="G7" s="124"/>
      <c r="H7" s="124"/>
      <c r="I7" s="124"/>
      <c r="J7" s="124"/>
      <c r="K7" s="124"/>
      <c r="L7" s="124"/>
      <c r="M7" s="124"/>
      <c r="N7" s="124"/>
      <c r="O7" s="124"/>
    </row>
    <row r="8" spans="1:25" s="123" customFormat="1" ht="30" customHeight="1" x14ac:dyDescent="0.2">
      <c r="B8" s="112" t="s">
        <v>114</v>
      </c>
      <c r="C8" s="111" t="s">
        <v>86</v>
      </c>
      <c r="D8" s="108" t="s">
        <v>126</v>
      </c>
      <c r="E8" s="124"/>
      <c r="F8" s="124"/>
      <c r="G8" s="124"/>
      <c r="H8" s="124"/>
      <c r="I8" s="124"/>
      <c r="J8" s="124"/>
      <c r="K8" s="124"/>
      <c r="L8" s="124"/>
      <c r="M8" s="124"/>
      <c r="N8" s="124"/>
      <c r="O8" s="124"/>
    </row>
    <row r="9" spans="1:25" s="128" customFormat="1" ht="86.45" customHeight="1" x14ac:dyDescent="0.2">
      <c r="B9" s="107" t="s">
        <v>190</v>
      </c>
      <c r="C9" s="109" t="str">
        <f>IFERROR(D9+2,"0")</f>
        <v>0</v>
      </c>
      <c r="D9" s="110" t="str">
        <f>'ID_Identificação do projeto'!C14</f>
        <v>AAAA</v>
      </c>
      <c r="E9" s="101"/>
      <c r="F9" s="112" t="s">
        <v>114</v>
      </c>
      <c r="G9" s="108" t="s">
        <v>912</v>
      </c>
      <c r="H9" s="718"/>
      <c r="I9" s="108" t="s">
        <v>283</v>
      </c>
      <c r="J9" s="108" t="s">
        <v>1223</v>
      </c>
      <c r="K9" s="251" t="s">
        <v>720</v>
      </c>
      <c r="L9" s="151"/>
      <c r="M9" s="108" t="s">
        <v>718</v>
      </c>
      <c r="N9" s="251" t="s">
        <v>886</v>
      </c>
      <c r="O9" s="740"/>
      <c r="P9" s="129"/>
      <c r="Q9" s="129"/>
      <c r="R9" s="129"/>
      <c r="S9" s="129"/>
      <c r="T9" s="129"/>
      <c r="U9" s="129" t="s">
        <v>200</v>
      </c>
      <c r="V9" s="129"/>
      <c r="W9" s="117" t="s">
        <v>20</v>
      </c>
      <c r="X9" s="117" t="s">
        <v>201</v>
      </c>
      <c r="Y9" s="117" t="s">
        <v>251</v>
      </c>
    </row>
    <row r="10" spans="1:25" s="128" customFormat="1" ht="30" customHeight="1" x14ac:dyDescent="0.2">
      <c r="B10" s="107" t="s">
        <v>293</v>
      </c>
      <c r="C10" s="109" t="str">
        <f>'ID_Identificação do projeto'!$C$16</f>
        <v>Selecionar uma opção</v>
      </c>
      <c r="D10" s="110"/>
      <c r="E10" s="101"/>
      <c r="F10" s="340" t="s">
        <v>189</v>
      </c>
      <c r="G10" s="114">
        <f>C21</f>
        <v>0</v>
      </c>
      <c r="H10" s="738"/>
      <c r="I10" s="167">
        <f>C12</f>
        <v>0.107</v>
      </c>
      <c r="J10" s="514">
        <v>0</v>
      </c>
      <c r="K10" s="132">
        <f>IFERROR((G10*I10)/1000,"")</f>
        <v>0</v>
      </c>
      <c r="L10" s="721"/>
      <c r="M10" s="119">
        <v>0</v>
      </c>
      <c r="N10" s="165">
        <f t="shared" ref="N10:N16" si="0">IFERROR(K10+((G10*M10)/1000),"")</f>
        <v>0</v>
      </c>
      <c r="O10" s="347"/>
      <c r="P10" s="129"/>
      <c r="Q10" s="129"/>
      <c r="R10" s="129"/>
      <c r="S10" s="129"/>
      <c r="T10" s="129"/>
      <c r="U10" s="129"/>
      <c r="V10" s="129"/>
      <c r="W10" s="118">
        <v>2025</v>
      </c>
      <c r="X10" s="140">
        <v>165</v>
      </c>
      <c r="Y10" s="106" t="e">
        <f>VLOOKUP(C9,W10:X25,2,FALSE)</f>
        <v>#N/A</v>
      </c>
    </row>
    <row r="11" spans="1:25" s="128" customFormat="1" ht="30" customHeight="1" x14ac:dyDescent="0.2">
      <c r="B11" s="259" t="s">
        <v>142</v>
      </c>
      <c r="C11" s="102" t="str">
        <f>'ID_Identificação do projeto'!$C$18</f>
        <v>Selecionar uma opção</v>
      </c>
      <c r="D11" s="103"/>
      <c r="E11" s="101"/>
      <c r="F11" s="130" t="s">
        <v>377</v>
      </c>
      <c r="G11" s="110">
        <f>IFERROR(C22*C23,"")</f>
        <v>0</v>
      </c>
      <c r="H11" s="719"/>
      <c r="I11" s="167" t="str">
        <f>IFERROR(IF(D13=FAListas!C30, C13,"0"),"")</f>
        <v>0</v>
      </c>
      <c r="J11" s="514" t="str">
        <f>IFERROR(IF(D13=FAListas!C31,$C$12*'Fatores de Emissão'!F17,"0"),"0")</f>
        <v>0</v>
      </c>
      <c r="K11" s="132">
        <f t="shared" ref="K11:K16" si="1">IFERROR(((G11*I11)+(G11*J11))/1000,"")</f>
        <v>0</v>
      </c>
      <c r="L11" s="721"/>
      <c r="M11" s="119">
        <f>'Fatores de Emissão'!G17</f>
        <v>3.0882352941176465E-2</v>
      </c>
      <c r="N11" s="165">
        <f t="shared" si="0"/>
        <v>0</v>
      </c>
      <c r="O11" s="347"/>
      <c r="P11" s="129"/>
      <c r="Q11" s="129"/>
      <c r="R11" s="129"/>
      <c r="S11" s="129"/>
      <c r="T11" s="129"/>
      <c r="U11" s="129"/>
      <c r="V11" s="129"/>
      <c r="W11" s="118">
        <v>2026</v>
      </c>
      <c r="X11" s="140">
        <v>182</v>
      </c>
    </row>
    <row r="12" spans="1:25" s="128" customFormat="1" ht="30" customHeight="1" x14ac:dyDescent="0.2">
      <c r="B12" s="107" t="s">
        <v>203</v>
      </c>
      <c r="C12" s="109">
        <f>TM2_rodovia!F23</f>
        <v>0.107</v>
      </c>
      <c r="D12" s="110" t="str">
        <f>TM2_rodovia!E23</f>
        <v>Fator de emissão GEE (eletricidade) do utilizador (obrigatório)</v>
      </c>
      <c r="E12" s="101"/>
      <c r="F12" s="130" t="s">
        <v>378</v>
      </c>
      <c r="G12" s="110">
        <f>IFERROR(C24*C25,"")</f>
        <v>0</v>
      </c>
      <c r="H12" s="719"/>
      <c r="I12" s="167" t="str">
        <f>IFERROR(IF(D14=FAListas!C33, C14,"0"),"")</f>
        <v>0</v>
      </c>
      <c r="J12" s="514" t="str">
        <f>IFERROR(IF(D14=FAListas!C34,'Fatores de Emissão'!E78,IF(D14=FAListas!C35,'Fatores de Emissão'!E73,"0")),"0")</f>
        <v>0</v>
      </c>
      <c r="K12" s="132">
        <f t="shared" si="1"/>
        <v>0</v>
      </c>
      <c r="L12" s="721"/>
      <c r="M12" s="119">
        <f>'Fatores de Emissão'!I73</f>
        <v>9.273529411764703E-3</v>
      </c>
      <c r="N12" s="165">
        <f t="shared" si="0"/>
        <v>0</v>
      </c>
      <c r="O12" s="162"/>
      <c r="P12" s="129"/>
      <c r="Q12" s="129"/>
      <c r="R12" s="129"/>
      <c r="S12" s="129"/>
      <c r="T12" s="129"/>
      <c r="U12" s="129"/>
      <c r="V12" s="129"/>
      <c r="W12" s="118">
        <v>2027</v>
      </c>
      <c r="X12" s="140">
        <v>199</v>
      </c>
    </row>
    <row r="13" spans="1:25" s="128" customFormat="1" ht="30" customHeight="1" x14ac:dyDescent="0.2">
      <c r="B13" s="107" t="s">
        <v>363</v>
      </c>
      <c r="C13" s="109">
        <f>TM2_rodovia!F25</f>
        <v>0</v>
      </c>
      <c r="D13" s="110" t="str">
        <f>TM2_rodovia!E25</f>
        <v>Selecionar uma opção</v>
      </c>
      <c r="E13" s="101"/>
      <c r="F13" s="130" t="s">
        <v>379</v>
      </c>
      <c r="G13" s="110">
        <f>IFERROR(C26*C27,"")</f>
        <v>0</v>
      </c>
      <c r="H13" s="719"/>
      <c r="I13" s="167" t="str">
        <f>IFERROR(IF(D15=FAListas!$C$37, C15,"0"),"0")</f>
        <v>0</v>
      </c>
      <c r="J13" s="531" t="str">
        <f>IFERROR(IF(D15=FAListas!C38,$C$12*'Fatores de Emissão'!F22,IF(D15=FAListas!C39,$C$12*'Fatores de Emissão'!F27,"0")),"0")</f>
        <v>0</v>
      </c>
      <c r="K13" s="132">
        <f t="shared" si="1"/>
        <v>0</v>
      </c>
      <c r="L13" s="721"/>
      <c r="M13" s="119" t="str" cm="1">
        <f t="array" ref="M13">IFERROR(IF((D15=FAListas!C38,'Fatores de Emissão'!G22,IF(D15=FAListas!C39,'Fatores de Emissão'!G27)),"0"),"0")</f>
        <v>0</v>
      </c>
      <c r="N13" s="165">
        <f t="shared" si="0"/>
        <v>0</v>
      </c>
      <c r="O13" s="162"/>
      <c r="P13" s="129"/>
      <c r="Q13" s="129"/>
      <c r="R13" s="129"/>
      <c r="S13" s="129"/>
      <c r="T13" s="129"/>
      <c r="U13" s="129"/>
      <c r="V13" s="129"/>
      <c r="W13" s="118">
        <v>2028</v>
      </c>
      <c r="X13" s="140">
        <v>216</v>
      </c>
    </row>
    <row r="14" spans="1:25" s="128" customFormat="1" ht="30" customHeight="1" x14ac:dyDescent="0.2">
      <c r="B14" s="107" t="s">
        <v>364</v>
      </c>
      <c r="C14" s="109">
        <f>TM2_rodovia!F26</f>
        <v>0</v>
      </c>
      <c r="D14" s="110" t="str">
        <f>TM2_rodovia!E26</f>
        <v>Selecionar uma opção</v>
      </c>
      <c r="E14" s="101"/>
      <c r="F14" s="130" t="s">
        <v>383</v>
      </c>
      <c r="G14" s="110">
        <f>IFERROR(C28*C29,"")</f>
        <v>0</v>
      </c>
      <c r="H14" s="719"/>
      <c r="I14" s="248" t="str">
        <f>IFERROR(IF(D20=FAListas!$C$41, C16,"0"),"")</f>
        <v>0</v>
      </c>
      <c r="J14" s="514" t="str">
        <f>IFERROR(IF(D16=FAListas!C42,'Fatores de Emissão'!E68,IF(D16=FAListas!C43,'Fatores de Emissão'!E63,"0")),"0")</f>
        <v>0</v>
      </c>
      <c r="K14" s="132">
        <f t="shared" si="1"/>
        <v>0</v>
      </c>
      <c r="L14" s="721"/>
      <c r="M14" s="119">
        <f>'Fatores de Emissão'!I63</f>
        <v>6.4276816608996538E-3</v>
      </c>
      <c r="N14" s="165">
        <f t="shared" si="0"/>
        <v>0</v>
      </c>
      <c r="O14" s="347"/>
      <c r="R14" s="129"/>
      <c r="S14" s="129"/>
      <c r="T14" s="129"/>
      <c r="U14" s="129"/>
      <c r="V14" s="129"/>
      <c r="W14" s="118">
        <v>2029</v>
      </c>
      <c r="X14" s="140">
        <v>233</v>
      </c>
    </row>
    <row r="15" spans="1:25" s="128" customFormat="1" ht="30" customHeight="1" x14ac:dyDescent="0.2">
      <c r="B15" s="107" t="s">
        <v>365</v>
      </c>
      <c r="C15" s="109">
        <f>TM2_rodovia!F28</f>
        <v>0</v>
      </c>
      <c r="D15" s="110" t="str">
        <f>TM2_rodovia!E28</f>
        <v>Selecionar uma opção</v>
      </c>
      <c r="E15" s="101"/>
      <c r="F15" s="130" t="s">
        <v>384</v>
      </c>
      <c r="G15" s="110">
        <f>IFERROR(C30*C31,"")</f>
        <v>0</v>
      </c>
      <c r="H15" s="719"/>
      <c r="I15" s="248" t="str">
        <f>IFERROR(IF(D21=FAListas!$C$45, C17,"0"),"")</f>
        <v>0</v>
      </c>
      <c r="J15" s="514" t="str">
        <f>IFERROR(IF(D17=FAListas!C46,$C$12*'Fatores de Emissão'!F32,IF(D17=FAListas!C47,$C$12*'Fatores de Emissão'!F37,"0")),"0")</f>
        <v>0</v>
      </c>
      <c r="K15" s="132">
        <f t="shared" si="1"/>
        <v>0</v>
      </c>
      <c r="L15" s="721"/>
      <c r="M15" s="119" t="str" cm="1">
        <f t="array" ref="M15">IFERROR(IF((D17=FAListas!#REF!,'Fatores de Emissão'!G32,IF(D17=FAListas!#REF!,'Fatores de Emissão'!G37)),"0"),"0")</f>
        <v>0</v>
      </c>
      <c r="N15" s="165">
        <f t="shared" si="0"/>
        <v>0</v>
      </c>
      <c r="O15" s="347"/>
      <c r="R15" s="129"/>
      <c r="S15" s="129"/>
      <c r="T15" s="129"/>
      <c r="U15" s="129"/>
      <c r="V15" s="129"/>
      <c r="W15" s="118">
        <v>2030</v>
      </c>
      <c r="X15" s="140">
        <v>250</v>
      </c>
    </row>
    <row r="16" spans="1:25" s="128" customFormat="1" ht="30" customHeight="1" x14ac:dyDescent="0.2">
      <c r="B16" s="107" t="s">
        <v>366</v>
      </c>
      <c r="C16" s="109">
        <f>TM2_rodovia!F29</f>
        <v>0</v>
      </c>
      <c r="D16" s="110" t="str">
        <f>TM2_rodovia!E29</f>
        <v>Selecionar uma opção</v>
      </c>
      <c r="E16" s="101"/>
      <c r="F16" s="130" t="s">
        <v>385</v>
      </c>
      <c r="G16" s="344">
        <f>IFERROR(C32*C33,"")</f>
        <v>0</v>
      </c>
      <c r="H16" s="739"/>
      <c r="I16" s="345" t="str">
        <f>IFERROR(IF(D22=FAListas!$C$49, C18,"0"),"")</f>
        <v>0</v>
      </c>
      <c r="J16" s="514" t="str">
        <f>IFERROR(IF(D18=FAListas!C51,'Fatores de Emissão'!E83,IF(D18=FAListas!C50,'Fatores de Emissão'!E88,"0")),"0")</f>
        <v>0</v>
      </c>
      <c r="K16" s="132">
        <f t="shared" si="1"/>
        <v>0</v>
      </c>
      <c r="L16" s="721"/>
      <c r="M16" s="119">
        <f>'Fatores de Emissão'!I83</f>
        <v>3.65E-3</v>
      </c>
      <c r="N16" s="165">
        <f t="shared" si="0"/>
        <v>0</v>
      </c>
      <c r="O16" s="347"/>
      <c r="R16" s="129"/>
      <c r="S16" s="129"/>
      <c r="T16" s="129"/>
      <c r="U16" s="129"/>
      <c r="V16" s="129"/>
      <c r="W16" s="118">
        <v>2031</v>
      </c>
      <c r="X16" s="140">
        <v>278</v>
      </c>
    </row>
    <row r="17" spans="1:24" s="128" customFormat="1" ht="30" customHeight="1" x14ac:dyDescent="0.2">
      <c r="B17" s="107" t="s">
        <v>367</v>
      </c>
      <c r="C17" s="109">
        <f>TM2_rodovia!F31</f>
        <v>0</v>
      </c>
      <c r="D17" s="109" t="str">
        <f>TM2_rodovia!E31</f>
        <v>Selecionar uma opção</v>
      </c>
      <c r="E17" s="101"/>
      <c r="F17" s="346"/>
      <c r="G17" s="102"/>
      <c r="H17" s="102"/>
      <c r="I17" s="347"/>
      <c r="J17" s="168" t="s">
        <v>246</v>
      </c>
      <c r="K17" s="261">
        <f>SUM(K10:K16)</f>
        <v>0</v>
      </c>
      <c r="L17" s="741"/>
      <c r="M17" s="262"/>
      <c r="N17" s="261">
        <f>SUM(N10:N16)</f>
        <v>0</v>
      </c>
      <c r="O17" s="342"/>
      <c r="P17" s="166" t="s">
        <v>249</v>
      </c>
      <c r="R17" s="129"/>
      <c r="S17" s="129"/>
      <c r="T17" s="129"/>
      <c r="U17" s="129"/>
      <c r="V17" s="129"/>
      <c r="W17" s="118">
        <v>2032</v>
      </c>
      <c r="X17" s="140">
        <v>306</v>
      </c>
    </row>
    <row r="18" spans="1:24" s="128" customFormat="1" ht="30" customHeight="1" x14ac:dyDescent="0.2">
      <c r="B18" s="107" t="s">
        <v>368</v>
      </c>
      <c r="C18" s="109">
        <f>TM2_rodovia!F32</f>
        <v>0</v>
      </c>
      <c r="D18" s="109" t="str">
        <f>TM2_rodovia!E32</f>
        <v>Selecionar uma opção</v>
      </c>
      <c r="E18" s="101"/>
      <c r="F18" s="346"/>
      <c r="G18" s="102"/>
      <c r="H18" s="102"/>
      <c r="I18" s="347"/>
      <c r="J18" s="162"/>
      <c r="K18" s="162"/>
      <c r="L18" s="162"/>
      <c r="M18" s="163"/>
      <c r="N18" s="347"/>
      <c r="O18" s="347"/>
      <c r="R18" s="129"/>
      <c r="S18" s="129"/>
      <c r="T18" s="129"/>
      <c r="U18" s="129"/>
      <c r="V18" s="129"/>
      <c r="W18" s="118">
        <v>2033</v>
      </c>
      <c r="X18" s="140">
        <v>334</v>
      </c>
    </row>
    <row r="19" spans="1:24" s="128" customFormat="1" ht="30" customHeight="1" x14ac:dyDescent="0.2">
      <c r="B19" s="107"/>
      <c r="C19" s="109"/>
      <c r="D19" s="110"/>
      <c r="E19" s="101"/>
      <c r="F19" s="160" t="str">
        <f>IFERROR(IF(SUM(F121:F124)=0, "",IF(SUM(F121:F124)&gt;100, "  A soma das TM é superior a 100%. Por favor reveja.", IF(SUM(F121:F124)&lt;100, " A soma das TM é inferior a 100%. Por favor reveja.", ""))),"")</f>
        <v/>
      </c>
      <c r="G19" s="102"/>
      <c r="H19" s="102"/>
      <c r="I19" s="162"/>
      <c r="J19" s="162"/>
      <c r="K19" s="162"/>
      <c r="L19" s="162"/>
      <c r="M19" s="163"/>
      <c r="N19" s="347"/>
      <c r="O19" s="347"/>
      <c r="P19" s="129"/>
      <c r="Q19" s="129"/>
      <c r="R19" s="129"/>
      <c r="S19" s="129"/>
      <c r="T19" s="129"/>
      <c r="U19" s="129"/>
      <c r="V19" s="129"/>
      <c r="W19" s="118">
        <v>2034</v>
      </c>
      <c r="X19" s="140">
        <v>362</v>
      </c>
    </row>
    <row r="20" spans="1:24" s="128" customFormat="1" ht="30" customHeight="1" x14ac:dyDescent="0.2">
      <c r="B20" s="112" t="s">
        <v>114</v>
      </c>
      <c r="C20" s="111" t="s">
        <v>86</v>
      </c>
      <c r="D20" s="108"/>
      <c r="E20" s="101"/>
      <c r="F20" s="160"/>
      <c r="G20" s="102"/>
      <c r="H20" s="102"/>
      <c r="I20" s="161"/>
      <c r="J20" s="341"/>
      <c r="K20" s="342"/>
      <c r="L20" s="342"/>
      <c r="M20" s="343"/>
      <c r="N20" s="342"/>
      <c r="O20" s="342"/>
      <c r="P20" s="166"/>
      <c r="Q20" s="129"/>
      <c r="R20" s="129"/>
      <c r="S20" s="129"/>
      <c r="T20" s="129"/>
      <c r="U20" s="129"/>
      <c r="V20" s="129"/>
      <c r="W20" s="118">
        <v>2035</v>
      </c>
      <c r="X20" s="140">
        <v>390</v>
      </c>
    </row>
    <row r="21" spans="1:24" s="128" customFormat="1" ht="30" customHeight="1" x14ac:dyDescent="0.2">
      <c r="B21" s="169" t="s">
        <v>179</v>
      </c>
      <c r="C21" s="631">
        <f>TM2_rodovia!E44</f>
        <v>0</v>
      </c>
      <c r="D21" s="109"/>
      <c r="E21" s="101"/>
      <c r="F21" s="160"/>
      <c r="G21" s="102"/>
      <c r="H21" s="102"/>
      <c r="I21" s="161"/>
      <c r="J21" s="162"/>
      <c r="K21" s="162"/>
      <c r="L21" s="162"/>
      <c r="M21" s="163"/>
      <c r="N21" s="162"/>
      <c r="O21" s="106"/>
      <c r="P21" s="129"/>
      <c r="Q21" s="129"/>
      <c r="R21" s="129"/>
      <c r="S21" s="129"/>
      <c r="T21" s="129"/>
      <c r="U21" s="129"/>
      <c r="V21" s="129"/>
      <c r="W21" s="118">
        <v>2036</v>
      </c>
      <c r="X21" s="140">
        <v>417</v>
      </c>
    </row>
    <row r="22" spans="1:24" s="128" customFormat="1" ht="30" customHeight="1" x14ac:dyDescent="0.2">
      <c r="A22" s="106" t="s">
        <v>377</v>
      </c>
      <c r="B22" s="107" t="str">
        <f>TM2_rodovia!C46</f>
        <v xml:space="preserve">Nº médio de novos passageiros gerados pelo projeto, num ano típico de funcionamento </v>
      </c>
      <c r="C22" s="631">
        <f>TM2_rodovia!E46</f>
        <v>0</v>
      </c>
      <c r="D22" s="109"/>
      <c r="E22" s="101"/>
      <c r="F22" s="160"/>
      <c r="G22" s="102"/>
      <c r="H22" s="102"/>
      <c r="I22" s="161"/>
      <c r="J22" s="162"/>
      <c r="K22" s="162"/>
      <c r="L22" s="162"/>
      <c r="M22" s="163"/>
      <c r="N22" s="162"/>
      <c r="O22" s="106"/>
      <c r="P22" s="129"/>
      <c r="Q22" s="129"/>
      <c r="R22" s="129"/>
      <c r="S22" s="129"/>
      <c r="T22" s="129"/>
      <c r="U22" s="129"/>
      <c r="V22" s="129"/>
      <c r="W22" s="118">
        <v>2037</v>
      </c>
      <c r="X22" s="140">
        <v>444</v>
      </c>
    </row>
    <row r="23" spans="1:24" s="128" customFormat="1" ht="30" customHeight="1" x14ac:dyDescent="0.2">
      <c r="A23" s="106" t="s">
        <v>377</v>
      </c>
      <c r="B23" s="107" t="str">
        <f>TM2_rodovia!C47</f>
        <v xml:space="preserve">Nº autocarros * Nº de km percorridos por um autocarro, num ano típico de funcionamento  </v>
      </c>
      <c r="C23" s="631">
        <f>TM2_rodovia!E47</f>
        <v>0</v>
      </c>
      <c r="D23" s="109"/>
      <c r="E23" s="101"/>
      <c r="F23" s="160"/>
      <c r="G23" s="102"/>
      <c r="H23" s="102"/>
      <c r="I23" s="161"/>
      <c r="J23" s="102"/>
      <c r="K23" s="102"/>
      <c r="L23" s="102"/>
      <c r="M23" s="102"/>
      <c r="N23" s="102"/>
      <c r="O23" s="106"/>
      <c r="P23" s="129"/>
      <c r="Q23" s="129"/>
      <c r="R23" s="129"/>
      <c r="S23" s="129"/>
      <c r="T23" s="129"/>
      <c r="U23" s="129"/>
      <c r="V23" s="129"/>
      <c r="W23" s="118">
        <v>2038</v>
      </c>
      <c r="X23" s="140">
        <v>471</v>
      </c>
    </row>
    <row r="24" spans="1:24" s="128" customFormat="1" ht="30" customHeight="1" x14ac:dyDescent="0.2">
      <c r="A24" s="102" t="s">
        <v>378</v>
      </c>
      <c r="B24" s="107" t="s">
        <v>308</v>
      </c>
      <c r="C24" s="631">
        <f>TM2_rodovia!E49</f>
        <v>0</v>
      </c>
      <c r="D24" s="109"/>
      <c r="E24" s="101"/>
      <c r="F24" s="160"/>
      <c r="G24" s="102"/>
      <c r="H24" s="102"/>
      <c r="I24" s="161"/>
      <c r="J24" s="102"/>
      <c r="K24" s="102"/>
      <c r="L24" s="102"/>
      <c r="M24" s="102"/>
      <c r="N24" s="102"/>
      <c r="O24" s="106"/>
      <c r="P24" s="129"/>
      <c r="Q24" s="129"/>
      <c r="R24" s="129"/>
      <c r="S24" s="129"/>
      <c r="T24" s="129"/>
      <c r="U24" s="129"/>
      <c r="V24" s="129"/>
      <c r="W24" s="118">
        <v>2039</v>
      </c>
      <c r="X24" s="140">
        <v>498</v>
      </c>
    </row>
    <row r="25" spans="1:24" s="128" customFormat="1" ht="30" customHeight="1" x14ac:dyDescent="0.2">
      <c r="A25" s="102" t="s">
        <v>378</v>
      </c>
      <c r="B25" s="107" t="s">
        <v>315</v>
      </c>
      <c r="C25" s="631">
        <f>TM2_rodovia!E50</f>
        <v>0</v>
      </c>
      <c r="D25" s="109"/>
      <c r="E25" s="101"/>
      <c r="F25" s="160"/>
      <c r="G25" s="102"/>
      <c r="H25" s="102"/>
      <c r="I25" s="161"/>
      <c r="J25" s="102"/>
      <c r="K25" s="102"/>
      <c r="L25" s="102"/>
      <c r="M25" s="102"/>
      <c r="N25" s="102"/>
      <c r="O25" s="106"/>
      <c r="P25" s="129"/>
      <c r="Q25" s="129"/>
      <c r="R25" s="129"/>
      <c r="S25" s="129"/>
      <c r="T25" s="129"/>
      <c r="U25" s="129"/>
      <c r="V25" s="129"/>
      <c r="W25" s="118">
        <v>2040</v>
      </c>
      <c r="X25" s="140">
        <v>325</v>
      </c>
    </row>
    <row r="26" spans="1:24" s="128" customFormat="1" ht="30" customHeight="1" x14ac:dyDescent="0.2">
      <c r="A26" s="106" t="s">
        <v>379</v>
      </c>
      <c r="B26" s="107" t="s">
        <v>308</v>
      </c>
      <c r="C26" s="631">
        <f>TM2_rodovia!E52</f>
        <v>0</v>
      </c>
      <c r="D26" s="109"/>
      <c r="E26" s="101"/>
      <c r="F26" s="101"/>
      <c r="G26" s="130"/>
      <c r="H26" s="130"/>
      <c r="I26" s="101"/>
      <c r="J26" s="106"/>
      <c r="K26" s="106"/>
      <c r="L26" s="106"/>
      <c r="M26" s="106"/>
      <c r="N26" s="106"/>
      <c r="O26" s="106"/>
      <c r="P26" s="129"/>
      <c r="Q26" s="129"/>
      <c r="R26" s="129"/>
      <c r="S26" s="129"/>
      <c r="T26" s="129"/>
      <c r="U26" s="129"/>
      <c r="V26" s="129"/>
      <c r="W26" s="118"/>
      <c r="X26" s="140"/>
    </row>
    <row r="27" spans="1:24" s="128" customFormat="1" ht="30" customHeight="1" x14ac:dyDescent="0.2">
      <c r="A27" s="106" t="s">
        <v>379</v>
      </c>
      <c r="B27" s="107" t="s">
        <v>315</v>
      </c>
      <c r="C27" s="631">
        <f>TM2_rodovia!E53</f>
        <v>0</v>
      </c>
      <c r="D27" s="109"/>
      <c r="E27" s="101"/>
      <c r="F27" s="101"/>
      <c r="G27" s="130"/>
      <c r="H27" s="130"/>
      <c r="I27" s="101"/>
      <c r="J27" s="106"/>
      <c r="K27" s="106"/>
      <c r="L27" s="106"/>
      <c r="M27" s="106"/>
      <c r="N27" s="106"/>
      <c r="O27" s="106"/>
      <c r="P27" s="129"/>
      <c r="Q27" s="129"/>
      <c r="R27" s="129"/>
      <c r="S27" s="129"/>
      <c r="T27" s="129"/>
      <c r="U27" s="129"/>
      <c r="V27" s="129"/>
      <c r="W27" s="118"/>
      <c r="X27" s="140"/>
    </row>
    <row r="28" spans="1:24" s="128" customFormat="1" ht="30" customHeight="1" x14ac:dyDescent="0.2">
      <c r="A28" s="102" t="s">
        <v>383</v>
      </c>
      <c r="B28" s="107" t="s">
        <v>308</v>
      </c>
      <c r="C28" s="631">
        <f>TM2_rodovia!E55</f>
        <v>0</v>
      </c>
      <c r="D28" s="109"/>
      <c r="E28" s="101"/>
      <c r="F28" s="101"/>
      <c r="G28" s="130"/>
      <c r="H28" s="130"/>
      <c r="I28" s="101"/>
      <c r="J28" s="106"/>
      <c r="K28" s="106"/>
      <c r="L28" s="106"/>
      <c r="M28" s="106"/>
      <c r="N28" s="106"/>
      <c r="O28" s="106"/>
      <c r="P28" s="129"/>
      <c r="Q28" s="129"/>
      <c r="R28" s="129"/>
      <c r="S28" s="129"/>
      <c r="T28" s="129"/>
      <c r="U28" s="129"/>
      <c r="V28" s="129"/>
      <c r="W28" s="118"/>
      <c r="X28" s="140"/>
    </row>
    <row r="29" spans="1:24" s="128" customFormat="1" ht="30" customHeight="1" x14ac:dyDescent="0.2">
      <c r="A29" s="102" t="s">
        <v>383</v>
      </c>
      <c r="B29" s="107" t="s">
        <v>315</v>
      </c>
      <c r="C29" s="631">
        <f>TM2_rodovia!E56</f>
        <v>0</v>
      </c>
      <c r="D29" s="109"/>
      <c r="E29" s="101"/>
      <c r="F29" s="101"/>
      <c r="G29" s="130"/>
      <c r="H29" s="130"/>
      <c r="I29" s="101"/>
      <c r="J29" s="106"/>
      <c r="K29" s="106"/>
      <c r="L29" s="106"/>
      <c r="M29" s="106"/>
      <c r="N29" s="106"/>
      <c r="O29" s="106"/>
      <c r="P29" s="129"/>
      <c r="Q29" s="129"/>
      <c r="R29" s="129"/>
      <c r="S29" s="129"/>
      <c r="T29" s="129"/>
      <c r="U29" s="129"/>
      <c r="V29" s="129"/>
      <c r="W29" s="118"/>
      <c r="X29" s="140"/>
    </row>
    <row r="30" spans="1:24" s="128" customFormat="1" ht="30" customHeight="1" x14ac:dyDescent="0.2">
      <c r="A30" s="106" t="s">
        <v>380</v>
      </c>
      <c r="B30" s="107" t="s">
        <v>308</v>
      </c>
      <c r="C30" s="631">
        <f>TM2_rodovia!E58</f>
        <v>0</v>
      </c>
      <c r="D30" s="109"/>
      <c r="E30" s="106"/>
      <c r="F30" s="106"/>
      <c r="G30" s="106"/>
      <c r="H30" s="106"/>
      <c r="I30" s="106"/>
      <c r="J30" s="106"/>
      <c r="K30" s="106"/>
      <c r="L30" s="106"/>
      <c r="M30" s="106"/>
      <c r="N30" s="106"/>
      <c r="O30" s="106"/>
      <c r="P30" s="129"/>
      <c r="Q30" s="129"/>
      <c r="R30" s="129"/>
      <c r="S30" s="129"/>
      <c r="T30" s="129"/>
      <c r="U30" s="129"/>
      <c r="V30" s="129"/>
      <c r="W30" s="118"/>
      <c r="X30" s="140"/>
    </row>
    <row r="31" spans="1:24" s="128" customFormat="1" ht="30" customHeight="1" x14ac:dyDescent="0.2">
      <c r="A31" s="102" t="s">
        <v>380</v>
      </c>
      <c r="B31" s="107" t="s">
        <v>315</v>
      </c>
      <c r="C31" s="631">
        <f>TM2_rodovia!E59</f>
        <v>0</v>
      </c>
      <c r="D31" s="109"/>
      <c r="E31" s="106"/>
      <c r="F31" s="106"/>
      <c r="G31" s="106"/>
      <c r="H31" s="106"/>
      <c r="I31" s="106"/>
      <c r="J31" s="106"/>
      <c r="K31" s="106"/>
      <c r="L31" s="106"/>
      <c r="M31" s="106"/>
      <c r="N31" s="106"/>
      <c r="O31" s="106"/>
      <c r="W31" s="118"/>
      <c r="X31" s="140"/>
    </row>
    <row r="32" spans="1:24" s="128" customFormat="1" ht="30" customHeight="1" x14ac:dyDescent="0.2">
      <c r="A32" s="106" t="s">
        <v>381</v>
      </c>
      <c r="B32" s="107" t="s">
        <v>308</v>
      </c>
      <c r="C32" s="631">
        <f>TM2_rodovia!E61</f>
        <v>0</v>
      </c>
      <c r="D32" s="109"/>
      <c r="E32" s="106"/>
      <c r="F32" s="106"/>
      <c r="G32" s="106"/>
      <c r="H32" s="106"/>
      <c r="I32" s="106"/>
      <c r="J32" s="106"/>
      <c r="K32" s="106"/>
      <c r="L32" s="106"/>
      <c r="M32" s="106"/>
      <c r="N32" s="106"/>
      <c r="O32" s="106"/>
      <c r="W32" s="118"/>
      <c r="X32" s="140"/>
    </row>
    <row r="33" spans="1:15" s="123" customFormat="1" ht="30" customHeight="1" x14ac:dyDescent="0.2">
      <c r="A33" s="102" t="s">
        <v>381</v>
      </c>
      <c r="B33" s="107" t="s">
        <v>315</v>
      </c>
      <c r="C33" s="631">
        <f>TM2_rodovia!E62</f>
        <v>0</v>
      </c>
      <c r="D33" s="109"/>
      <c r="E33" s="124"/>
      <c r="F33" s="124"/>
      <c r="G33" s="124"/>
      <c r="H33" s="124"/>
      <c r="I33" s="124"/>
      <c r="J33" s="124"/>
      <c r="K33" s="124"/>
      <c r="L33" s="124"/>
      <c r="M33" s="124"/>
      <c r="N33" s="124"/>
      <c r="O33" s="124"/>
    </row>
    <row r="34" spans="1:15" s="123" customFormat="1" ht="30" customHeight="1" x14ac:dyDescent="0.2">
      <c r="D34" s="124"/>
      <c r="E34" s="124"/>
      <c r="F34" s="124"/>
      <c r="G34" s="124"/>
      <c r="H34" s="124"/>
      <c r="I34" s="124"/>
      <c r="J34" s="124"/>
      <c r="K34" s="124"/>
      <c r="L34" s="124"/>
      <c r="M34" s="124"/>
      <c r="N34" s="124"/>
      <c r="O34" s="124"/>
    </row>
    <row r="35" spans="1:15" s="121" customFormat="1" ht="30" customHeight="1" x14ac:dyDescent="0.2">
      <c r="B35" s="120" t="s">
        <v>382</v>
      </c>
      <c r="D35" s="122"/>
      <c r="E35" s="122"/>
      <c r="F35" s="122"/>
      <c r="G35" s="122"/>
      <c r="H35" s="122"/>
      <c r="I35" s="122"/>
      <c r="J35" s="122"/>
      <c r="K35" s="122"/>
      <c r="L35" s="122"/>
      <c r="M35" s="122"/>
      <c r="N35" s="122"/>
      <c r="O35" s="122"/>
    </row>
    <row r="36" spans="1:15" s="175" customFormat="1" ht="30" customHeight="1" x14ac:dyDescent="0.2">
      <c r="B36" s="176"/>
      <c r="D36" s="177"/>
      <c r="E36" s="177"/>
      <c r="F36" s="177"/>
      <c r="G36" s="177"/>
      <c r="H36" s="177"/>
      <c r="I36" s="177"/>
      <c r="J36" s="177"/>
      <c r="K36" s="177"/>
      <c r="L36" s="177"/>
      <c r="M36" s="177"/>
      <c r="N36" s="177"/>
      <c r="O36" s="177"/>
    </row>
    <row r="37" spans="1:15" s="175" customFormat="1" ht="30" customHeight="1" x14ac:dyDescent="0.2">
      <c r="B37" s="176" t="s">
        <v>252</v>
      </c>
      <c r="D37" s="177"/>
      <c r="E37" s="177"/>
      <c r="F37" s="177"/>
      <c r="G37" s="177"/>
      <c r="H37" s="177"/>
      <c r="I37" s="177"/>
      <c r="J37" s="177"/>
      <c r="K37" s="177"/>
      <c r="L37" s="177"/>
      <c r="M37" s="177"/>
      <c r="N37" s="177"/>
      <c r="O37" s="177"/>
    </row>
    <row r="38" spans="1:15" s="175" customFormat="1" ht="30" customHeight="1" x14ac:dyDescent="0.2">
      <c r="B38" s="176"/>
      <c r="D38" s="177"/>
      <c r="E38" s="177"/>
      <c r="F38" s="177"/>
      <c r="G38" s="177"/>
      <c r="H38" s="177"/>
      <c r="I38" s="177"/>
      <c r="J38" s="177"/>
      <c r="K38" s="177"/>
      <c r="L38" s="177"/>
      <c r="M38" s="177"/>
      <c r="N38" s="177"/>
      <c r="O38" s="177"/>
    </row>
    <row r="39" spans="1:15" s="175" customFormat="1" ht="30" customHeight="1" x14ac:dyDescent="0.2">
      <c r="B39" s="120" t="s">
        <v>285</v>
      </c>
      <c r="C39" s="179" t="s">
        <v>77</v>
      </c>
      <c r="D39" s="122" t="s">
        <v>440</v>
      </c>
      <c r="E39" s="122" t="s">
        <v>256</v>
      </c>
      <c r="F39" s="177"/>
      <c r="G39" s="353" t="s">
        <v>286</v>
      </c>
      <c r="H39" s="354" t="s">
        <v>77</v>
      </c>
      <c r="I39" s="142" t="s">
        <v>291</v>
      </c>
      <c r="J39" s="142" t="s">
        <v>256</v>
      </c>
      <c r="K39" s="177"/>
      <c r="L39" s="177"/>
      <c r="M39" s="177"/>
      <c r="N39" s="177"/>
      <c r="O39" s="177"/>
    </row>
    <row r="40" spans="1:15" s="175" customFormat="1" ht="30" customHeight="1" x14ac:dyDescent="0.2">
      <c r="B40" s="176" t="s">
        <v>125</v>
      </c>
      <c r="C40" s="178">
        <v>0.55000000000000004</v>
      </c>
      <c r="D40" s="180">
        <f>'Fatores de Emissão'!E99</f>
        <v>0.12029271250000002</v>
      </c>
      <c r="E40" s="181">
        <f t="shared" ref="E40:E45" si="2">C40*D40</f>
        <v>6.6160991875000019E-2</v>
      </c>
      <c r="F40" s="177"/>
      <c r="G40" s="353" t="s">
        <v>125</v>
      </c>
      <c r="H40" s="354">
        <v>0.84</v>
      </c>
      <c r="I40" s="142">
        <f>'Fatores de Emissão'!F63</f>
        <v>8.2966089965397907E-2</v>
      </c>
      <c r="J40" s="143">
        <f>H40*I40</f>
        <v>6.969151557093424E-2</v>
      </c>
      <c r="K40" s="177"/>
      <c r="L40" s="177"/>
      <c r="M40" s="177"/>
      <c r="N40" s="177"/>
      <c r="O40" s="177"/>
    </row>
    <row r="41" spans="1:15" s="175" customFormat="1" ht="30" customHeight="1" x14ac:dyDescent="0.2">
      <c r="B41" s="176" t="s">
        <v>227</v>
      </c>
      <c r="C41" s="178">
        <v>0.38</v>
      </c>
      <c r="D41" s="180">
        <f>'Fatores de Emissão'!E93</f>
        <v>0.12633856874999999</v>
      </c>
      <c r="E41" s="181">
        <f t="shared" si="2"/>
        <v>4.8008656125E-2</v>
      </c>
      <c r="F41" s="177"/>
      <c r="G41" s="353" t="s">
        <v>89</v>
      </c>
      <c r="H41" s="354">
        <v>0.16</v>
      </c>
      <c r="I41" s="142">
        <f>'Fatores de Emissão'!F68</f>
        <v>9.2725951557093414E-2</v>
      </c>
      <c r="J41" s="143">
        <f>H41*I41</f>
        <v>1.4836152249134947E-2</v>
      </c>
      <c r="K41" s="177"/>
      <c r="L41" s="177"/>
      <c r="M41" s="177"/>
      <c r="N41" s="177"/>
      <c r="O41" s="177"/>
    </row>
    <row r="42" spans="1:15" s="175" customFormat="1" ht="30" customHeight="1" x14ac:dyDescent="0.2">
      <c r="B42" s="176" t="s">
        <v>230</v>
      </c>
      <c r="C42" s="178">
        <v>0.01</v>
      </c>
      <c r="D42" s="180">
        <f>'Fatores de Emissão'!E102</f>
        <v>0.119959</v>
      </c>
      <c r="E42" s="181">
        <f t="shared" si="2"/>
        <v>1.1995899999999999E-3</v>
      </c>
      <c r="F42" s="177"/>
      <c r="G42" s="353" t="s">
        <v>246</v>
      </c>
      <c r="H42" s="355"/>
      <c r="I42" s="142"/>
      <c r="J42" s="143">
        <f>SUM(J36:J41)</f>
        <v>8.452766782006918E-2</v>
      </c>
      <c r="K42" s="177"/>
      <c r="L42" s="177"/>
      <c r="M42" s="177"/>
      <c r="N42" s="177"/>
      <c r="O42" s="177"/>
    </row>
    <row r="43" spans="1:15" s="175" customFormat="1" ht="30" customHeight="1" x14ac:dyDescent="0.2">
      <c r="B43" s="176" t="s">
        <v>255</v>
      </c>
      <c r="C43" s="178">
        <v>0.02</v>
      </c>
      <c r="D43" s="180">
        <f>'Fatores de Emissão'!E9</f>
        <v>1.3839724576271188E-2</v>
      </c>
      <c r="E43" s="181">
        <f t="shared" si="2"/>
        <v>2.7679449152542379E-4</v>
      </c>
      <c r="F43" s="177"/>
      <c r="G43" s="177"/>
      <c r="H43" s="177"/>
      <c r="I43" s="177"/>
      <c r="J43" s="177"/>
      <c r="K43" s="177"/>
      <c r="L43" s="177"/>
      <c r="M43" s="177"/>
      <c r="N43" s="177"/>
      <c r="O43" s="177"/>
    </row>
    <row r="44" spans="1:15" s="175" customFormat="1" ht="30" customHeight="1" x14ac:dyDescent="0.2">
      <c r="B44" s="176" t="s">
        <v>254</v>
      </c>
      <c r="C44" s="178">
        <v>0.02</v>
      </c>
      <c r="D44" s="180">
        <f>'Fatores de Emissão'!E96</f>
        <v>8.0156249999999998E-2</v>
      </c>
      <c r="E44" s="181">
        <f t="shared" si="2"/>
        <v>1.6031249999999999E-3</v>
      </c>
      <c r="F44" s="177"/>
      <c r="G44" s="177"/>
      <c r="H44" s="177"/>
      <c r="I44" s="177"/>
      <c r="J44" s="177"/>
      <c r="K44" s="177"/>
      <c r="L44" s="177"/>
      <c r="M44" s="177"/>
      <c r="N44" s="177"/>
      <c r="O44" s="177"/>
    </row>
    <row r="45" spans="1:15" s="175" customFormat="1" ht="30" customHeight="1" x14ac:dyDescent="0.2">
      <c r="B45" s="176" t="s">
        <v>260</v>
      </c>
      <c r="C45" s="178">
        <v>0.02</v>
      </c>
      <c r="D45" s="180">
        <f>'Fatores de Emissão'!E10</f>
        <v>4.4243290960451981E-3</v>
      </c>
      <c r="E45" s="181">
        <f t="shared" si="2"/>
        <v>8.8486581920903967E-5</v>
      </c>
      <c r="F45" s="177"/>
      <c r="G45" s="188" t="s">
        <v>263</v>
      </c>
      <c r="H45" s="186" t="s">
        <v>9</v>
      </c>
      <c r="I45" s="177"/>
      <c r="J45" s="177"/>
      <c r="K45" s="177"/>
      <c r="L45" s="177"/>
      <c r="M45" s="177"/>
      <c r="N45" s="177"/>
      <c r="O45" s="177"/>
    </row>
    <row r="46" spans="1:15" s="175" customFormat="1" ht="30" customHeight="1" x14ac:dyDescent="0.2">
      <c r="B46" s="182" t="s">
        <v>246</v>
      </c>
      <c r="C46" s="183"/>
      <c r="D46" s="184"/>
      <c r="E46" s="185">
        <f>SUM(E40:E45)</f>
        <v>0.11733764407344634</v>
      </c>
      <c r="F46" s="177"/>
      <c r="G46" s="187" t="s">
        <v>205</v>
      </c>
      <c r="H46" s="177" t="e">
        <f>VLOOKUP($C$10,FAListas!$C$20:$D$28,2,FALSE)</f>
        <v>#N/A</v>
      </c>
      <c r="I46" s="177"/>
      <c r="J46" s="177"/>
      <c r="K46" s="177"/>
      <c r="L46" s="177"/>
      <c r="M46" s="177"/>
      <c r="N46" s="177"/>
      <c r="O46" s="177"/>
    </row>
    <row r="47" spans="1:15" s="175" customFormat="1" ht="30" customHeight="1" x14ac:dyDescent="0.2">
      <c r="D47" s="177"/>
      <c r="E47" s="177"/>
      <c r="F47" s="177"/>
      <c r="G47" s="204"/>
      <c r="H47" s="205"/>
      <c r="I47" s="177"/>
      <c r="J47" s="177"/>
      <c r="K47" s="177"/>
      <c r="L47" s="177"/>
      <c r="M47" s="177"/>
      <c r="N47" s="177"/>
      <c r="O47" s="177"/>
    </row>
    <row r="48" spans="1:15" s="175" customFormat="1" ht="30" customHeight="1" x14ac:dyDescent="0.2">
      <c r="D48" s="177"/>
      <c r="E48" s="177"/>
      <c r="F48" s="177"/>
      <c r="G48" s="187" t="s">
        <v>154</v>
      </c>
      <c r="H48" s="177">
        <f>'Fatores de Emissão'!E47</f>
        <v>8.9999999999999993E-3</v>
      </c>
      <c r="I48" s="177"/>
      <c r="J48" s="177"/>
      <c r="K48" s="177"/>
      <c r="L48" s="177"/>
      <c r="M48" s="177"/>
      <c r="N48" s="177"/>
      <c r="O48" s="177"/>
    </row>
    <row r="49" spans="1:18" s="175" customFormat="1" ht="30" customHeight="1" x14ac:dyDescent="0.2">
      <c r="D49" s="177"/>
      <c r="E49" s="177"/>
      <c r="F49" s="177"/>
      <c r="G49" s="187" t="s">
        <v>110</v>
      </c>
      <c r="H49" s="177">
        <v>0</v>
      </c>
      <c r="I49" s="177"/>
      <c r="J49" s="177"/>
      <c r="K49" s="177"/>
      <c r="L49" s="177"/>
      <c r="M49" s="177"/>
      <c r="N49" s="177"/>
      <c r="O49" s="177"/>
    </row>
    <row r="50" spans="1:18" s="175" customFormat="1" ht="30" customHeight="1" x14ac:dyDescent="0.2">
      <c r="D50" s="177"/>
      <c r="E50" s="177"/>
      <c r="F50" s="177"/>
      <c r="G50" s="187"/>
      <c r="H50" s="177"/>
      <c r="I50" s="177"/>
      <c r="J50" s="177"/>
      <c r="K50" s="177"/>
      <c r="L50" s="177"/>
      <c r="M50" s="177"/>
      <c r="N50" s="177"/>
      <c r="O50" s="177"/>
    </row>
    <row r="51" spans="1:18" s="175" customFormat="1" ht="30" customHeight="1" x14ac:dyDescent="0.2">
      <c r="D51" s="177"/>
      <c r="E51" s="177"/>
      <c r="F51" s="177"/>
      <c r="G51" s="187"/>
      <c r="H51" s="177"/>
      <c r="I51" s="177"/>
      <c r="J51" s="177"/>
      <c r="K51" s="177"/>
      <c r="L51" s="177"/>
      <c r="M51" s="177"/>
      <c r="N51" s="177"/>
      <c r="O51" s="177"/>
    </row>
    <row r="52" spans="1:18" s="175" customFormat="1" ht="30" customHeight="1" x14ac:dyDescent="0.5">
      <c r="D52" s="177"/>
      <c r="E52" s="177"/>
      <c r="F52" s="249"/>
      <c r="L52" s="249"/>
      <c r="N52" s="177"/>
      <c r="O52" s="249"/>
      <c r="P52" s="177"/>
      <c r="Q52" s="177"/>
      <c r="R52" s="177"/>
    </row>
    <row r="53" spans="1:18" s="123" customFormat="1" ht="30" customHeight="1" x14ac:dyDescent="0.2">
      <c r="D53" s="209"/>
      <c r="E53" s="124"/>
      <c r="F53" s="124"/>
      <c r="G53" s="124"/>
      <c r="H53" s="124"/>
      <c r="N53" s="209"/>
      <c r="O53" s="124"/>
      <c r="P53" s="124"/>
      <c r="Q53" s="124"/>
      <c r="R53" s="124"/>
    </row>
    <row r="54" spans="1:18" s="123" customFormat="1" ht="49.9" customHeight="1" x14ac:dyDescent="0.2">
      <c r="A54" s="348"/>
      <c r="B54" s="108" t="s">
        <v>264</v>
      </c>
      <c r="C54" s="151"/>
      <c r="D54" s="108" t="s">
        <v>386</v>
      </c>
      <c r="E54" s="108" t="s">
        <v>387</v>
      </c>
      <c r="F54" s="108" t="s">
        <v>388</v>
      </c>
      <c r="G54" s="108" t="s">
        <v>389</v>
      </c>
      <c r="H54" s="108" t="s">
        <v>390</v>
      </c>
      <c r="I54" s="108" t="s">
        <v>391</v>
      </c>
      <c r="J54" s="101"/>
      <c r="K54" s="101"/>
      <c r="L54" s="101"/>
      <c r="M54" s="101"/>
      <c r="N54" s="101"/>
      <c r="O54" s="101"/>
      <c r="P54" s="101"/>
      <c r="Q54" s="101"/>
      <c r="R54" s="101"/>
    </row>
    <row r="55" spans="1:18" s="123" customFormat="1" ht="30" customHeight="1" x14ac:dyDescent="0.2">
      <c r="A55" s="349"/>
      <c r="B55" s="266" t="s">
        <v>262</v>
      </c>
      <c r="C55" s="153"/>
      <c r="D55" s="148">
        <f>IFERROR(TM2_rodovia!E78/100,"0")</f>
        <v>0</v>
      </c>
      <c r="E55" s="148">
        <f>IFERROR(TM2_rodovia!E84/100,"0")</f>
        <v>0</v>
      </c>
      <c r="F55" s="148">
        <f>IFERROR(TM2_rodovia!E90/100,"0")</f>
        <v>0</v>
      </c>
      <c r="G55" s="148">
        <f>IFERROR(TM2_rodovia!E96/100,"0")</f>
        <v>0</v>
      </c>
      <c r="H55" s="148">
        <f>IFERROR(TM2_rodovia!E102/100,"0")</f>
        <v>0</v>
      </c>
      <c r="I55" s="253">
        <f>IFERROR(TM2_rodovia!E108/100,"0")</f>
        <v>0</v>
      </c>
      <c r="J55" s="157"/>
      <c r="K55" s="157"/>
      <c r="L55" s="157"/>
      <c r="M55" s="157"/>
      <c r="N55" s="157"/>
      <c r="O55" s="157"/>
      <c r="P55" s="349"/>
      <c r="Q55" s="349"/>
      <c r="R55" s="349"/>
    </row>
    <row r="56" spans="1:18" s="123" customFormat="1" ht="30" customHeight="1" x14ac:dyDescent="0.2">
      <c r="A56" s="349"/>
      <c r="B56" s="266" t="s">
        <v>205</v>
      </c>
      <c r="C56" s="153"/>
      <c r="D56" s="148">
        <f>IFERROR(TM2_rodovia!E79/100,"0")</f>
        <v>0</v>
      </c>
      <c r="E56" s="148">
        <f>IFERROR(TM2_rodovia!E85/100,"0")</f>
        <v>0</v>
      </c>
      <c r="F56" s="148">
        <f>IFERROR(TM2_rodovia!E91/100,"0")</f>
        <v>0</v>
      </c>
      <c r="G56" s="148">
        <f>IFERROR(TM2_rodovia!E97/100,"0")</f>
        <v>0</v>
      </c>
      <c r="H56" s="148">
        <f>IFERROR(TM2_rodovia!E103/100,"0")</f>
        <v>0</v>
      </c>
      <c r="I56" s="253">
        <f>IFERROR(TM2_rodovia!E109/100,"0")</f>
        <v>0</v>
      </c>
      <c r="J56" s="157"/>
      <c r="K56" s="157"/>
      <c r="L56" s="157"/>
      <c r="M56" s="157"/>
      <c r="N56" s="157"/>
      <c r="O56" s="157"/>
      <c r="P56" s="349"/>
      <c r="Q56" s="349"/>
      <c r="R56" s="349"/>
    </row>
    <row r="57" spans="1:18" s="123" customFormat="1" ht="30" customHeight="1" x14ac:dyDescent="0.2">
      <c r="A57" s="349"/>
      <c r="B57" s="266" t="s">
        <v>154</v>
      </c>
      <c r="C57" s="153"/>
      <c r="D57" s="148">
        <f>IFERROR(TM2_rodovia!E80/100,"0")</f>
        <v>0</v>
      </c>
      <c r="E57" s="148">
        <f>IFERROR(TM2_rodovia!E86/100,"0")</f>
        <v>0</v>
      </c>
      <c r="F57" s="148">
        <f>IFERROR(TM2_rodovia!E92/100,"0")</f>
        <v>0</v>
      </c>
      <c r="G57" s="148">
        <f>IFERROR(TM2_rodovia!E98/100,"0")</f>
        <v>0</v>
      </c>
      <c r="H57" s="148">
        <f>IFERROR(TM2_rodovia!E104/100,"0")</f>
        <v>0</v>
      </c>
      <c r="I57" s="253">
        <f>IFERROR(TM2_rodovia!E110/100,"0")</f>
        <v>0</v>
      </c>
      <c r="J57" s="157"/>
      <c r="K57" s="157"/>
      <c r="L57" s="157"/>
      <c r="M57" s="157"/>
      <c r="N57" s="157"/>
      <c r="O57" s="157"/>
      <c r="P57" s="349"/>
      <c r="Q57" s="349"/>
      <c r="R57" s="349"/>
    </row>
    <row r="58" spans="1:18" s="123" customFormat="1" ht="30" customHeight="1" x14ac:dyDescent="0.2">
      <c r="A58" s="349"/>
      <c r="B58" s="266" t="s">
        <v>110</v>
      </c>
      <c r="C58" s="153"/>
      <c r="D58" s="148">
        <f>IFERROR(TM2_rodovia!E81/100,"0")</f>
        <v>0</v>
      </c>
      <c r="E58" s="148">
        <f>IFERROR(TM2_rodovia!E87/100,"0")</f>
        <v>0</v>
      </c>
      <c r="F58" s="148">
        <f>IFERROR(TM2_rodovia!E93/100,"0")</f>
        <v>0</v>
      </c>
      <c r="G58" s="148">
        <f>IFERROR(TM2_rodovia!E99/100,"0")</f>
        <v>0</v>
      </c>
      <c r="H58" s="148">
        <f>IFERROR(TM2_rodovia!E105/100,"0")</f>
        <v>0</v>
      </c>
      <c r="I58" s="253">
        <f>IFERROR(TM2_rodovia!E111/100,"0")</f>
        <v>0</v>
      </c>
      <c r="J58" s="157"/>
      <c r="K58" s="157"/>
      <c r="L58" s="157"/>
      <c r="M58" s="157"/>
      <c r="N58" s="157"/>
      <c r="O58" s="157"/>
      <c r="P58" s="349"/>
      <c r="Q58" s="349"/>
      <c r="R58" s="349"/>
    </row>
    <row r="59" spans="1:18" s="123" customFormat="1" ht="30" customHeight="1" x14ac:dyDescent="0.2">
      <c r="B59" s="252"/>
      <c r="C59" s="153"/>
      <c r="D59" s="253"/>
      <c r="E59" s="253"/>
      <c r="F59" s="253"/>
      <c r="G59" s="253"/>
      <c r="H59" s="253"/>
      <c r="I59" s="252"/>
      <c r="J59" s="141"/>
      <c r="K59" s="141"/>
      <c r="L59" s="141"/>
      <c r="M59" s="141"/>
      <c r="N59" s="124"/>
      <c r="O59" s="124"/>
    </row>
    <row r="60" spans="1:18" s="123" customFormat="1" ht="68.45" customHeight="1" x14ac:dyDescent="0.2">
      <c r="B60" s="171" t="s">
        <v>393</v>
      </c>
      <c r="C60" s="172"/>
      <c r="D60" s="108" t="s">
        <v>399</v>
      </c>
      <c r="E60" s="108" t="s">
        <v>398</v>
      </c>
      <c r="F60" s="108" t="s">
        <v>397</v>
      </c>
      <c r="G60" s="108" t="s">
        <v>396</v>
      </c>
      <c r="H60" s="108" t="s">
        <v>394</v>
      </c>
      <c r="I60" s="108" t="s">
        <v>395</v>
      </c>
      <c r="J60" s="101"/>
      <c r="K60" s="101"/>
      <c r="L60" s="101"/>
      <c r="M60" s="101"/>
      <c r="N60" s="101"/>
      <c r="O60" s="101"/>
    </row>
    <row r="61" spans="1:18" s="123" customFormat="1" ht="30" customHeight="1" x14ac:dyDescent="0.2">
      <c r="B61" s="144" t="s">
        <v>262</v>
      </c>
      <c r="C61" s="146"/>
      <c r="D61" s="144">
        <f>IFERROR($G$11*D55,"0")</f>
        <v>0</v>
      </c>
      <c r="E61" s="144">
        <f>IFERROR($G$12*E55,"0")</f>
        <v>0</v>
      </c>
      <c r="F61" s="144">
        <f>IFERROR($G$13*F55,"0")</f>
        <v>0</v>
      </c>
      <c r="G61" s="144">
        <f>IFERROR($G$14*G55,"0")</f>
        <v>0</v>
      </c>
      <c r="H61" s="144">
        <f>IFERROR($G$15*H55,"0")</f>
        <v>0</v>
      </c>
      <c r="I61" s="252">
        <f>IFERROR($G$16*I55,"0")</f>
        <v>0</v>
      </c>
      <c r="J61" s="141"/>
      <c r="K61" s="141"/>
      <c r="L61" s="141"/>
      <c r="M61" s="141"/>
      <c r="N61" s="141"/>
      <c r="O61" s="141"/>
    </row>
    <row r="62" spans="1:18" s="123" customFormat="1" ht="30" customHeight="1" x14ac:dyDescent="0.2">
      <c r="B62" s="144" t="s">
        <v>205</v>
      </c>
      <c r="C62" s="149"/>
      <c r="D62" s="144">
        <f>IFERROR($G$11*D56,"0")</f>
        <v>0</v>
      </c>
      <c r="E62" s="144">
        <f>IFERROR($G$12*E56,"0")</f>
        <v>0</v>
      </c>
      <c r="F62" s="144">
        <f>IFERROR($G$13*F56,"0")</f>
        <v>0</v>
      </c>
      <c r="G62" s="144">
        <f>IFERROR($G$14*G56,"0")</f>
        <v>0</v>
      </c>
      <c r="H62" s="144">
        <f>IFERROR($G$15*H56,"0")</f>
        <v>0</v>
      </c>
      <c r="I62" s="252">
        <f>IFERROR($G$16*I56,"0")</f>
        <v>0</v>
      </c>
      <c r="J62" s="141"/>
      <c r="K62" s="141"/>
      <c r="L62" s="141"/>
      <c r="M62" s="141"/>
      <c r="N62" s="141"/>
      <c r="O62" s="141"/>
    </row>
    <row r="63" spans="1:18" s="123" customFormat="1" ht="30" customHeight="1" x14ac:dyDescent="0.2">
      <c r="B63" s="144" t="s">
        <v>154</v>
      </c>
      <c r="C63" s="149"/>
      <c r="D63" s="144">
        <f>IFERROR($G$11*D57,"0")</f>
        <v>0</v>
      </c>
      <c r="E63" s="144">
        <f>IFERROR($G$12*E57,"0")</f>
        <v>0</v>
      </c>
      <c r="F63" s="144">
        <f>IFERROR($G$13*F57,"0")</f>
        <v>0</v>
      </c>
      <c r="G63" s="144">
        <f>IFERROR($G$14*G57,"0")</f>
        <v>0</v>
      </c>
      <c r="H63" s="144">
        <f>IFERROR($G$15*H57,"0")</f>
        <v>0</v>
      </c>
      <c r="I63" s="252">
        <f>IFERROR($G$16*I57,"0")</f>
        <v>0</v>
      </c>
      <c r="J63" s="141"/>
      <c r="K63" s="141"/>
      <c r="L63" s="141"/>
      <c r="M63" s="141"/>
      <c r="N63" s="141"/>
      <c r="O63" s="141"/>
    </row>
    <row r="64" spans="1:18" s="123" customFormat="1" ht="30" customHeight="1" x14ac:dyDescent="0.2">
      <c r="B64" s="144" t="s">
        <v>307</v>
      </c>
      <c r="C64" s="149"/>
      <c r="D64" s="144">
        <f>IFERROR($G$11*D58,"0")</f>
        <v>0</v>
      </c>
      <c r="E64" s="144">
        <f>IFERROR($G$12*E58,"0")</f>
        <v>0</v>
      </c>
      <c r="F64" s="144">
        <f>IFERROR($G$13*F58,"0")</f>
        <v>0</v>
      </c>
      <c r="G64" s="144">
        <f>IFERROR($G$14*G58,"0")</f>
        <v>0</v>
      </c>
      <c r="H64" s="144">
        <f>IFERROR($G$15*H58,"0")</f>
        <v>0</v>
      </c>
      <c r="I64" s="252">
        <f>IFERROR($G$16*I58,"0")</f>
        <v>0</v>
      </c>
      <c r="J64" s="141"/>
      <c r="K64" s="141"/>
      <c r="L64" s="141"/>
      <c r="M64" s="141"/>
      <c r="N64" s="141"/>
      <c r="O64" s="141"/>
    </row>
    <row r="65" spans="1:15" s="123" customFormat="1" ht="30" customHeight="1" x14ac:dyDescent="0.2">
      <c r="B65" s="156"/>
      <c r="C65" s="149"/>
      <c r="D65" s="124"/>
      <c r="E65" s="124"/>
      <c r="F65" s="124"/>
      <c r="G65" s="124"/>
      <c r="H65" s="124"/>
      <c r="I65" s="124"/>
      <c r="J65" s="124"/>
      <c r="K65" s="124"/>
      <c r="L65" s="124"/>
      <c r="M65" s="124"/>
      <c r="N65" s="124"/>
      <c r="O65" s="124"/>
    </row>
    <row r="66" spans="1:15" s="123" customFormat="1" ht="60" customHeight="1" x14ac:dyDescent="0.2">
      <c r="B66" s="154" t="s">
        <v>292</v>
      </c>
      <c r="C66" s="155"/>
      <c r="D66" s="108" t="s">
        <v>399</v>
      </c>
      <c r="E66" s="108" t="s">
        <v>398</v>
      </c>
      <c r="F66" s="108" t="s">
        <v>397</v>
      </c>
      <c r="G66" s="108" t="s">
        <v>396</v>
      </c>
      <c r="H66" s="108" t="s">
        <v>394</v>
      </c>
      <c r="I66" s="108" t="s">
        <v>395</v>
      </c>
      <c r="J66" s="101"/>
      <c r="K66" s="101"/>
      <c r="L66" s="101"/>
      <c r="M66" s="101"/>
      <c r="N66" s="101"/>
      <c r="O66" s="101"/>
    </row>
    <row r="67" spans="1:15" s="123" customFormat="1" ht="30" customHeight="1" x14ac:dyDescent="0.2">
      <c r="B67" s="144" t="s">
        <v>262</v>
      </c>
      <c r="C67" s="150"/>
      <c r="D67" s="157">
        <f t="shared" ref="D67:I67" si="3">(D61*$E$46/1000)</f>
        <v>0</v>
      </c>
      <c r="E67" s="157">
        <f t="shared" si="3"/>
        <v>0</v>
      </c>
      <c r="F67" s="157">
        <f t="shared" si="3"/>
        <v>0</v>
      </c>
      <c r="G67" s="157">
        <f t="shared" si="3"/>
        <v>0</v>
      </c>
      <c r="H67" s="157">
        <f t="shared" si="3"/>
        <v>0</v>
      </c>
      <c r="I67" s="157">
        <f t="shared" si="3"/>
        <v>0</v>
      </c>
      <c r="J67" s="157"/>
      <c r="K67" s="157"/>
      <c r="L67" s="157"/>
      <c r="M67" s="157"/>
      <c r="N67" s="157"/>
      <c r="O67" s="157"/>
    </row>
    <row r="68" spans="1:15" s="123" customFormat="1" ht="30" customHeight="1" x14ac:dyDescent="0.2">
      <c r="A68" s="158"/>
      <c r="B68" s="144" t="s">
        <v>205</v>
      </c>
      <c r="C68" s="150"/>
      <c r="D68" s="157" t="e">
        <f t="shared" ref="D68:I68" si="4">(D62*$H$46/1000)</f>
        <v>#N/A</v>
      </c>
      <c r="E68" s="157" t="e">
        <f t="shared" si="4"/>
        <v>#N/A</v>
      </c>
      <c r="F68" s="157" t="e">
        <f t="shared" si="4"/>
        <v>#N/A</v>
      </c>
      <c r="G68" s="157" t="e">
        <f t="shared" si="4"/>
        <v>#N/A</v>
      </c>
      <c r="H68" s="157" t="e">
        <f t="shared" si="4"/>
        <v>#N/A</v>
      </c>
      <c r="I68" s="157" t="e">
        <f t="shared" si="4"/>
        <v>#N/A</v>
      </c>
      <c r="J68" s="157"/>
      <c r="K68" s="157"/>
      <c r="L68" s="157"/>
      <c r="M68" s="157"/>
      <c r="N68" s="157"/>
      <c r="O68" s="157"/>
    </row>
    <row r="69" spans="1:15" s="123" customFormat="1" ht="30" customHeight="1" x14ac:dyDescent="0.2">
      <c r="B69" s="144" t="s">
        <v>154</v>
      </c>
      <c r="C69" s="150"/>
      <c r="D69" s="157">
        <f t="shared" ref="D69:I69" si="5">(D63*$H$48/1000)</f>
        <v>0</v>
      </c>
      <c r="E69" s="157">
        <f t="shared" si="5"/>
        <v>0</v>
      </c>
      <c r="F69" s="157">
        <f t="shared" si="5"/>
        <v>0</v>
      </c>
      <c r="G69" s="157">
        <f t="shared" si="5"/>
        <v>0</v>
      </c>
      <c r="H69" s="157">
        <f t="shared" si="5"/>
        <v>0</v>
      </c>
      <c r="I69" s="157">
        <f t="shared" si="5"/>
        <v>0</v>
      </c>
      <c r="J69" s="157"/>
      <c r="K69" s="157"/>
      <c r="L69" s="157"/>
      <c r="M69" s="157"/>
      <c r="N69" s="157"/>
      <c r="O69" s="157"/>
    </row>
    <row r="70" spans="1:15" s="123" customFormat="1" ht="30" customHeight="1" x14ac:dyDescent="0.2">
      <c r="B70" s="156" t="s">
        <v>307</v>
      </c>
      <c r="C70" s="150"/>
      <c r="D70" s="157">
        <f t="shared" ref="D70:I70" si="6">(D64*$H$49/1000)</f>
        <v>0</v>
      </c>
      <c r="E70" s="157">
        <f t="shared" si="6"/>
        <v>0</v>
      </c>
      <c r="F70" s="157">
        <f t="shared" si="6"/>
        <v>0</v>
      </c>
      <c r="G70" s="157">
        <f t="shared" si="6"/>
        <v>0</v>
      </c>
      <c r="H70" s="157">
        <f t="shared" si="6"/>
        <v>0</v>
      </c>
      <c r="I70" s="157">
        <f t="shared" si="6"/>
        <v>0</v>
      </c>
      <c r="J70" s="157"/>
      <c r="K70" s="157"/>
      <c r="L70" s="157"/>
      <c r="M70" s="157"/>
      <c r="N70" s="157"/>
      <c r="O70" s="157"/>
    </row>
    <row r="71" spans="1:15" ht="30" customHeight="1" x14ac:dyDescent="0.25">
      <c r="B71" s="250" t="s">
        <v>5</v>
      </c>
      <c r="C71" s="173"/>
      <c r="D71" s="174" t="e">
        <f t="shared" ref="D71:H71" si="7">SUM(D67:D70)</f>
        <v>#N/A</v>
      </c>
      <c r="E71" s="174" t="e">
        <f t="shared" si="7"/>
        <v>#N/A</v>
      </c>
      <c r="F71" s="174" t="e">
        <f t="shared" si="7"/>
        <v>#N/A</v>
      </c>
      <c r="G71" s="174" t="e">
        <f t="shared" si="7"/>
        <v>#N/A</v>
      </c>
      <c r="H71" s="174" t="e">
        <f t="shared" si="7"/>
        <v>#N/A</v>
      </c>
      <c r="I71" s="174" t="e">
        <f>SUM(I67:I70)</f>
        <v>#N/A</v>
      </c>
      <c r="J71" s="189"/>
      <c r="K71" s="189"/>
      <c r="L71" s="189"/>
      <c r="M71" s="189"/>
      <c r="N71" s="189"/>
      <c r="O71" s="189"/>
    </row>
    <row r="72" spans="1:15" ht="48" customHeight="1" x14ac:dyDescent="0.25">
      <c r="B72" s="3"/>
      <c r="C72" s="3"/>
      <c r="D72" s="189"/>
      <c r="E72" s="189"/>
      <c r="F72" s="268" t="s">
        <v>911</v>
      </c>
      <c r="G72" s="269" t="e">
        <f>SUM(D71:I71)</f>
        <v>#N/A</v>
      </c>
      <c r="H72" s="124"/>
      <c r="I72" s="189"/>
      <c r="J72" s="189"/>
      <c r="K72" s="1516"/>
      <c r="L72" s="1516"/>
      <c r="M72" s="361"/>
    </row>
    <row r="73" spans="1:15" ht="30" customHeight="1" x14ac:dyDescent="0.25">
      <c r="B73" s="3"/>
      <c r="C73" s="3"/>
      <c r="D73" s="189"/>
      <c r="E73" s="189"/>
      <c r="F73" s="189"/>
      <c r="G73" s="189"/>
      <c r="H73" s="124"/>
      <c r="I73" s="189"/>
      <c r="J73" s="189"/>
      <c r="K73" s="189"/>
      <c r="L73" s="189"/>
      <c r="M73" s="189"/>
    </row>
    <row r="74" spans="1:15" ht="30" customHeight="1" x14ac:dyDescent="0.25">
      <c r="B74" s="3"/>
      <c r="C74" s="3"/>
      <c r="D74" s="189"/>
      <c r="E74" s="189"/>
      <c r="F74" s="189"/>
      <c r="G74" s="189"/>
      <c r="H74" s="124"/>
      <c r="I74" s="189"/>
      <c r="J74" s="189"/>
      <c r="K74" s="189"/>
      <c r="L74" s="189"/>
      <c r="M74" s="189"/>
    </row>
    <row r="75" spans="1:15" s="190" customFormat="1" ht="70.150000000000006" customHeight="1" x14ac:dyDescent="0.35">
      <c r="B75" s="193" t="s">
        <v>910</v>
      </c>
      <c r="C75" s="191" t="e">
        <f>G72+G102</f>
        <v>#N/A</v>
      </c>
      <c r="D75" s="191"/>
      <c r="E75" s="191"/>
      <c r="F75" s="191"/>
      <c r="G75" s="1515"/>
      <c r="H75" s="1515"/>
      <c r="I75" s="191"/>
      <c r="J75" s="191"/>
      <c r="K75" s="191"/>
      <c r="L75" s="191"/>
      <c r="M75" s="191"/>
      <c r="N75" s="192"/>
      <c r="O75" s="192"/>
    </row>
    <row r="76" spans="1:15" s="194" customFormat="1" ht="30" customHeight="1" x14ac:dyDescent="0.35">
      <c r="B76" s="195"/>
      <c r="C76" s="196"/>
      <c r="D76" s="196"/>
      <c r="E76" s="196"/>
      <c r="F76" s="196"/>
      <c r="G76" s="196"/>
      <c r="H76" s="197"/>
      <c r="I76" s="196"/>
      <c r="J76" s="196"/>
      <c r="K76" s="196"/>
      <c r="L76" s="196"/>
      <c r="M76" s="196"/>
      <c r="N76" s="197"/>
      <c r="O76" s="197"/>
    </row>
    <row r="77" spans="1:15" s="198" customFormat="1" ht="30" customHeight="1" x14ac:dyDescent="0.25">
      <c r="B77" s="202" t="s">
        <v>936</v>
      </c>
      <c r="C77" s="199"/>
      <c r="D77" s="200"/>
      <c r="E77" s="200"/>
      <c r="F77" s="200"/>
      <c r="G77" s="200"/>
      <c r="H77" s="201"/>
      <c r="I77" s="200"/>
      <c r="J77" s="200"/>
      <c r="K77" s="200"/>
      <c r="L77" s="200"/>
      <c r="M77" s="200"/>
      <c r="N77" s="201"/>
      <c r="O77" s="201"/>
    </row>
    <row r="78" spans="1:15" ht="30" customHeight="1" x14ac:dyDescent="0.25">
      <c r="B78" s="3"/>
      <c r="C78" s="3"/>
      <c r="D78" s="189"/>
      <c r="E78" s="189"/>
      <c r="F78" s="189"/>
      <c r="G78" s="189"/>
      <c r="I78" s="189"/>
      <c r="J78" s="189"/>
      <c r="K78" s="189"/>
      <c r="L78" s="189"/>
      <c r="M78" s="189"/>
    </row>
    <row r="79" spans="1:15" ht="30" customHeight="1" x14ac:dyDescent="0.25">
      <c r="B79" s="176" t="s">
        <v>252</v>
      </c>
      <c r="C79" s="175"/>
      <c r="D79" s="177"/>
      <c r="E79" s="177"/>
      <c r="F79" s="177"/>
      <c r="G79" s="177"/>
      <c r="H79" s="177"/>
      <c r="I79" s="177"/>
      <c r="J79" s="177"/>
      <c r="K79" s="189"/>
      <c r="L79" s="189"/>
      <c r="M79" s="189"/>
    </row>
    <row r="80" spans="1:15" ht="30" customHeight="1" x14ac:dyDescent="0.25">
      <c r="B80" s="176"/>
      <c r="C80" s="175"/>
      <c r="D80" s="177"/>
      <c r="E80" s="177"/>
      <c r="F80" s="177"/>
      <c r="G80" s="177"/>
      <c r="H80" s="177"/>
      <c r="I80" s="177"/>
      <c r="J80" s="177"/>
      <c r="K80" s="189"/>
      <c r="L80" s="189"/>
      <c r="M80" s="189"/>
    </row>
    <row r="81" spans="2:15" ht="30" customHeight="1" x14ac:dyDescent="0.25">
      <c r="B81" s="120" t="s">
        <v>253</v>
      </c>
      <c r="C81" s="179" t="s">
        <v>77</v>
      </c>
      <c r="D81" s="122" t="s">
        <v>880</v>
      </c>
      <c r="E81" s="122" t="s">
        <v>256</v>
      </c>
      <c r="F81" s="177"/>
      <c r="G81" s="353" t="s">
        <v>258</v>
      </c>
      <c r="H81" s="354" t="s">
        <v>77</v>
      </c>
      <c r="I81" s="142" t="s">
        <v>259</v>
      </c>
      <c r="J81" s="142" t="s">
        <v>256</v>
      </c>
      <c r="K81" s="189"/>
      <c r="L81" s="189"/>
      <c r="M81" s="189"/>
    </row>
    <row r="82" spans="2:15" ht="30" customHeight="1" x14ac:dyDescent="0.25">
      <c r="B82" s="176" t="s">
        <v>125</v>
      </c>
      <c r="C82" s="178">
        <v>0.55000000000000004</v>
      </c>
      <c r="D82" s="180">
        <f>'Fatores de Emissão'!$I$99</f>
        <v>3.0562499999999999E-2</v>
      </c>
      <c r="E82" s="181">
        <f t="shared" ref="E82:E87" si="8">C82*D82</f>
        <v>1.6809375000000001E-2</v>
      </c>
      <c r="F82" s="177"/>
      <c r="G82" s="353" t="s">
        <v>125</v>
      </c>
      <c r="H82" s="354">
        <v>0.84</v>
      </c>
      <c r="I82" s="142">
        <f>'Fatores de Emissão'!I63</f>
        <v>6.4276816608996538E-3</v>
      </c>
      <c r="J82" s="143">
        <f>H82*I82</f>
        <v>5.3992525951557088E-3</v>
      </c>
      <c r="K82" s="189"/>
      <c r="L82" s="189"/>
      <c r="M82" s="189"/>
    </row>
    <row r="83" spans="2:15" ht="30" customHeight="1" x14ac:dyDescent="0.25">
      <c r="B83" s="176" t="s">
        <v>227</v>
      </c>
      <c r="C83" s="178">
        <v>0.38</v>
      </c>
      <c r="D83" s="180">
        <f>'Fatores de Emissão'!$I$93</f>
        <v>3.0562499999999999E-2</v>
      </c>
      <c r="E83" s="181">
        <f t="shared" si="8"/>
        <v>1.1613749999999999E-2</v>
      </c>
      <c r="F83" s="177"/>
      <c r="G83" s="353" t="s">
        <v>89</v>
      </c>
      <c r="H83" s="354">
        <v>0.16</v>
      </c>
      <c r="I83" s="142">
        <f>'Fatores de Emissão'!I68</f>
        <v>6.2449826989619374E-3</v>
      </c>
      <c r="J83" s="143">
        <f>H83*I83</f>
        <v>9.9919723183390999E-4</v>
      </c>
      <c r="K83" s="189"/>
      <c r="L83" s="189"/>
      <c r="M83" s="189"/>
    </row>
    <row r="84" spans="2:15" ht="30" customHeight="1" x14ac:dyDescent="0.25">
      <c r="B84" s="176" t="s">
        <v>230</v>
      </c>
      <c r="C84" s="178">
        <v>0.01</v>
      </c>
      <c r="D84" s="180">
        <f>'Fatores de Emissão'!$I$102</f>
        <v>3.0562499999999999E-2</v>
      </c>
      <c r="E84" s="181">
        <f t="shared" si="8"/>
        <v>3.0562500000000002E-4</v>
      </c>
      <c r="F84" s="177"/>
      <c r="G84" s="353" t="s">
        <v>246</v>
      </c>
      <c r="H84" s="355"/>
      <c r="I84" s="142"/>
      <c r="J84" s="143">
        <f>SUM(J78:J83)</f>
        <v>6.3984498269896188E-3</v>
      </c>
      <c r="K84" s="189"/>
      <c r="L84" s="189"/>
      <c r="M84" s="189"/>
    </row>
    <row r="85" spans="2:15" ht="30" customHeight="1" x14ac:dyDescent="0.25">
      <c r="B85" s="176" t="s">
        <v>255</v>
      </c>
      <c r="C85" s="178">
        <v>0.02</v>
      </c>
      <c r="D85" s="180">
        <f>'Fatores de Emissão'!$G$9</f>
        <v>8.712499999999998E-2</v>
      </c>
      <c r="E85" s="181">
        <f t="shared" si="8"/>
        <v>1.7424999999999997E-3</v>
      </c>
      <c r="F85" s="177"/>
      <c r="G85" s="177"/>
      <c r="H85" s="177"/>
      <c r="I85" s="177"/>
      <c r="J85" s="177"/>
      <c r="K85" s="189"/>
      <c r="L85" s="189"/>
      <c r="M85" s="189"/>
    </row>
    <row r="86" spans="2:15" ht="30" customHeight="1" x14ac:dyDescent="0.25">
      <c r="B86" s="176" t="s">
        <v>254</v>
      </c>
      <c r="C86" s="178">
        <v>0.02</v>
      </c>
      <c r="D86" s="180">
        <f>'Fatores de Emissão'!$I$96</f>
        <v>3.0562499999999999E-2</v>
      </c>
      <c r="E86" s="181">
        <f t="shared" si="8"/>
        <v>6.1125000000000003E-4</v>
      </c>
      <c r="F86" s="177"/>
      <c r="G86" s="177"/>
      <c r="H86" s="177"/>
      <c r="I86" s="177"/>
      <c r="J86" s="177"/>
      <c r="K86" s="189"/>
      <c r="L86" s="189"/>
      <c r="M86" s="189"/>
    </row>
    <row r="87" spans="2:15" ht="30" customHeight="1" x14ac:dyDescent="0.25">
      <c r="B87" s="176" t="s">
        <v>260</v>
      </c>
      <c r="C87" s="178">
        <v>0.02</v>
      </c>
      <c r="D87" s="180">
        <f>'Fatores de Emissão'!$G$10</f>
        <v>4.5937499999999992E-2</v>
      </c>
      <c r="E87" s="181">
        <f t="shared" si="8"/>
        <v>9.1874999999999986E-4</v>
      </c>
      <c r="F87" s="177"/>
      <c r="G87" s="188" t="s">
        <v>263</v>
      </c>
      <c r="H87" s="186" t="s">
        <v>9</v>
      </c>
      <c r="I87" s="177"/>
      <c r="J87" s="177"/>
      <c r="K87" s="189"/>
      <c r="L87" s="189"/>
      <c r="M87" s="189"/>
    </row>
    <row r="88" spans="2:15" ht="30" customHeight="1" x14ac:dyDescent="0.25">
      <c r="B88" s="182" t="s">
        <v>246</v>
      </c>
      <c r="C88" s="183">
        <f>SUM(C82:C87)</f>
        <v>1</v>
      </c>
      <c r="D88" s="184"/>
      <c r="E88" s="185">
        <f>SUM(E82:E87)</f>
        <v>3.2001250000000002E-2</v>
      </c>
      <c r="F88" s="177"/>
      <c r="G88" s="187" t="s">
        <v>275</v>
      </c>
      <c r="H88" s="177">
        <f>'Fatores de Emissão'!G50</f>
        <v>2E-3</v>
      </c>
      <c r="I88" s="177"/>
      <c r="J88" s="177"/>
      <c r="K88" s="189"/>
      <c r="L88" s="189"/>
      <c r="M88" s="189"/>
    </row>
    <row r="89" spans="2:15" ht="30" customHeight="1" x14ac:dyDescent="0.25">
      <c r="B89" s="175"/>
      <c r="C89" s="175"/>
      <c r="D89" s="177"/>
      <c r="E89" s="177"/>
      <c r="F89" s="177"/>
      <c r="G89" s="204"/>
      <c r="H89" s="270"/>
      <c r="I89" s="177"/>
      <c r="J89" s="177"/>
      <c r="K89" s="189"/>
      <c r="L89" s="189"/>
      <c r="M89" s="189"/>
    </row>
    <row r="90" spans="2:15" ht="30" customHeight="1" x14ac:dyDescent="0.25">
      <c r="B90" s="175"/>
      <c r="C90" s="175"/>
      <c r="D90" s="177"/>
      <c r="E90" s="177"/>
      <c r="F90" s="177"/>
      <c r="G90" s="187" t="s">
        <v>154</v>
      </c>
      <c r="H90" s="177">
        <f>'Fatores de Emissão'!G47</f>
        <v>2E-3</v>
      </c>
      <c r="I90" s="177"/>
      <c r="J90" s="177"/>
      <c r="K90" s="189"/>
      <c r="L90" s="189"/>
      <c r="M90" s="189"/>
    </row>
    <row r="91" spans="2:15" ht="30" customHeight="1" x14ac:dyDescent="0.25">
      <c r="B91" s="175"/>
      <c r="C91" s="175"/>
      <c r="D91" s="177"/>
      <c r="E91" s="177"/>
      <c r="F91" s="177"/>
      <c r="G91" s="187" t="s">
        <v>110</v>
      </c>
      <c r="H91" s="177">
        <v>0</v>
      </c>
      <c r="I91" s="177"/>
      <c r="J91" s="177"/>
      <c r="K91" s="189"/>
      <c r="L91" s="189"/>
      <c r="M91" s="189"/>
    </row>
    <row r="92" spans="2:15" ht="30" customHeight="1" x14ac:dyDescent="0.25">
      <c r="B92" s="175"/>
      <c r="C92" s="175"/>
      <c r="D92" s="177"/>
      <c r="E92" s="177"/>
      <c r="F92" s="177"/>
      <c r="G92" s="187"/>
      <c r="H92" s="177"/>
      <c r="I92" s="177"/>
      <c r="J92" s="177"/>
      <c r="K92" s="189"/>
      <c r="L92" s="189"/>
      <c r="M92" s="189"/>
    </row>
    <row r="93" spans="2:15" ht="30" customHeight="1" x14ac:dyDescent="0.25">
      <c r="B93" s="175"/>
      <c r="C93" s="175"/>
      <c r="D93" s="177"/>
      <c r="E93" s="177"/>
      <c r="F93" s="177"/>
      <c r="G93" s="187"/>
      <c r="H93" s="177"/>
      <c r="I93" s="177"/>
      <c r="J93" s="177"/>
      <c r="K93" s="189"/>
      <c r="L93" s="189"/>
      <c r="M93" s="189"/>
    </row>
    <row r="94" spans="2:15" ht="30" customHeight="1" x14ac:dyDescent="0.25">
      <c r="B94" s="175"/>
      <c r="C94" s="175"/>
      <c r="D94" s="177"/>
      <c r="E94" s="177"/>
      <c r="F94" s="177"/>
      <c r="G94" s="187"/>
      <c r="H94" s="177"/>
      <c r="I94" s="177"/>
      <c r="J94" s="177"/>
      <c r="K94" s="189"/>
      <c r="L94" s="189"/>
      <c r="M94" s="189"/>
    </row>
    <row r="95" spans="2:15" ht="30" customHeight="1" x14ac:dyDescent="0.5">
      <c r="B95" s="175"/>
      <c r="C95" s="175"/>
      <c r="D95" s="177"/>
      <c r="E95" s="177"/>
      <c r="F95" s="351"/>
      <c r="G95" s="352"/>
      <c r="H95" s="175"/>
      <c r="I95" s="175"/>
      <c r="J95" s="175"/>
      <c r="K95" s="175"/>
      <c r="L95" s="249"/>
      <c r="M95" s="175"/>
      <c r="N95" s="177"/>
    </row>
    <row r="96" spans="2:15" ht="49.9" customHeight="1" x14ac:dyDescent="0.25">
      <c r="B96" s="154" t="s">
        <v>292</v>
      </c>
      <c r="C96" s="155"/>
      <c r="D96" s="108" t="s">
        <v>399</v>
      </c>
      <c r="E96" s="108" t="s">
        <v>398</v>
      </c>
      <c r="F96" s="108" t="s">
        <v>397</v>
      </c>
      <c r="G96" s="108" t="s">
        <v>396</v>
      </c>
      <c r="H96" s="108" t="s">
        <v>394</v>
      </c>
      <c r="I96" s="108" t="s">
        <v>395</v>
      </c>
      <c r="J96" s="348"/>
      <c r="K96" s="348"/>
      <c r="L96" s="348"/>
      <c r="M96" s="348"/>
      <c r="N96" s="348"/>
      <c r="O96" s="348"/>
    </row>
    <row r="97" spans="1:15" ht="40.15" customHeight="1" x14ac:dyDescent="0.25">
      <c r="B97" s="144" t="s">
        <v>262</v>
      </c>
      <c r="C97" s="150"/>
      <c r="D97" s="157">
        <f t="shared" ref="D97:I97" si="9">(D61*$E$88/1000)</f>
        <v>0</v>
      </c>
      <c r="E97" s="157">
        <f t="shared" si="9"/>
        <v>0</v>
      </c>
      <c r="F97" s="157">
        <f t="shared" si="9"/>
        <v>0</v>
      </c>
      <c r="G97" s="157">
        <f t="shared" si="9"/>
        <v>0</v>
      </c>
      <c r="H97" s="157">
        <f t="shared" si="9"/>
        <v>0</v>
      </c>
      <c r="I97" s="157">
        <f t="shared" si="9"/>
        <v>0</v>
      </c>
      <c r="J97" s="157"/>
      <c r="K97" s="157"/>
      <c r="L97" s="157"/>
      <c r="M97" s="157"/>
      <c r="N97" s="157"/>
      <c r="O97" s="157"/>
    </row>
    <row r="98" spans="1:15" ht="40.15" customHeight="1" x14ac:dyDescent="0.25">
      <c r="B98" s="144" t="s">
        <v>205</v>
      </c>
      <c r="C98" s="150"/>
      <c r="D98" s="157">
        <f t="shared" ref="D98:I98" si="10">(D62*$H$88/1000)</f>
        <v>0</v>
      </c>
      <c r="E98" s="157">
        <f t="shared" si="10"/>
        <v>0</v>
      </c>
      <c r="F98" s="157">
        <f t="shared" si="10"/>
        <v>0</v>
      </c>
      <c r="G98" s="157">
        <f t="shared" si="10"/>
        <v>0</v>
      </c>
      <c r="H98" s="157">
        <f t="shared" si="10"/>
        <v>0</v>
      </c>
      <c r="I98" s="157">
        <f t="shared" si="10"/>
        <v>0</v>
      </c>
      <c r="J98" s="157"/>
      <c r="K98" s="157"/>
      <c r="L98" s="157"/>
      <c r="M98" s="157"/>
      <c r="N98" s="157"/>
      <c r="O98" s="157"/>
    </row>
    <row r="99" spans="1:15" ht="40.15" customHeight="1" x14ac:dyDescent="0.25">
      <c r="A99" s="101"/>
      <c r="B99" s="144" t="s">
        <v>154</v>
      </c>
      <c r="C99" s="150"/>
      <c r="D99" s="157">
        <f t="shared" ref="D99:I99" si="11">(D63*$H$90/1000)</f>
        <v>0</v>
      </c>
      <c r="E99" s="157">
        <f t="shared" si="11"/>
        <v>0</v>
      </c>
      <c r="F99" s="157">
        <f t="shared" si="11"/>
        <v>0</v>
      </c>
      <c r="G99" s="157">
        <f t="shared" si="11"/>
        <v>0</v>
      </c>
      <c r="H99" s="157">
        <f t="shared" si="11"/>
        <v>0</v>
      </c>
      <c r="I99" s="157">
        <f t="shared" si="11"/>
        <v>0</v>
      </c>
      <c r="J99" s="157"/>
      <c r="K99" s="157"/>
      <c r="L99" s="157"/>
      <c r="M99" s="157"/>
      <c r="N99" s="157"/>
      <c r="O99" s="157"/>
    </row>
    <row r="100" spans="1:15" ht="40.15" customHeight="1" x14ac:dyDescent="0.25">
      <c r="A100" s="141"/>
      <c r="B100" s="156" t="s">
        <v>307</v>
      </c>
      <c r="C100" s="150"/>
      <c r="D100" s="157">
        <f>(D64*$H$91/1000)</f>
        <v>0</v>
      </c>
      <c r="E100" s="157">
        <f>(E64*$H$91/1000)</f>
        <v>0</v>
      </c>
      <c r="F100" s="157">
        <f>((F64*$H$91)/1000)</f>
        <v>0</v>
      </c>
      <c r="G100" s="157">
        <f>(G64*$H$91)/1000</f>
        <v>0</v>
      </c>
      <c r="H100" s="157">
        <f>(H64*$H$91/1000)</f>
        <v>0</v>
      </c>
      <c r="I100" s="157">
        <f>(I64*$H$91/1000)</f>
        <v>0</v>
      </c>
      <c r="J100" s="157"/>
      <c r="K100" s="157"/>
      <c r="L100" s="157"/>
      <c r="M100" s="157"/>
      <c r="N100" s="157"/>
      <c r="O100" s="157"/>
    </row>
    <row r="101" spans="1:15" ht="49.9" customHeight="1" x14ac:dyDescent="0.25">
      <c r="A101" s="349"/>
      <c r="B101" s="250" t="s">
        <v>5</v>
      </c>
      <c r="C101" s="173"/>
      <c r="D101" s="174">
        <f t="shared" ref="D101:I101" si="12">SUM(D97:D100)</f>
        <v>0</v>
      </c>
      <c r="E101" s="174">
        <f t="shared" si="12"/>
        <v>0</v>
      </c>
      <c r="F101" s="174">
        <f t="shared" si="12"/>
        <v>0</v>
      </c>
      <c r="G101" s="174">
        <f>SUM(G97:G100)</f>
        <v>0</v>
      </c>
      <c r="H101" s="174">
        <f t="shared" si="12"/>
        <v>0</v>
      </c>
      <c r="I101" s="174">
        <f t="shared" si="12"/>
        <v>0</v>
      </c>
      <c r="J101" s="189"/>
      <c r="K101" s="189"/>
      <c r="L101" s="189"/>
      <c r="M101" s="189"/>
      <c r="N101" s="189"/>
      <c r="O101" s="189"/>
    </row>
    <row r="102" spans="1:15" ht="49.9" customHeight="1" x14ac:dyDescent="0.25">
      <c r="A102" s="349"/>
      <c r="B102" s="3"/>
      <c r="C102" s="3"/>
      <c r="D102" s="189"/>
      <c r="E102" s="189"/>
      <c r="F102" s="268" t="s">
        <v>782</v>
      </c>
      <c r="G102" s="269">
        <f>SUM(D101:I101)</f>
        <v>0</v>
      </c>
      <c r="H102" s="124"/>
      <c r="I102" s="189"/>
      <c r="J102" s="189"/>
      <c r="K102" s="189"/>
      <c r="L102" s="360"/>
      <c r="M102" s="361"/>
    </row>
    <row r="103" spans="1:15" ht="30" customHeight="1" x14ac:dyDescent="0.25">
      <c r="A103" s="349"/>
      <c r="B103" s="141"/>
      <c r="C103" s="356"/>
      <c r="D103" s="157"/>
      <c r="E103" s="157"/>
      <c r="F103" s="157"/>
      <c r="G103" s="157"/>
      <c r="H103" s="157"/>
      <c r="I103" s="349"/>
      <c r="J103" s="349"/>
      <c r="K103" s="349"/>
      <c r="L103" s="349"/>
      <c r="M103" s="349"/>
    </row>
    <row r="104" spans="1:15" ht="30" customHeight="1" x14ac:dyDescent="0.25">
      <c r="A104" s="349"/>
      <c r="B104" s="141"/>
      <c r="C104" s="356"/>
      <c r="D104" s="157"/>
      <c r="E104" s="157"/>
      <c r="F104" s="157"/>
      <c r="G104" s="157"/>
      <c r="H104" s="157"/>
      <c r="I104" s="349"/>
      <c r="J104" s="349"/>
      <c r="K104" s="349"/>
      <c r="L104" s="349"/>
      <c r="M104" s="349"/>
    </row>
    <row r="105" spans="1:15" ht="30" customHeight="1" x14ac:dyDescent="0.25">
      <c r="A105" s="349"/>
      <c r="B105" s="141"/>
      <c r="C105" s="356"/>
      <c r="D105" s="157"/>
      <c r="E105" s="157"/>
      <c r="F105" s="157"/>
      <c r="G105" s="157"/>
      <c r="H105" s="157"/>
      <c r="I105" s="349"/>
      <c r="J105" s="349"/>
      <c r="K105" s="349"/>
      <c r="L105" s="349"/>
      <c r="M105" s="349"/>
    </row>
    <row r="108" spans="1:15" ht="49.9" customHeight="1" x14ac:dyDescent="0.25">
      <c r="B108" s="1517"/>
      <c r="C108" s="1517"/>
      <c r="D108" s="1517"/>
      <c r="E108" s="1517"/>
      <c r="G108" s="1410" t="s">
        <v>282</v>
      </c>
      <c r="H108" s="1410"/>
      <c r="I108" s="1410"/>
      <c r="J108" s="1410"/>
    </row>
    <row r="109" spans="1:15" ht="107.45" customHeight="1" x14ac:dyDescent="0.25">
      <c r="B109" s="223"/>
      <c r="C109" s="211"/>
      <c r="D109" s="211"/>
      <c r="E109" s="211"/>
      <c r="G109" s="277" t="s">
        <v>340</v>
      </c>
      <c r="H109" s="228" t="s">
        <v>3</v>
      </c>
      <c r="I109" s="229" t="s">
        <v>756</v>
      </c>
      <c r="J109" s="229" t="s">
        <v>757</v>
      </c>
    </row>
    <row r="110" spans="1:15" ht="49.9" customHeight="1" x14ac:dyDescent="0.25">
      <c r="B110" s="291"/>
      <c r="C110" s="394"/>
      <c r="D110" s="649"/>
      <c r="E110" s="503"/>
      <c r="G110" s="1414" t="s">
        <v>938</v>
      </c>
      <c r="H110" s="1415"/>
      <c r="I110" s="230"/>
      <c r="J110" s="225"/>
    </row>
    <row r="111" spans="1:15" ht="49.9" customHeight="1" x14ac:dyDescent="0.25">
      <c r="B111" s="291"/>
      <c r="C111" s="394"/>
      <c r="D111" s="503"/>
      <c r="E111" s="503"/>
      <c r="G111" s="335" t="s">
        <v>504</v>
      </c>
      <c r="H111" s="330" t="s">
        <v>359</v>
      </c>
      <c r="I111" s="363" t="e">
        <f>I112-I113</f>
        <v>#N/A</v>
      </c>
      <c r="J111" s="364" t="e">
        <f>J112-J113</f>
        <v>#N/A</v>
      </c>
    </row>
    <row r="112" spans="1:15" ht="49.9" customHeight="1" x14ac:dyDescent="0.25">
      <c r="B112" s="291"/>
      <c r="C112" s="394"/>
      <c r="D112" s="650"/>
      <c r="E112" s="650"/>
      <c r="G112" s="331" t="s">
        <v>334</v>
      </c>
      <c r="H112" s="332" t="s">
        <v>359</v>
      </c>
      <c r="I112" s="371">
        <f>K11+L11</f>
        <v>0</v>
      </c>
      <c r="J112" s="372">
        <f>N11</f>
        <v>0</v>
      </c>
    </row>
    <row r="113" spans="2:10" ht="49.9" customHeight="1" x14ac:dyDescent="0.25">
      <c r="B113" s="291"/>
      <c r="C113" s="394"/>
      <c r="D113" s="503"/>
      <c r="E113" s="503"/>
      <c r="G113" s="333" t="s">
        <v>360</v>
      </c>
      <c r="H113" s="334" t="s">
        <v>359</v>
      </c>
      <c r="I113" s="362" t="e">
        <f>D71</f>
        <v>#N/A</v>
      </c>
      <c r="J113" s="365" t="e">
        <f>I113+D101</f>
        <v>#N/A</v>
      </c>
    </row>
    <row r="114" spans="2:10" ht="49.9" customHeight="1" x14ac:dyDescent="0.25">
      <c r="B114" s="291"/>
      <c r="C114" s="394"/>
      <c r="D114" s="503"/>
      <c r="E114" s="503"/>
      <c r="G114" s="1513" t="s">
        <v>937</v>
      </c>
      <c r="H114" s="1513"/>
      <c r="I114" s="1414"/>
      <c r="J114" s="225"/>
    </row>
    <row r="115" spans="2:10" ht="49.9" customHeight="1" x14ac:dyDescent="0.25">
      <c r="B115" s="291"/>
      <c r="C115" s="307"/>
      <c r="D115" s="503"/>
      <c r="E115" s="503"/>
      <c r="G115" s="335" t="s">
        <v>504</v>
      </c>
      <c r="H115" s="326" t="s">
        <v>353</v>
      </c>
      <c r="I115" s="363" t="e">
        <f>I116-I117</f>
        <v>#N/A</v>
      </c>
      <c r="J115" s="364" t="e">
        <f>J116-J117</f>
        <v>#N/A</v>
      </c>
    </row>
    <row r="116" spans="2:10" ht="49.9" customHeight="1" x14ac:dyDescent="0.25">
      <c r="B116" s="87"/>
      <c r="C116" s="88"/>
      <c r="D116" s="88"/>
      <c r="E116" s="88"/>
      <c r="G116" s="331" t="s">
        <v>334</v>
      </c>
      <c r="H116" s="327" t="s">
        <v>353</v>
      </c>
      <c r="I116" s="371">
        <f>K12</f>
        <v>0</v>
      </c>
      <c r="J116" s="372">
        <f>N12</f>
        <v>0</v>
      </c>
    </row>
    <row r="117" spans="2:10" ht="49.9" customHeight="1" x14ac:dyDescent="0.25">
      <c r="B117" s="1411" t="s">
        <v>778</v>
      </c>
      <c r="C117" s="1410"/>
      <c r="D117" s="1410"/>
      <c r="E117" s="1410"/>
      <c r="G117" s="333" t="s">
        <v>360</v>
      </c>
      <c r="H117" s="328" t="s">
        <v>353</v>
      </c>
      <c r="I117" s="362" t="e">
        <f>E71</f>
        <v>#N/A</v>
      </c>
      <c r="J117" s="365" t="e">
        <f>I117+E101</f>
        <v>#N/A</v>
      </c>
    </row>
    <row r="118" spans="2:10" ht="49.9" customHeight="1" x14ac:dyDescent="0.25">
      <c r="B118" s="231" t="s">
        <v>114</v>
      </c>
      <c r="C118" s="228" t="s">
        <v>3</v>
      </c>
      <c r="D118" s="228" t="s">
        <v>756</v>
      </c>
      <c r="E118" s="228" t="s">
        <v>757</v>
      </c>
      <c r="G118" s="1414" t="s">
        <v>316</v>
      </c>
      <c r="H118" s="1415"/>
      <c r="I118" s="230"/>
      <c r="J118" s="225"/>
    </row>
    <row r="119" spans="2:10" ht="49.9" customHeight="1" x14ac:dyDescent="0.25">
      <c r="B119" s="311" t="s">
        <v>908</v>
      </c>
      <c r="C119" s="312" t="s">
        <v>353</v>
      </c>
      <c r="D119" s="487" t="str">
        <f>IFERROR(D120-D121,"")</f>
        <v/>
      </c>
      <c r="E119" s="492" t="str">
        <f>IFERROR(E120-E121,"")</f>
        <v/>
      </c>
      <c r="G119" s="335" t="s">
        <v>504</v>
      </c>
      <c r="H119" s="326" t="s">
        <v>353</v>
      </c>
      <c r="I119" s="363" t="e">
        <f>I120-I121</f>
        <v>#N/A</v>
      </c>
      <c r="J119" s="364" t="e">
        <f>J120-J121</f>
        <v>#N/A</v>
      </c>
    </row>
    <row r="120" spans="2:10" ht="49.9" customHeight="1" x14ac:dyDescent="0.25">
      <c r="B120" s="313" t="s">
        <v>354</v>
      </c>
      <c r="C120" s="314" t="s">
        <v>353</v>
      </c>
      <c r="D120" s="489">
        <f>IFERROR(K17,"")</f>
        <v>0</v>
      </c>
      <c r="E120" s="493">
        <f>IFERROR(N17,"")</f>
        <v>0</v>
      </c>
      <c r="G120" s="336" t="s">
        <v>334</v>
      </c>
      <c r="H120" s="327" t="s">
        <v>353</v>
      </c>
      <c r="I120" s="371">
        <f>K13</f>
        <v>0</v>
      </c>
      <c r="J120" s="372">
        <f>N13</f>
        <v>0</v>
      </c>
    </row>
    <row r="121" spans="2:10" ht="49.9" customHeight="1" x14ac:dyDescent="0.25">
      <c r="B121" s="316" t="s">
        <v>355</v>
      </c>
      <c r="C121" s="317" t="s">
        <v>353</v>
      </c>
      <c r="D121" s="490" t="str">
        <f>IFERROR(G72,"")</f>
        <v/>
      </c>
      <c r="E121" s="494" t="str">
        <f>IFERROR(C75,"")</f>
        <v/>
      </c>
      <c r="G121" s="337" t="s">
        <v>360</v>
      </c>
      <c r="H121" s="328" t="s">
        <v>353</v>
      </c>
      <c r="I121" s="362" t="e">
        <f>F71</f>
        <v>#N/A</v>
      </c>
      <c r="J121" s="365" t="e">
        <f>I121+F101</f>
        <v>#N/A</v>
      </c>
    </row>
    <row r="122" spans="2:10" ht="49.9" customHeight="1" x14ac:dyDescent="0.25">
      <c r="B122" s="320" t="s">
        <v>441</v>
      </c>
      <c r="C122" s="321" t="s">
        <v>784</v>
      </c>
      <c r="D122" s="488">
        <f>IFERROR(D123/$C$12,"")</f>
        <v>0</v>
      </c>
      <c r="E122" s="495" t="s">
        <v>107</v>
      </c>
      <c r="G122" s="1513" t="s">
        <v>318</v>
      </c>
      <c r="H122" s="1513"/>
      <c r="I122" s="1513"/>
      <c r="J122" s="225"/>
    </row>
    <row r="123" spans="2:10" ht="49.9" customHeight="1" x14ac:dyDescent="0.25">
      <c r="B123" s="320" t="s">
        <v>402</v>
      </c>
      <c r="C123" s="321" t="s">
        <v>353</v>
      </c>
      <c r="D123" s="488">
        <f>IFERROR(K11+K13+K15,"")</f>
        <v>0</v>
      </c>
      <c r="E123" s="495" t="s">
        <v>107</v>
      </c>
      <c r="G123" s="335" t="s">
        <v>504</v>
      </c>
      <c r="H123" s="326" t="s">
        <v>353</v>
      </c>
      <c r="I123" s="363" t="e">
        <f>I124-I125</f>
        <v>#N/A</v>
      </c>
      <c r="J123" s="364" t="e">
        <f>J124-J125</f>
        <v>#N/A</v>
      </c>
    </row>
    <row r="124" spans="2:10" ht="49.9" customHeight="1" x14ac:dyDescent="0.25">
      <c r="B124" s="320" t="s">
        <v>358</v>
      </c>
      <c r="C124" s="323" t="s">
        <v>357</v>
      </c>
      <c r="D124" s="488" t="str">
        <f>IFERROR(D119*$Y$10,"")</f>
        <v/>
      </c>
      <c r="E124" s="496" t="str">
        <f>IFERROR(E119*$Y$10,"")</f>
        <v/>
      </c>
      <c r="G124" s="331" t="s">
        <v>334</v>
      </c>
      <c r="H124" s="327" t="s">
        <v>353</v>
      </c>
      <c r="I124" s="371">
        <f>K14</f>
        <v>0</v>
      </c>
      <c r="J124" s="372">
        <f>N14</f>
        <v>0</v>
      </c>
    </row>
    <row r="125" spans="2:10" ht="49.9" customHeight="1" x14ac:dyDescent="0.25">
      <c r="B125" s="87"/>
      <c r="C125" s="88"/>
      <c r="D125" s="244"/>
      <c r="E125" s="88"/>
      <c r="G125" s="333" t="s">
        <v>360</v>
      </c>
      <c r="H125" s="328" t="s">
        <v>353</v>
      </c>
      <c r="I125" s="362" t="e">
        <f>G71</f>
        <v>#N/A</v>
      </c>
      <c r="J125" s="365" t="e">
        <f>I125+G101</f>
        <v>#N/A</v>
      </c>
    </row>
    <row r="126" spans="2:10" ht="49.9" customHeight="1" x14ac:dyDescent="0.25">
      <c r="B126" s="1517"/>
      <c r="C126" s="1517"/>
      <c r="D126" s="1517"/>
      <c r="E126" s="1517"/>
      <c r="G126" s="1513" t="s">
        <v>317</v>
      </c>
      <c r="H126" s="1513"/>
      <c r="I126" s="1513"/>
      <c r="J126" s="225"/>
    </row>
    <row r="127" spans="2:10" ht="49.9" customHeight="1" x14ac:dyDescent="0.25">
      <c r="B127" s="223"/>
      <c r="C127" s="211"/>
      <c r="D127" s="211"/>
      <c r="E127" s="211"/>
      <c r="G127" s="335" t="s">
        <v>504</v>
      </c>
      <c r="H127" s="326" t="s">
        <v>353</v>
      </c>
      <c r="I127" s="363" t="e">
        <f>I128-I129</f>
        <v>#N/A</v>
      </c>
      <c r="J127" s="364" t="e">
        <f>J128-J129</f>
        <v>#N/A</v>
      </c>
    </row>
    <row r="128" spans="2:10" ht="49.9" customHeight="1" x14ac:dyDescent="0.25">
      <c r="B128" s="291"/>
      <c r="C128" s="394"/>
      <c r="D128" s="503"/>
      <c r="E128" s="503"/>
      <c r="G128" s="331" t="s">
        <v>334</v>
      </c>
      <c r="H128" s="327" t="s">
        <v>353</v>
      </c>
      <c r="I128" s="371">
        <f>K15</f>
        <v>0</v>
      </c>
      <c r="J128" s="372">
        <f>N15</f>
        <v>0</v>
      </c>
    </row>
    <row r="129" spans="2:10" ht="49.9" customHeight="1" x14ac:dyDescent="0.25">
      <c r="B129" s="291"/>
      <c r="C129" s="394"/>
      <c r="D129" s="503"/>
      <c r="E129" s="503"/>
      <c r="G129" s="333" t="s">
        <v>360</v>
      </c>
      <c r="H129" s="328" t="s">
        <v>353</v>
      </c>
      <c r="I129" s="362" t="e">
        <f>H71</f>
        <v>#N/A</v>
      </c>
      <c r="J129" s="365" t="e">
        <f>I129+H101</f>
        <v>#N/A</v>
      </c>
    </row>
    <row r="130" spans="2:10" ht="49.9" customHeight="1" x14ac:dyDescent="0.25">
      <c r="B130" s="291"/>
      <c r="C130" s="394"/>
      <c r="D130" s="650"/>
      <c r="E130" s="650"/>
      <c r="G130" s="1513" t="s">
        <v>476</v>
      </c>
      <c r="H130" s="1513"/>
      <c r="I130" s="1513"/>
      <c r="J130" s="225"/>
    </row>
    <row r="131" spans="2:10" ht="49.9" customHeight="1" x14ac:dyDescent="0.25">
      <c r="B131" s="291"/>
      <c r="C131" s="394"/>
      <c r="D131" s="503"/>
      <c r="E131" s="503"/>
      <c r="G131" s="335" t="s">
        <v>504</v>
      </c>
      <c r="H131" s="326" t="s">
        <v>353</v>
      </c>
      <c r="I131" s="363" t="e">
        <f>I132-I133</f>
        <v>#N/A</v>
      </c>
      <c r="J131" s="364" t="e">
        <f>J132-J133</f>
        <v>#N/A</v>
      </c>
    </row>
    <row r="132" spans="2:10" ht="49.9" customHeight="1" x14ac:dyDescent="0.25">
      <c r="B132" s="291"/>
      <c r="C132" s="394"/>
      <c r="D132" s="503"/>
      <c r="E132" s="503"/>
      <c r="G132" s="331" t="s">
        <v>334</v>
      </c>
      <c r="H132" s="327" t="s">
        <v>353</v>
      </c>
      <c r="I132" s="371">
        <f>K16</f>
        <v>0</v>
      </c>
      <c r="J132" s="372">
        <f>N16</f>
        <v>0</v>
      </c>
    </row>
    <row r="133" spans="2:10" ht="49.9" customHeight="1" x14ac:dyDescent="0.25">
      <c r="B133" s="291"/>
      <c r="C133" s="307"/>
      <c r="D133" s="503"/>
      <c r="E133" s="503"/>
      <c r="G133" s="333" t="s">
        <v>360</v>
      </c>
      <c r="H133" s="328" t="s">
        <v>353</v>
      </c>
      <c r="I133" s="362" t="e">
        <f>I71</f>
        <v>#N/A</v>
      </c>
      <c r="J133" s="365" t="e">
        <f>I133+I101</f>
        <v>#N/A</v>
      </c>
    </row>
    <row r="134" spans="2:10" ht="30" customHeight="1" x14ac:dyDescent="0.25">
      <c r="B134" s="87"/>
      <c r="C134" s="88"/>
      <c r="D134" s="88"/>
      <c r="E134" s="88"/>
    </row>
  </sheetData>
  <mergeCells count="12">
    <mergeCell ref="G126:I126"/>
    <mergeCell ref="G130:I130"/>
    <mergeCell ref="G75:H75"/>
    <mergeCell ref="K72:L72"/>
    <mergeCell ref="B108:E108"/>
    <mergeCell ref="B117:E117"/>
    <mergeCell ref="B126:E126"/>
    <mergeCell ref="G108:J108"/>
    <mergeCell ref="G110:H110"/>
    <mergeCell ref="G114:I114"/>
    <mergeCell ref="G118:H118"/>
    <mergeCell ref="G122:I122"/>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820" id="{408F04AD-3C8B-4021-AF3E-3554B7DF00F4}">
            <xm:f>IF($E$38=FAListas!$C$6,TRUE, IF($E$38=FAListas!#REF!, TRUE,""))</xm:f>
            <x14:dxf>
              <fill>
                <patternFill>
                  <bgColor theme="1"/>
                </patternFill>
              </fill>
            </x14:dxf>
          </x14:cfRule>
          <xm:sqref>D110:E110 I111:J111 I115:J115 D119:E119 I119:J119 I123:J123 I127:J127 D128:E128 I131:J131</xm:sqref>
        </x14:conditionalFormatting>
        <x14:conditionalFormatting xmlns:xm="http://schemas.microsoft.com/office/excel/2006/main">
          <x14:cfRule type="expression" priority="821" id="{B4E3B7A7-A6AB-4621-99AB-55ADA850BAE9}">
            <xm:f>IF($F$53=FAListas!$C$6,TRUE, IF($F$53=FAListas!#REF!, TRUE,""))</xm:f>
            <x14:dxf>
              <fill>
                <patternFill>
                  <bgColor theme="1"/>
                </patternFill>
              </fill>
            </x14:dxf>
          </x14:cfRule>
          <xm:sqref>D111:E115</xm:sqref>
        </x14:conditionalFormatting>
        <x14:conditionalFormatting xmlns:xm="http://schemas.microsoft.com/office/excel/2006/main">
          <x14:cfRule type="expression" priority="819" id="{5E464B4F-420F-429A-B1CC-18F5A9D7AACD}">
            <xm:f>$F$53=FAListas!#REF!</xm:f>
            <x14:dxf>
              <fill>
                <patternFill>
                  <bgColor theme="1"/>
                </patternFill>
              </fill>
            </x14:dxf>
          </x14:cfRule>
          <xm:sqref>D120:E124 D131:D132 D133:E133</xm:sqref>
        </x14:conditionalFormatting>
        <x14:conditionalFormatting xmlns:xm="http://schemas.microsoft.com/office/excel/2006/main">
          <x14:cfRule type="expression" priority="22" id="{AC4516F6-B1F9-41BE-A1C9-D018045DC410}">
            <xm:f>$E$38=FAListas!$C$6</xm:f>
            <x14:dxf>
              <fill>
                <patternFill>
                  <bgColor theme="1"/>
                </patternFill>
              </fill>
            </x14:dxf>
          </x14:cfRule>
          <xm:sqref>D129:E130 E131:E132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B1AF1-2C79-4B83-9942-18BDBFF8273A}">
  <dimension ref="A2:Y139"/>
  <sheetViews>
    <sheetView topLeftCell="N18" zoomScale="75" zoomScaleNormal="75" workbookViewId="0">
      <pane ySplit="6855" topLeftCell="A133"/>
      <selection activeCell="Y9" sqref="Y9"/>
      <selection pane="bottomLeft" activeCell="D128" sqref="D128"/>
    </sheetView>
  </sheetViews>
  <sheetFormatPr defaultRowHeight="30" customHeight="1" x14ac:dyDescent="0.25"/>
  <cols>
    <col min="1" max="1" width="11.42578125" bestFit="1" customWidth="1"/>
    <col min="2" max="2" width="47.7109375" customWidth="1"/>
    <col min="3" max="3" width="16.28515625" customWidth="1"/>
    <col min="4" max="4" width="37.85546875" style="1" customWidth="1"/>
    <col min="5" max="5" width="36.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381" t="s">
        <v>420</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112" t="s">
        <v>114</v>
      </c>
      <c r="C7" s="111" t="s">
        <v>86</v>
      </c>
      <c r="D7" s="108" t="s">
        <v>126</v>
      </c>
      <c r="E7" s="124"/>
      <c r="F7" s="124"/>
      <c r="G7" s="124"/>
      <c r="H7" s="124"/>
      <c r="I7" s="124"/>
      <c r="J7" s="124"/>
      <c r="K7" s="124"/>
      <c r="L7" s="124"/>
      <c r="M7" s="124"/>
      <c r="N7" s="124"/>
      <c r="O7" s="124"/>
    </row>
    <row r="8" spans="1:25" s="128" customFormat="1" ht="46.15" customHeight="1" x14ac:dyDescent="0.2">
      <c r="B8" s="107" t="s">
        <v>190</v>
      </c>
      <c r="C8" s="109" t="str">
        <f>IFERROR(D8+2," ")</f>
        <v xml:space="preserve"> </v>
      </c>
      <c r="D8" s="110" t="str">
        <f>'ID_Identificação do projeto'!C14</f>
        <v>AAAA</v>
      </c>
      <c r="E8" s="101"/>
      <c r="F8" s="621" t="s">
        <v>114</v>
      </c>
      <c r="G8" s="621" t="s">
        <v>781</v>
      </c>
      <c r="H8" s="608"/>
      <c r="I8" s="621" t="s">
        <v>283</v>
      </c>
      <c r="J8" s="621" t="s">
        <v>721</v>
      </c>
      <c r="K8" s="622" t="s">
        <v>720</v>
      </c>
      <c r="L8" s="610"/>
      <c r="M8" s="621" t="s">
        <v>718</v>
      </c>
      <c r="N8" s="622" t="s">
        <v>719</v>
      </c>
      <c r="O8" s="610"/>
      <c r="P8" s="129"/>
      <c r="Q8" s="129"/>
      <c r="R8" s="129"/>
      <c r="S8" s="129"/>
      <c r="T8" s="129"/>
      <c r="U8" s="129" t="s">
        <v>200</v>
      </c>
      <c r="V8" s="129"/>
      <c r="W8" s="117" t="s">
        <v>20</v>
      </c>
      <c r="X8" s="117" t="s">
        <v>201</v>
      </c>
      <c r="Y8" s="117" t="s">
        <v>251</v>
      </c>
    </row>
    <row r="9" spans="1:25" s="128" customFormat="1" ht="30" customHeight="1" x14ac:dyDescent="0.2">
      <c r="B9" s="107" t="s">
        <v>293</v>
      </c>
      <c r="C9" s="109" t="str">
        <f>'ID_Identificação do projeto'!$C$16</f>
        <v>Selecionar uma opção</v>
      </c>
      <c r="D9" s="110"/>
      <c r="E9" s="101"/>
      <c r="F9" s="623" t="s">
        <v>612</v>
      </c>
      <c r="G9" s="624">
        <f>C21</f>
        <v>0</v>
      </c>
      <c r="H9" s="609"/>
      <c r="I9" s="625">
        <f>C11</f>
        <v>0</v>
      </c>
      <c r="J9" s="625">
        <v>0</v>
      </c>
      <c r="K9" s="625">
        <f>IFERROR((G9*I9)/1000,"")</f>
        <v>0</v>
      </c>
      <c r="L9" s="611"/>
      <c r="M9" s="626">
        <v>0</v>
      </c>
      <c r="N9" s="627">
        <f t="shared" ref="N9:N15" si="0">IFERROR(K9+((G9*M9)/1000),"")</f>
        <v>0</v>
      </c>
      <c r="O9" s="614"/>
      <c r="P9" s="129"/>
      <c r="Q9" s="129"/>
      <c r="R9" s="129"/>
      <c r="S9" s="129"/>
      <c r="T9" s="129"/>
      <c r="U9" s="129"/>
      <c r="V9" s="129"/>
      <c r="W9" s="118">
        <v>2025</v>
      </c>
      <c r="X9" s="140">
        <v>165</v>
      </c>
      <c r="Y9" s="106" t="e">
        <f>VLOOKUP(C8,W9:X24,2,FALSE)</f>
        <v>#N/A</v>
      </c>
    </row>
    <row r="10" spans="1:25" s="128" customFormat="1" ht="40.15" customHeight="1" x14ac:dyDescent="0.2">
      <c r="B10" s="259" t="s">
        <v>142</v>
      </c>
      <c r="C10" s="102" t="str">
        <f>'ID_Identificação do projeto'!$C$18</f>
        <v>Selecionar uma opção</v>
      </c>
      <c r="D10" s="103"/>
      <c r="E10" s="101"/>
      <c r="F10" s="628" t="s">
        <v>329</v>
      </c>
      <c r="G10" s="624">
        <f>IFERROR(C22*C23,"0")</f>
        <v>0</v>
      </c>
      <c r="H10" s="609"/>
      <c r="I10" s="629" t="str">
        <f>IFERROR(IF(D12=FAListas!$C$56, C12,"0"),"")</f>
        <v>0</v>
      </c>
      <c r="J10" s="629" t="str">
        <f>IFERROR(IF(D12=FAListas!$C$57,'Fatores de Emissão'!E47,"0"),"")</f>
        <v>0</v>
      </c>
      <c r="K10" s="625">
        <f>IFERROR(((G10*I10)+(G10*J10))/1000,"")</f>
        <v>0</v>
      </c>
      <c r="L10" s="611"/>
      <c r="M10" s="626">
        <f>'Fatores de Emissão'!G47</f>
        <v>2E-3</v>
      </c>
      <c r="N10" s="627">
        <f t="shared" si="0"/>
        <v>0</v>
      </c>
      <c r="O10" s="615"/>
      <c r="P10" s="129"/>
      <c r="Q10" s="129"/>
      <c r="R10" s="129"/>
      <c r="S10" s="129"/>
      <c r="T10" s="129"/>
      <c r="U10" s="129"/>
      <c r="V10" s="129"/>
      <c r="W10" s="118">
        <v>2026</v>
      </c>
      <c r="X10" s="140">
        <v>182</v>
      </c>
    </row>
    <row r="11" spans="1:25" s="128" customFormat="1" ht="40.15" customHeight="1" x14ac:dyDescent="0.2">
      <c r="B11" s="107" t="s">
        <v>319</v>
      </c>
      <c r="C11" s="109">
        <f>IFERROR('TM3_ferrovia e metro'!F21,"")</f>
        <v>0</v>
      </c>
      <c r="D11" s="110" t="str">
        <f>'TM3_ferrovia e metro'!E21</f>
        <v>Fator de emissão GEE (eletricidade) do utilizador (obrigatório)</v>
      </c>
      <c r="E11" s="101"/>
      <c r="F11" s="623" t="s">
        <v>422</v>
      </c>
      <c r="G11" s="624">
        <f>IFERROR(C24*C25,"0")</f>
        <v>0</v>
      </c>
      <c r="H11" s="609"/>
      <c r="I11" s="625" t="str">
        <f>IFERROR(IF(D13=FAListas!$C$56, C13,"0"),"")</f>
        <v>0</v>
      </c>
      <c r="J11" s="629" t="str">
        <f>IFERROR(IF(D13=FAListas!$C$57,'Fatores de Emissão'!E50,"0"),"")</f>
        <v>0</v>
      </c>
      <c r="K11" s="625">
        <f>IFERROR(((G11*I11)+(G11*J11))/1000,"")</f>
        <v>0</v>
      </c>
      <c r="L11" s="612"/>
      <c r="M11" s="626">
        <f>'Fatores de Emissão'!G50</f>
        <v>2E-3</v>
      </c>
      <c r="N11" s="627">
        <f t="shared" si="0"/>
        <v>0</v>
      </c>
      <c r="O11" s="611"/>
      <c r="P11" s="129"/>
      <c r="Q11" s="129"/>
      <c r="R11" s="129"/>
      <c r="S11" s="129"/>
      <c r="T11" s="129"/>
      <c r="U11" s="129"/>
      <c r="V11" s="129"/>
      <c r="W11" s="118">
        <v>2027</v>
      </c>
      <c r="X11" s="140">
        <v>199</v>
      </c>
    </row>
    <row r="12" spans="1:25" s="128" customFormat="1" ht="40.15" customHeight="1" x14ac:dyDescent="0.2">
      <c r="B12" s="107" t="s">
        <v>421</v>
      </c>
      <c r="C12" s="109">
        <f>'TM3_ferrovia e metro'!F23</f>
        <v>0</v>
      </c>
      <c r="D12" s="109" t="str">
        <f>'TM3_ferrovia e metro'!E23</f>
        <v>Selecionar uma opção</v>
      </c>
      <c r="E12" s="101"/>
      <c r="F12" s="623" t="s">
        <v>423</v>
      </c>
      <c r="G12" s="624">
        <f>IFERROR(C26*C27,"0")</f>
        <v>0</v>
      </c>
      <c r="H12" s="609"/>
      <c r="I12" s="625" t="str">
        <f>IFERROR(IF(D14=FAListas!$C$56, C14,"0"),"")</f>
        <v>0</v>
      </c>
      <c r="J12" s="629" t="str">
        <f>IFERROR(IF(D14=FAListas!$C$57,'Fatores de Emissão'!E49,"0"),"")</f>
        <v>0</v>
      </c>
      <c r="K12" s="625">
        <f>IFERROR(((G12*I12)+(G12*J12))/1000,"")</f>
        <v>0</v>
      </c>
      <c r="L12" s="611"/>
      <c r="M12" s="626">
        <f>'Fatores de Emissão'!G49</f>
        <v>2E-3</v>
      </c>
      <c r="N12" s="627">
        <f t="shared" si="0"/>
        <v>0</v>
      </c>
      <c r="O12" s="611"/>
      <c r="P12" s="129"/>
      <c r="Q12" s="129"/>
      <c r="R12" s="129"/>
      <c r="S12" s="129"/>
      <c r="T12" s="129"/>
      <c r="U12" s="129"/>
      <c r="V12" s="129"/>
      <c r="W12" s="118">
        <v>2028</v>
      </c>
      <c r="X12" s="140">
        <v>216</v>
      </c>
    </row>
    <row r="13" spans="1:25" s="128" customFormat="1" ht="40.15" customHeight="1" x14ac:dyDescent="0.2">
      <c r="B13" s="107" t="s">
        <v>737</v>
      </c>
      <c r="C13" s="109">
        <f>'TM3_ferrovia e metro'!F25</f>
        <v>0</v>
      </c>
      <c r="D13" s="109" t="str">
        <f>'TM3_ferrovia e metro'!E25</f>
        <v>Selecionar uma opção</v>
      </c>
      <c r="E13" s="101"/>
      <c r="F13" s="623" t="s">
        <v>424</v>
      </c>
      <c r="G13" s="624">
        <f>IFERROR(C28*C29,"0")</f>
        <v>0</v>
      </c>
      <c r="H13" s="609"/>
      <c r="I13" s="625" t="str">
        <f>IFERROR(IF(D15=FAListas!$C$56, C15,"0"),"")</f>
        <v>0</v>
      </c>
      <c r="J13" s="629" t="str">
        <f>IFERROR(IF(D15=FAListas!$C$57,'Fatores de Emissão'!E51,"0"),"")</f>
        <v>0</v>
      </c>
      <c r="K13" s="625">
        <f>IFERROR(((G13*I13)+(G13*J13))/1000,"")</f>
        <v>0</v>
      </c>
      <c r="L13" s="611"/>
      <c r="M13" s="630">
        <f>'Fatores de Emissão'!G51</f>
        <v>2E-3</v>
      </c>
      <c r="N13" s="627">
        <f t="shared" si="0"/>
        <v>0</v>
      </c>
      <c r="O13" s="615"/>
      <c r="R13" s="129"/>
      <c r="S13" s="129"/>
      <c r="T13" s="129"/>
      <c r="U13" s="129"/>
      <c r="V13" s="129"/>
      <c r="W13" s="118">
        <v>2029</v>
      </c>
      <c r="X13" s="140">
        <v>233</v>
      </c>
    </row>
    <row r="14" spans="1:25" s="128" customFormat="1" ht="40.15" customHeight="1" x14ac:dyDescent="0.2">
      <c r="B14" s="107" t="s">
        <v>428</v>
      </c>
      <c r="C14" s="109">
        <f>'TM3_ferrovia e metro'!F27</f>
        <v>0</v>
      </c>
      <c r="D14" s="109" t="str">
        <f>'TM3_ferrovia e metro'!E27</f>
        <v>Selecionar uma opção</v>
      </c>
      <c r="E14" s="101"/>
      <c r="F14" s="628" t="s">
        <v>339</v>
      </c>
      <c r="G14" s="624">
        <f>IFERROR(C30*C31,"0")</f>
        <v>0</v>
      </c>
      <c r="H14" s="609"/>
      <c r="I14" s="625" t="str">
        <f>IFERROR(IF(D16=FAListas!$C$56, C16,"0"),"")</f>
        <v>0</v>
      </c>
      <c r="J14" s="629" t="str">
        <f>IFERROR(IF(D16=FAListas!$C$57,'Fatores de Emissão'!E46,"0"),"")</f>
        <v>0</v>
      </c>
      <c r="K14" s="625">
        <f>IFERROR(((G14*I14)+(G14*J14))/1000,"")</f>
        <v>0</v>
      </c>
      <c r="L14" s="611"/>
      <c r="M14" s="626">
        <f>'Fatores de Emissão'!G46</f>
        <v>1.8935294117647057E-2</v>
      </c>
      <c r="N14" s="627">
        <f t="shared" si="0"/>
        <v>0</v>
      </c>
      <c r="O14" s="612"/>
      <c r="R14" s="129"/>
      <c r="S14" s="129"/>
      <c r="T14" s="129"/>
      <c r="U14" s="129"/>
      <c r="V14" s="129"/>
      <c r="W14" s="118">
        <v>2030</v>
      </c>
      <c r="X14" s="140">
        <v>250</v>
      </c>
    </row>
    <row r="15" spans="1:25" s="128" customFormat="1" ht="40.15" customHeight="1" x14ac:dyDescent="0.2">
      <c r="B15" s="107" t="s">
        <v>738</v>
      </c>
      <c r="C15" s="109">
        <f>'TM3_ferrovia e metro'!F29</f>
        <v>0</v>
      </c>
      <c r="D15" s="109" t="str">
        <f>'TM3_ferrovia e metro'!E29</f>
        <v>Selecionar uma opção</v>
      </c>
      <c r="E15" s="101"/>
      <c r="F15" s="628" t="s">
        <v>739</v>
      </c>
      <c r="G15" s="624">
        <f>IFERROR(C32*C33,"0")</f>
        <v>0</v>
      </c>
      <c r="H15" s="616"/>
      <c r="I15" s="633">
        <f>IFERROR(C17,"")</f>
        <v>0</v>
      </c>
      <c r="J15" s="617">
        <v>0</v>
      </c>
      <c r="K15" s="625">
        <f>IFERROR((G15*I15)/1000,"")</f>
        <v>0</v>
      </c>
      <c r="L15" s="618"/>
      <c r="M15" s="619">
        <f>IFERROR(C18,"")</f>
        <v>0</v>
      </c>
      <c r="N15" s="627">
        <f t="shared" si="0"/>
        <v>0</v>
      </c>
      <c r="O15" s="620"/>
      <c r="R15" s="129"/>
      <c r="S15" s="129"/>
      <c r="T15" s="129"/>
      <c r="U15" s="129"/>
      <c r="V15" s="129"/>
      <c r="W15" s="118">
        <v>2031</v>
      </c>
      <c r="X15" s="140">
        <v>278</v>
      </c>
    </row>
    <row r="16" spans="1:25" s="128" customFormat="1" ht="40.15" customHeight="1" x14ac:dyDescent="0.2">
      <c r="B16" s="382" t="s">
        <v>339</v>
      </c>
      <c r="C16" s="383">
        <f>'TM3_ferrovia e metro'!F31</f>
        <v>0</v>
      </c>
      <c r="D16" s="383" t="str">
        <f>'TM3_ferrovia e metro'!E31</f>
        <v>Selecionar uma opção</v>
      </c>
      <c r="E16" s="101"/>
      <c r="F16" s="346"/>
      <c r="G16" s="102"/>
      <c r="H16" s="102"/>
      <c r="I16" s="347"/>
      <c r="J16" s="168" t="s">
        <v>246</v>
      </c>
      <c r="K16" s="634">
        <f>IFERROR(SUM(K9:K15),"")</f>
        <v>0</v>
      </c>
      <c r="L16" s="613"/>
      <c r="M16" s="262"/>
      <c r="N16" s="634">
        <f>SUM(N9:N15)</f>
        <v>0</v>
      </c>
      <c r="O16" s="613"/>
      <c r="P16" s="166" t="s">
        <v>249</v>
      </c>
      <c r="R16" s="129"/>
      <c r="S16" s="129"/>
      <c r="T16" s="129"/>
      <c r="U16" s="129"/>
      <c r="V16" s="129"/>
      <c r="W16" s="118">
        <v>2032</v>
      </c>
      <c r="X16" s="140">
        <v>306</v>
      </c>
    </row>
    <row r="17" spans="1:24" s="128" customFormat="1" ht="24" customHeight="1" x14ac:dyDescent="0.2">
      <c r="B17" s="387" t="s">
        <v>739</v>
      </c>
      <c r="C17" s="383">
        <f>'TM3_ferrovia e metro'!F33</f>
        <v>0</v>
      </c>
      <c r="D17" s="383" t="str">
        <f>'TM3_ferrovia e metro'!E34</f>
        <v xml:space="preserve">Fator de emissão GEE do utilizador </v>
      </c>
      <c r="E17" s="101"/>
      <c r="F17" s="346"/>
      <c r="G17" s="102"/>
      <c r="H17" s="102"/>
      <c r="I17" s="532"/>
      <c r="J17" s="162"/>
      <c r="K17" s="162"/>
      <c r="L17" s="162"/>
      <c r="M17" s="163"/>
      <c r="N17" s="347"/>
      <c r="O17" s="347"/>
      <c r="R17" s="129"/>
      <c r="S17" s="129"/>
      <c r="T17" s="129"/>
      <c r="U17" s="129"/>
      <c r="V17" s="129"/>
      <c r="W17" s="118">
        <v>2033</v>
      </c>
      <c r="X17" s="140">
        <v>334</v>
      </c>
    </row>
    <row r="18" spans="1:24" s="128" customFormat="1" ht="30" customHeight="1" x14ac:dyDescent="0.2">
      <c r="B18" s="387" t="s">
        <v>746</v>
      </c>
      <c r="C18" s="383">
        <f>'TM3_ferrovia e metro'!F34</f>
        <v>0</v>
      </c>
      <c r="D18" s="383" t="str">
        <f>'TM3_ferrovia e metro'!E34</f>
        <v xml:space="preserve">Fator de emissão GEE do utilizador </v>
      </c>
      <c r="E18" s="101"/>
      <c r="F18" s="160"/>
      <c r="G18" s="102"/>
      <c r="H18" s="532"/>
      <c r="I18" s="162"/>
      <c r="J18" s="162"/>
      <c r="K18" s="162"/>
      <c r="L18" s="162"/>
      <c r="M18" s="163"/>
      <c r="N18" s="347"/>
      <c r="O18" s="347"/>
      <c r="P18" s="129"/>
      <c r="Q18" s="129"/>
      <c r="R18" s="129"/>
      <c r="S18" s="129"/>
      <c r="T18" s="129"/>
      <c r="U18" s="129"/>
      <c r="V18" s="129"/>
      <c r="W18" s="118">
        <v>2034</v>
      </c>
      <c r="X18" s="140">
        <v>362</v>
      </c>
    </row>
    <row r="19" spans="1:24" s="128" customFormat="1" ht="30" customHeight="1" x14ac:dyDescent="0.2">
      <c r="B19" s="387"/>
      <c r="C19" s="102"/>
      <c r="D19" s="102"/>
      <c r="E19" s="101"/>
      <c r="F19" s="160"/>
      <c r="G19" s="102"/>
      <c r="H19" s="532"/>
      <c r="I19" s="162"/>
      <c r="J19" s="162"/>
      <c r="K19" s="162"/>
      <c r="L19" s="162"/>
      <c r="M19" s="163"/>
      <c r="N19" s="347"/>
      <c r="O19" s="347"/>
      <c r="P19" s="129"/>
      <c r="Q19" s="129"/>
      <c r="R19" s="129"/>
      <c r="S19" s="129"/>
      <c r="T19" s="129"/>
      <c r="U19" s="129"/>
      <c r="V19" s="129"/>
      <c r="W19" s="118">
        <v>2035</v>
      </c>
      <c r="X19" s="140">
        <v>390</v>
      </c>
    </row>
    <row r="20" spans="1:24" s="128" customFormat="1" ht="30" customHeight="1" x14ac:dyDescent="0.2">
      <c r="B20" s="384" t="s">
        <v>114</v>
      </c>
      <c r="C20" s="385" t="s">
        <v>86</v>
      </c>
      <c r="D20" s="386"/>
      <c r="E20" s="101"/>
      <c r="F20" s="160"/>
      <c r="G20" s="102"/>
      <c r="H20" s="102"/>
      <c r="I20" s="161"/>
      <c r="J20" s="341"/>
      <c r="K20" s="342"/>
      <c r="L20" s="342"/>
      <c r="M20" s="343"/>
      <c r="N20" s="342"/>
      <c r="O20" s="342"/>
      <c r="P20" s="166"/>
      <c r="Q20" s="129"/>
      <c r="R20" s="129"/>
      <c r="S20" s="129"/>
      <c r="T20" s="129"/>
      <c r="U20" s="129"/>
      <c r="V20" s="129"/>
      <c r="W20" s="118">
        <v>2036</v>
      </c>
      <c r="X20" s="140">
        <v>417</v>
      </c>
    </row>
    <row r="21" spans="1:24" s="128" customFormat="1" ht="40.15" customHeight="1" x14ac:dyDescent="0.2">
      <c r="B21" s="632" t="s">
        <v>717</v>
      </c>
      <c r="C21" s="109">
        <f>IFERROR('TM3_ferrovia e metro'!E48,"")</f>
        <v>0</v>
      </c>
      <c r="D21" s="109"/>
      <c r="E21" s="101"/>
      <c r="F21" s="160"/>
      <c r="G21" s="102"/>
      <c r="H21" s="102"/>
      <c r="I21" s="161"/>
      <c r="J21" s="162"/>
      <c r="K21" s="162"/>
      <c r="L21" s="162"/>
      <c r="M21" s="163"/>
      <c r="N21" s="162"/>
      <c r="O21" s="106"/>
      <c r="P21" s="129"/>
      <c r="Q21" s="129"/>
      <c r="R21" s="129"/>
      <c r="S21" s="129"/>
      <c r="T21" s="129"/>
      <c r="U21" s="129"/>
      <c r="V21" s="129"/>
      <c r="W21" s="118">
        <v>2037</v>
      </c>
      <c r="X21" s="140">
        <v>444</v>
      </c>
    </row>
    <row r="22" spans="1:24" s="128" customFormat="1" ht="60" customHeight="1" x14ac:dyDescent="0.2">
      <c r="A22" s="102" t="s">
        <v>329</v>
      </c>
      <c r="B22" s="107" t="str">
        <f>'TM3_ferrovia e metro'!C50</f>
        <v xml:space="preserve">Nº médio de novos passageiros gerados pelo projeto, num ano típico de funcionamento </v>
      </c>
      <c r="C22" s="109">
        <f>IFERROR('TM3_ferrovia e metro'!E50,"")</f>
        <v>0</v>
      </c>
      <c r="D22" s="109"/>
      <c r="E22" s="101"/>
      <c r="F22" s="160"/>
      <c r="G22" s="102"/>
      <c r="H22" s="102"/>
      <c r="I22" s="161"/>
      <c r="J22" s="162"/>
      <c r="K22" s="162"/>
      <c r="L22" s="162"/>
      <c r="M22" s="163"/>
      <c r="N22" s="162"/>
      <c r="O22" s="106"/>
      <c r="P22" s="129"/>
      <c r="Q22" s="129"/>
      <c r="R22" s="129"/>
      <c r="S22" s="129"/>
      <c r="T22" s="129"/>
      <c r="U22" s="129"/>
      <c r="V22" s="129"/>
      <c r="W22" s="118">
        <v>2038</v>
      </c>
      <c r="X22" s="140">
        <v>471</v>
      </c>
    </row>
    <row r="23" spans="1:24" s="128" customFormat="1" ht="60" customHeight="1" x14ac:dyDescent="0.2">
      <c r="A23" s="102" t="s">
        <v>329</v>
      </c>
      <c r="B23" s="107" t="str">
        <f>'TM3_ferrovia e metro'!C51</f>
        <v xml:space="preserve">Nº comboios * Nº de km percorridos por um comboio, num ano típico de funcionamento  </v>
      </c>
      <c r="C23" s="631">
        <f>'TM3_ferrovia e metro'!E51</f>
        <v>0</v>
      </c>
      <c r="D23" s="109"/>
      <c r="E23" s="101"/>
      <c r="F23" s="160"/>
      <c r="G23" s="102"/>
      <c r="H23" s="102"/>
      <c r="I23" s="161"/>
      <c r="J23" s="102"/>
      <c r="K23" s="102"/>
      <c r="L23" s="102"/>
      <c r="M23" s="102"/>
      <c r="N23" s="102"/>
      <c r="O23" s="106"/>
      <c r="P23" s="129"/>
      <c r="Q23" s="129"/>
      <c r="R23" s="129"/>
      <c r="S23" s="129"/>
      <c r="T23" s="129"/>
      <c r="U23" s="129"/>
      <c r="V23" s="129"/>
      <c r="W23" s="118">
        <v>2039</v>
      </c>
      <c r="X23" s="140">
        <v>498</v>
      </c>
    </row>
    <row r="24" spans="1:24" s="128" customFormat="1" ht="60" customHeight="1" x14ac:dyDescent="0.2">
      <c r="A24" s="102" t="s">
        <v>422</v>
      </c>
      <c r="B24" s="107" t="str">
        <f>'TM3_ferrovia e metro'!C56</f>
        <v xml:space="preserve">Nº médio de novos passageiros gerados pelo projeto, num ano típico de funcionamento </v>
      </c>
      <c r="C24" s="631">
        <f>'TM3_ferrovia e metro'!E53</f>
        <v>0</v>
      </c>
      <c r="D24" s="109"/>
      <c r="E24" s="101"/>
      <c r="F24" s="160"/>
      <c r="G24" s="102"/>
      <c r="H24" s="102"/>
      <c r="I24" s="161"/>
      <c r="J24" s="102"/>
      <c r="K24" s="102"/>
      <c r="L24" s="102"/>
      <c r="M24" s="102"/>
      <c r="N24" s="102"/>
      <c r="O24" s="106"/>
      <c r="P24" s="129"/>
      <c r="Q24" s="129"/>
      <c r="R24" s="129"/>
      <c r="S24" s="129"/>
      <c r="T24" s="129"/>
      <c r="U24" s="129"/>
      <c r="V24" s="129"/>
      <c r="W24" s="118">
        <v>2040</v>
      </c>
      <c r="X24" s="140">
        <v>325</v>
      </c>
    </row>
    <row r="25" spans="1:24" s="128" customFormat="1" ht="60" customHeight="1" x14ac:dyDescent="0.2">
      <c r="A25" s="102" t="s">
        <v>422</v>
      </c>
      <c r="B25" s="107" t="str">
        <f>'TM3_ferrovia e metro'!C57</f>
        <v xml:space="preserve">Nº comboios * Nº de km percorridos por um comboio, num ano típico de funcionamento  </v>
      </c>
      <c r="C25" s="631">
        <f>'TM3_ferrovia e metro'!E54</f>
        <v>0</v>
      </c>
      <c r="D25" s="109"/>
      <c r="E25" s="101"/>
      <c r="F25" s="160"/>
      <c r="G25" s="102"/>
      <c r="H25" s="102"/>
      <c r="I25" s="161"/>
      <c r="J25" s="102"/>
      <c r="K25" s="102"/>
      <c r="L25" s="102"/>
      <c r="M25" s="102"/>
      <c r="N25" s="102"/>
      <c r="O25" s="106"/>
      <c r="P25" s="129"/>
      <c r="Q25" s="129"/>
      <c r="R25" s="129"/>
      <c r="S25" s="129"/>
      <c r="T25" s="129"/>
      <c r="U25" s="129"/>
      <c r="V25" s="129"/>
      <c r="W25" s="118"/>
      <c r="X25" s="140"/>
    </row>
    <row r="26" spans="1:24" s="128" customFormat="1" ht="60" customHeight="1" x14ac:dyDescent="0.2">
      <c r="A26" s="102" t="s">
        <v>425</v>
      </c>
      <c r="B26" s="107" t="str">
        <f>'TM3_ferrovia e metro'!C59</f>
        <v xml:space="preserve">Nº médio de novos passageiros gerados pelo projeto, num ano típico de funcionamento </v>
      </c>
      <c r="C26" s="631">
        <f>'TM3_ferrovia e metro'!E56</f>
        <v>0</v>
      </c>
      <c r="D26" s="109"/>
      <c r="E26" s="101"/>
      <c r="F26" s="101"/>
      <c r="G26" s="130"/>
      <c r="H26" s="130"/>
      <c r="I26" s="101"/>
      <c r="J26" s="106"/>
      <c r="K26" s="106"/>
      <c r="L26" s="106"/>
      <c r="M26" s="106"/>
      <c r="N26" s="106"/>
      <c r="O26" s="106"/>
      <c r="P26" s="129"/>
      <c r="Q26" s="129"/>
      <c r="R26" s="129"/>
      <c r="S26" s="129"/>
      <c r="T26" s="129"/>
      <c r="U26" s="129"/>
      <c r="V26" s="129"/>
      <c r="W26" s="118"/>
      <c r="X26" s="140"/>
    </row>
    <row r="27" spans="1:24" s="128" customFormat="1" ht="60" customHeight="1" x14ac:dyDescent="0.2">
      <c r="A27" s="102" t="s">
        <v>425</v>
      </c>
      <c r="B27" s="107" t="str">
        <f>'TM3_ferrovia e metro'!C60</f>
        <v xml:space="preserve">Nº comboios * Nº de km percorridos por um comboio, num ano típico de funcionamento  </v>
      </c>
      <c r="C27" s="631">
        <f>'TM3_ferrovia e metro'!E57</f>
        <v>0</v>
      </c>
      <c r="D27" s="109"/>
      <c r="E27" s="101"/>
      <c r="F27" s="101"/>
      <c r="G27" s="130"/>
      <c r="H27" s="130"/>
      <c r="I27" s="101"/>
      <c r="J27" s="106"/>
      <c r="K27" s="106"/>
      <c r="L27" s="106"/>
      <c r="M27" s="106"/>
      <c r="N27" s="106"/>
      <c r="O27" s="106"/>
      <c r="P27" s="129"/>
      <c r="Q27" s="129"/>
      <c r="R27" s="129"/>
      <c r="S27" s="129"/>
      <c r="T27" s="129"/>
      <c r="U27" s="129"/>
      <c r="V27" s="129"/>
      <c r="W27" s="118"/>
      <c r="X27" s="140"/>
    </row>
    <row r="28" spans="1:24" s="128" customFormat="1" ht="60" customHeight="1" x14ac:dyDescent="0.2">
      <c r="A28" s="102" t="s">
        <v>426</v>
      </c>
      <c r="B28" s="107" t="str">
        <f>'TM3_ferrovia e metro'!C59</f>
        <v xml:space="preserve">Nº médio de novos passageiros gerados pelo projeto, num ano típico de funcionamento </v>
      </c>
      <c r="C28" s="109">
        <f>'TM3_ferrovia e metro'!E59</f>
        <v>0</v>
      </c>
      <c r="D28" s="109"/>
      <c r="E28" s="101"/>
      <c r="F28" s="101"/>
      <c r="G28" s="130"/>
      <c r="H28" s="130"/>
      <c r="I28" s="101"/>
      <c r="J28" s="106"/>
      <c r="K28" s="106"/>
      <c r="L28" s="106"/>
      <c r="M28" s="106"/>
      <c r="N28" s="106"/>
      <c r="O28" s="106"/>
      <c r="P28" s="129"/>
      <c r="Q28" s="129"/>
      <c r="R28" s="129"/>
      <c r="S28" s="129"/>
      <c r="T28" s="129"/>
      <c r="U28" s="129"/>
      <c r="V28" s="129"/>
      <c r="W28" s="118"/>
      <c r="X28" s="140"/>
    </row>
    <row r="29" spans="1:24" s="128" customFormat="1" ht="60" customHeight="1" x14ac:dyDescent="0.2">
      <c r="A29" s="102" t="s">
        <v>426</v>
      </c>
      <c r="B29" s="107" t="str">
        <f>'TM3_ferrovia e metro'!C60</f>
        <v xml:space="preserve">Nº comboios * Nº de km percorridos por um comboio, num ano típico de funcionamento  </v>
      </c>
      <c r="C29" s="631">
        <f>'TM3_ferrovia e metro'!E60</f>
        <v>0</v>
      </c>
      <c r="D29" s="109"/>
      <c r="E29" s="101"/>
      <c r="F29" s="101"/>
      <c r="G29" s="130"/>
      <c r="H29" s="130"/>
      <c r="I29" s="101"/>
      <c r="J29" s="106"/>
      <c r="K29" s="106"/>
      <c r="L29" s="106"/>
      <c r="M29" s="106"/>
      <c r="N29" s="106"/>
      <c r="O29" s="106"/>
      <c r="P29" s="129"/>
      <c r="Q29" s="129"/>
      <c r="R29" s="129"/>
      <c r="S29" s="129"/>
      <c r="T29" s="129"/>
      <c r="U29" s="129"/>
      <c r="V29" s="129"/>
      <c r="W29" s="118"/>
      <c r="X29" s="140"/>
    </row>
    <row r="30" spans="1:24" s="128" customFormat="1" ht="60" customHeight="1" x14ac:dyDescent="0.2">
      <c r="A30" s="106" t="s">
        <v>339</v>
      </c>
      <c r="B30" s="107" t="str">
        <f>'TM3_ferrovia e metro'!C65</f>
        <v xml:space="preserve">Nº médio de novos passageiros gerados pelo projeto, num ano típico de funcionamento </v>
      </c>
      <c r="C30" s="109">
        <f>'TM3_ferrovia e metro'!E62</f>
        <v>0</v>
      </c>
      <c r="D30" s="109"/>
      <c r="E30" s="106"/>
      <c r="F30" s="106"/>
      <c r="G30" s="106"/>
      <c r="H30" s="106"/>
      <c r="I30" s="106"/>
      <c r="J30" s="106"/>
      <c r="K30" s="106"/>
      <c r="L30" s="106"/>
      <c r="M30" s="106"/>
      <c r="N30" s="106"/>
      <c r="O30" s="106"/>
      <c r="P30" s="129"/>
      <c r="Q30" s="129"/>
      <c r="R30" s="129"/>
      <c r="S30" s="129"/>
      <c r="T30" s="129"/>
      <c r="U30" s="129"/>
      <c r="V30" s="129"/>
      <c r="W30" s="118"/>
      <c r="X30" s="140"/>
    </row>
    <row r="31" spans="1:24" s="128" customFormat="1" ht="60" customHeight="1" x14ac:dyDescent="0.2">
      <c r="A31" s="106" t="s">
        <v>339</v>
      </c>
      <c r="B31" s="107" t="str">
        <f>'TM3_ferrovia e metro'!C66</f>
        <v xml:space="preserve">Nº comboios * Nº de km  percorridos por um comboio, num ano típico de funcionamento  </v>
      </c>
      <c r="C31" s="631">
        <f>'TM3_ferrovia e metro'!E63</f>
        <v>0</v>
      </c>
      <c r="D31" s="109"/>
      <c r="E31" s="106"/>
      <c r="F31" s="106"/>
      <c r="G31" s="106"/>
      <c r="H31" s="106"/>
      <c r="I31" s="106"/>
      <c r="J31" s="106"/>
      <c r="K31" s="106"/>
      <c r="L31" s="106"/>
      <c r="M31" s="106"/>
      <c r="N31" s="106"/>
      <c r="O31" s="106"/>
      <c r="W31" s="118"/>
      <c r="X31" s="140"/>
    </row>
    <row r="32" spans="1:24" s="128" customFormat="1" ht="40.15" customHeight="1" x14ac:dyDescent="0.2">
      <c r="A32" s="102" t="s">
        <v>739</v>
      </c>
      <c r="B32" s="107" t="str">
        <f>'TM3_ferrovia e metro'!C65</f>
        <v xml:space="preserve">Nº médio de novos passageiros gerados pelo projeto, num ano típico de funcionamento </v>
      </c>
      <c r="C32" s="109">
        <f>'TM3_ferrovia e metro'!E65</f>
        <v>0</v>
      </c>
      <c r="D32" s="109"/>
      <c r="E32" s="106"/>
      <c r="F32" s="106"/>
      <c r="G32" s="106"/>
      <c r="H32" s="106"/>
      <c r="I32" s="106"/>
      <c r="J32" s="106"/>
      <c r="K32" s="106"/>
      <c r="L32" s="106"/>
      <c r="M32" s="106"/>
      <c r="N32" s="106"/>
      <c r="O32" s="106"/>
      <c r="W32" s="118"/>
      <c r="X32" s="140"/>
    </row>
    <row r="33" spans="1:15" s="123" customFormat="1" ht="40.15" customHeight="1" x14ac:dyDescent="0.2">
      <c r="A33" s="102" t="s">
        <v>739</v>
      </c>
      <c r="B33" s="107" t="str">
        <f>'TM3_ferrovia e metro'!C66</f>
        <v xml:space="preserve">Nº comboios * Nº de km  percorridos por um comboio, num ano típico de funcionamento  </v>
      </c>
      <c r="C33" s="631">
        <f>'TM3_ferrovia e metro'!E66</f>
        <v>0</v>
      </c>
      <c r="D33" s="109"/>
      <c r="E33" s="124"/>
      <c r="F33" s="124"/>
      <c r="G33" s="124"/>
      <c r="H33" s="124"/>
      <c r="I33" s="124"/>
      <c r="J33" s="124"/>
      <c r="K33" s="124"/>
      <c r="L33" s="124"/>
      <c r="M33" s="124"/>
      <c r="N33" s="124"/>
      <c r="O33" s="124"/>
    </row>
    <row r="34" spans="1:15" s="123" customFormat="1" ht="30" customHeight="1" x14ac:dyDescent="0.2">
      <c r="D34" s="124"/>
      <c r="E34" s="124"/>
      <c r="F34" s="124"/>
      <c r="G34" s="124"/>
      <c r="H34" s="124"/>
      <c r="I34" s="124"/>
      <c r="J34" s="124"/>
      <c r="K34" s="124"/>
      <c r="L34" s="124"/>
      <c r="M34" s="124"/>
      <c r="N34" s="124"/>
      <c r="O34" s="124"/>
    </row>
    <row r="35" spans="1:15" s="121" customFormat="1" ht="30" customHeight="1" x14ac:dyDescent="0.2">
      <c r="B35" s="120" t="s">
        <v>433</v>
      </c>
      <c r="D35" s="122"/>
      <c r="E35" s="122"/>
      <c r="F35" s="122"/>
      <c r="G35" s="122"/>
      <c r="H35" s="122"/>
      <c r="I35" s="122"/>
      <c r="J35" s="122"/>
      <c r="K35" s="122"/>
      <c r="L35" s="122"/>
      <c r="M35" s="122"/>
      <c r="N35" s="122"/>
      <c r="O35" s="122"/>
    </row>
    <row r="36" spans="1:15" s="175" customFormat="1" ht="30" customHeight="1" x14ac:dyDescent="0.2">
      <c r="B36" s="176"/>
      <c r="D36" s="177"/>
      <c r="E36" s="177"/>
      <c r="F36" s="177"/>
      <c r="G36" s="177"/>
      <c r="H36" s="177"/>
      <c r="I36" s="177"/>
      <c r="J36" s="177"/>
      <c r="K36" s="177"/>
      <c r="L36" s="177"/>
      <c r="M36" s="177"/>
      <c r="N36" s="177"/>
      <c r="O36" s="177"/>
    </row>
    <row r="37" spans="1:15" s="175" customFormat="1" ht="30" customHeight="1" x14ac:dyDescent="0.2">
      <c r="B37" s="176" t="s">
        <v>252</v>
      </c>
      <c r="D37" s="177"/>
      <c r="E37" s="177"/>
      <c r="F37" s="177"/>
      <c r="G37" s="177"/>
      <c r="H37" s="177"/>
      <c r="I37" s="177"/>
      <c r="J37" s="177"/>
      <c r="K37" s="177"/>
      <c r="L37" s="177"/>
      <c r="M37" s="177"/>
      <c r="N37" s="177"/>
      <c r="O37" s="177"/>
    </row>
    <row r="38" spans="1:15" s="175" customFormat="1" ht="30" customHeight="1" x14ac:dyDescent="0.2">
      <c r="B38" s="176"/>
      <c r="D38" s="177"/>
      <c r="E38" s="177"/>
      <c r="F38" s="177"/>
      <c r="G38" s="177"/>
      <c r="H38" s="177"/>
      <c r="I38" s="177"/>
      <c r="J38" s="177"/>
      <c r="K38" s="177"/>
      <c r="L38" s="177"/>
      <c r="M38" s="177"/>
      <c r="N38" s="177"/>
      <c r="O38" s="177"/>
    </row>
    <row r="39" spans="1:15" s="175" customFormat="1" ht="30" customHeight="1" x14ac:dyDescent="0.2">
      <c r="B39" s="120" t="s">
        <v>285</v>
      </c>
      <c r="C39" s="179" t="s">
        <v>77</v>
      </c>
      <c r="D39" s="122" t="s">
        <v>909</v>
      </c>
      <c r="E39" s="122" t="s">
        <v>256</v>
      </c>
      <c r="F39" s="177"/>
      <c r="G39" s="122" t="s">
        <v>286</v>
      </c>
      <c r="H39" s="122" t="s">
        <v>77</v>
      </c>
      <c r="I39" s="122" t="s">
        <v>909</v>
      </c>
      <c r="J39" s="122" t="s">
        <v>256</v>
      </c>
      <c r="K39" s="177"/>
      <c r="L39" s="177"/>
      <c r="M39" s="177"/>
      <c r="N39" s="177"/>
      <c r="O39" s="177"/>
    </row>
    <row r="40" spans="1:15" s="175" customFormat="1" ht="30" customHeight="1" x14ac:dyDescent="0.2">
      <c r="B40" s="176" t="s">
        <v>125</v>
      </c>
      <c r="C40" s="178">
        <v>0.55000000000000004</v>
      </c>
      <c r="D40" s="180">
        <f>'Fatores de Emissão'!E99</f>
        <v>0.12029271250000002</v>
      </c>
      <c r="E40" s="181">
        <f t="shared" ref="E40:E45" si="1">C40*D40</f>
        <v>6.6160991875000019E-2</v>
      </c>
      <c r="F40" s="177"/>
      <c r="G40" s="247" t="s">
        <v>125</v>
      </c>
      <c r="H40" s="388">
        <v>0.84</v>
      </c>
      <c r="I40" s="124">
        <f>'Fatores de Emissão'!E63</f>
        <v>8.29704311418685E-2</v>
      </c>
      <c r="J40" s="389">
        <f>H40*I40</f>
        <v>6.9695162159169544E-2</v>
      </c>
      <c r="K40" s="181"/>
      <c r="L40" s="177"/>
      <c r="M40" s="177"/>
      <c r="N40" s="177"/>
      <c r="O40" s="177"/>
    </row>
    <row r="41" spans="1:15" s="175" customFormat="1" ht="30" customHeight="1" x14ac:dyDescent="0.2">
      <c r="B41" s="176" t="s">
        <v>227</v>
      </c>
      <c r="C41" s="178">
        <v>0.38</v>
      </c>
      <c r="D41" s="180">
        <f>'Fatores de Emissão'!E93</f>
        <v>0.12633856874999999</v>
      </c>
      <c r="E41" s="181">
        <f t="shared" si="1"/>
        <v>4.8008656125E-2</v>
      </c>
      <c r="F41" s="177"/>
      <c r="G41" s="247" t="s">
        <v>89</v>
      </c>
      <c r="H41" s="388">
        <v>0.16</v>
      </c>
      <c r="I41" s="124">
        <f>'Fatores de Emissão'!E68</f>
        <v>9.3486387543252586E-2</v>
      </c>
      <c r="J41" s="389">
        <f>H41*I41</f>
        <v>1.4957822006920415E-2</v>
      </c>
      <c r="K41" s="177"/>
      <c r="L41" s="177"/>
      <c r="M41" s="177"/>
      <c r="N41" s="177"/>
      <c r="O41" s="177"/>
    </row>
    <row r="42" spans="1:15" s="175" customFormat="1" ht="30" customHeight="1" x14ac:dyDescent="0.2">
      <c r="B42" s="176" t="s">
        <v>230</v>
      </c>
      <c r="C42" s="178">
        <v>0.01</v>
      </c>
      <c r="D42" s="180">
        <f>'Fatores de Emissão'!E102</f>
        <v>0.119959</v>
      </c>
      <c r="E42" s="181">
        <f t="shared" si="1"/>
        <v>1.1995899999999999E-3</v>
      </c>
      <c r="F42" s="177"/>
      <c r="G42" s="182" t="s">
        <v>246</v>
      </c>
      <c r="H42" s="182"/>
      <c r="I42" s="182"/>
      <c r="J42" s="789">
        <f>SUM(J36:J41)</f>
        <v>8.4652984166089962E-2</v>
      </c>
      <c r="K42" s="177"/>
      <c r="L42" s="177"/>
      <c r="M42" s="177"/>
      <c r="N42" s="177"/>
      <c r="O42" s="177"/>
    </row>
    <row r="43" spans="1:15" s="175" customFormat="1" ht="30" customHeight="1" x14ac:dyDescent="0.2">
      <c r="B43" s="176" t="s">
        <v>255</v>
      </c>
      <c r="C43" s="178">
        <v>0.02</v>
      </c>
      <c r="D43" s="180">
        <f>'Fatores de Emissão'!E9</f>
        <v>1.3839724576271188E-2</v>
      </c>
      <c r="E43" s="181">
        <f t="shared" si="1"/>
        <v>2.7679449152542379E-4</v>
      </c>
      <c r="F43" s="177"/>
      <c r="G43" s="177"/>
      <c r="H43" s="177"/>
      <c r="I43" s="177"/>
      <c r="J43" s="177"/>
      <c r="K43" s="177"/>
      <c r="L43" s="177"/>
      <c r="M43" s="177"/>
      <c r="N43" s="177"/>
      <c r="O43" s="177"/>
    </row>
    <row r="44" spans="1:15" s="175" customFormat="1" ht="30" customHeight="1" x14ac:dyDescent="0.2">
      <c r="B44" s="176" t="s">
        <v>254</v>
      </c>
      <c r="C44" s="178">
        <v>0.02</v>
      </c>
      <c r="D44" s="180">
        <f>'Fatores de Emissão'!E96</f>
        <v>8.0156249999999998E-2</v>
      </c>
      <c r="E44" s="181">
        <f t="shared" si="1"/>
        <v>1.6031249999999999E-3</v>
      </c>
      <c r="F44" s="177"/>
      <c r="G44" s="177"/>
      <c r="H44" s="177"/>
      <c r="I44" s="177"/>
      <c r="J44" s="177"/>
      <c r="K44" s="177"/>
      <c r="L44" s="177"/>
      <c r="M44" s="177"/>
      <c r="N44" s="177"/>
      <c r="O44" s="177"/>
    </row>
    <row r="45" spans="1:15" s="175" customFormat="1" ht="30" customHeight="1" x14ac:dyDescent="0.2">
      <c r="B45" s="176" t="s">
        <v>260</v>
      </c>
      <c r="C45" s="178">
        <v>0.02</v>
      </c>
      <c r="D45" s="180">
        <f>'Fatores de Emissão'!E10</f>
        <v>4.4243290960451981E-3</v>
      </c>
      <c r="E45" s="181">
        <f t="shared" si="1"/>
        <v>8.8486581920903967E-5</v>
      </c>
      <c r="F45" s="177"/>
      <c r="G45" s="188" t="s">
        <v>263</v>
      </c>
      <c r="H45" s="186" t="s">
        <v>9</v>
      </c>
      <c r="I45" s="177"/>
      <c r="J45" s="177"/>
      <c r="K45" s="177"/>
      <c r="L45" s="177"/>
      <c r="M45" s="177"/>
      <c r="N45" s="177"/>
      <c r="O45" s="177"/>
    </row>
    <row r="46" spans="1:15" s="175" customFormat="1" ht="30" customHeight="1" x14ac:dyDescent="0.2">
      <c r="B46" s="182" t="s">
        <v>246</v>
      </c>
      <c r="C46" s="183"/>
      <c r="D46" s="184"/>
      <c r="E46" s="185">
        <f>SUM(E40:E45)</f>
        <v>0.11733764407344634</v>
      </c>
      <c r="F46" s="177"/>
      <c r="G46" s="187" t="s">
        <v>205</v>
      </c>
      <c r="H46" s="177" t="e">
        <f>VLOOKUP($C$9,FAListas!C20:D28,2,FALSE)</f>
        <v>#N/A</v>
      </c>
      <c r="I46" s="177"/>
      <c r="J46" s="177"/>
      <c r="K46" s="177"/>
      <c r="L46" s="177"/>
      <c r="M46" s="177"/>
      <c r="N46" s="177"/>
      <c r="O46" s="177"/>
    </row>
    <row r="47" spans="1:15" s="175" customFormat="1" ht="30" customHeight="1" x14ac:dyDescent="0.2">
      <c r="D47" s="177"/>
      <c r="E47" s="177">
        <v>30</v>
      </c>
      <c r="F47" s="177"/>
      <c r="G47" s="204"/>
      <c r="H47" s="205"/>
      <c r="I47" s="177"/>
      <c r="J47" s="177"/>
      <c r="K47" s="177"/>
      <c r="L47" s="177"/>
      <c r="M47" s="177"/>
      <c r="N47" s="177"/>
      <c r="O47" s="177"/>
    </row>
    <row r="48" spans="1:15" s="175" customFormat="1" ht="30" customHeight="1" x14ac:dyDescent="0.2">
      <c r="D48" s="177"/>
      <c r="E48" s="177">
        <v>3000</v>
      </c>
      <c r="F48" s="177"/>
      <c r="G48" s="187" t="s">
        <v>154</v>
      </c>
      <c r="H48" s="177">
        <f>'Fatores de Emissão'!E47</f>
        <v>8.9999999999999993E-3</v>
      </c>
      <c r="I48" s="177"/>
      <c r="J48" s="177"/>
      <c r="K48" s="177"/>
      <c r="L48" s="177"/>
      <c r="M48" s="177"/>
      <c r="N48" s="177"/>
      <c r="O48" s="177"/>
    </row>
    <row r="49" spans="1:18" s="175" customFormat="1" ht="30" customHeight="1" x14ac:dyDescent="0.2">
      <c r="D49" s="177"/>
      <c r="E49" s="177"/>
      <c r="F49" s="177"/>
      <c r="G49" s="187" t="s">
        <v>765</v>
      </c>
      <c r="H49" s="177">
        <v>0</v>
      </c>
      <c r="I49" s="177"/>
      <c r="J49" s="177"/>
      <c r="K49" s="177"/>
      <c r="L49" s="177"/>
      <c r="M49" s="177"/>
      <c r="N49" s="177"/>
      <c r="O49" s="177"/>
    </row>
    <row r="50" spans="1:18" s="175" customFormat="1" ht="30" customHeight="1" x14ac:dyDescent="0.2">
      <c r="D50" s="177"/>
      <c r="E50" s="177">
        <v>30</v>
      </c>
      <c r="F50" s="177"/>
      <c r="G50" s="187" t="s">
        <v>339</v>
      </c>
      <c r="H50" s="647">
        <f>'Fatores de Emissão'!E46</f>
        <v>6.2217194570135751E-3</v>
      </c>
      <c r="I50" s="177"/>
      <c r="J50" s="177"/>
      <c r="K50" s="177"/>
      <c r="L50" s="177"/>
      <c r="M50" s="177"/>
      <c r="N50" s="177"/>
      <c r="O50" s="177"/>
    </row>
    <row r="51" spans="1:18" s="175" customFormat="1" ht="30" customHeight="1" x14ac:dyDescent="0.2">
      <c r="D51" s="177"/>
      <c r="E51" s="177">
        <v>3000</v>
      </c>
      <c r="F51" s="177"/>
      <c r="G51" s="187"/>
      <c r="H51" s="177"/>
      <c r="I51" s="177"/>
      <c r="J51" s="177"/>
      <c r="K51" s="177"/>
      <c r="L51" s="177"/>
      <c r="M51" s="177"/>
      <c r="N51" s="177"/>
      <c r="O51" s="177"/>
    </row>
    <row r="52" spans="1:18" s="123" customFormat="1" ht="30" customHeight="1" x14ac:dyDescent="0.2">
      <c r="D52" s="209"/>
      <c r="E52" s="124"/>
      <c r="F52" s="124"/>
      <c r="G52" s="124"/>
      <c r="H52" s="124"/>
      <c r="N52" s="209"/>
      <c r="O52" s="124"/>
      <c r="P52" s="124"/>
      <c r="Q52" s="124"/>
      <c r="R52" s="124"/>
    </row>
    <row r="53" spans="1:18" s="123" customFormat="1" ht="49.9" customHeight="1" x14ac:dyDescent="0.2">
      <c r="A53" s="348"/>
      <c r="B53" s="108" t="s">
        <v>264</v>
      </c>
      <c r="C53" s="151"/>
      <c r="D53" s="108" t="s">
        <v>771</v>
      </c>
      <c r="E53" s="108" t="s">
        <v>430</v>
      </c>
      <c r="F53" s="108" t="s">
        <v>429</v>
      </c>
      <c r="G53" s="108" t="s">
        <v>431</v>
      </c>
      <c r="H53" s="108" t="s">
        <v>432</v>
      </c>
      <c r="I53" s="108" t="s">
        <v>766</v>
      </c>
      <c r="J53" s="101"/>
      <c r="K53" s="101"/>
      <c r="L53" s="101"/>
      <c r="M53" s="101"/>
      <c r="N53" s="101"/>
      <c r="O53" s="101"/>
      <c r="P53" s="101"/>
      <c r="Q53" s="101"/>
      <c r="R53" s="101"/>
    </row>
    <row r="54" spans="1:18" s="123" customFormat="1" ht="30" customHeight="1" x14ac:dyDescent="0.2">
      <c r="A54" s="349"/>
      <c r="B54" s="266" t="s">
        <v>262</v>
      </c>
      <c r="C54" s="153"/>
      <c r="D54" s="148">
        <f>IFERROR(('TM3_ferrovia e metro'!E81/100),"0")</f>
        <v>0</v>
      </c>
      <c r="E54" s="148">
        <f>IFERROR(('TM3_ferrovia e metro'!E88/100),"0")</f>
        <v>0</v>
      </c>
      <c r="F54" s="148">
        <f>IFERROR(('TM3_ferrovia e metro'!E95/100),"0")</f>
        <v>0</v>
      </c>
      <c r="G54" s="148">
        <f>IFERROR(('TM3_ferrovia e metro'!E102/100),"0")</f>
        <v>0</v>
      </c>
      <c r="H54" s="148">
        <f>IFERROR(('TM3_ferrovia e metro'!E109/100),"0")</f>
        <v>0</v>
      </c>
      <c r="I54" s="148">
        <f>IFERROR(('TM3_ferrovia e metro'!E116/100),"0")</f>
        <v>0</v>
      </c>
      <c r="J54" s="157"/>
      <c r="K54" s="157"/>
      <c r="L54" s="157"/>
      <c r="M54" s="157"/>
      <c r="N54" s="157"/>
      <c r="O54" s="157"/>
      <c r="P54" s="349"/>
      <c r="Q54" s="349"/>
      <c r="R54" s="349"/>
    </row>
    <row r="55" spans="1:18" s="123" customFormat="1" ht="30" customHeight="1" x14ac:dyDescent="0.2">
      <c r="A55" s="349"/>
      <c r="B55" s="266" t="s">
        <v>171</v>
      </c>
      <c r="C55" s="153"/>
      <c r="D55" s="148">
        <f>IFERROR(('TM3_ferrovia e metro'!E82/100),"0")</f>
        <v>0</v>
      </c>
      <c r="E55" s="148">
        <f>IFERROR(('TM3_ferrovia e metro'!E89/100),"0")</f>
        <v>0</v>
      </c>
      <c r="F55" s="148">
        <f>IFERROR(('TM3_ferrovia e metro'!E96/100),"")</f>
        <v>0</v>
      </c>
      <c r="G55" s="148">
        <f>IFERROR(('TM3_ferrovia e metro'!E103/100),"")</f>
        <v>0</v>
      </c>
      <c r="H55" s="148">
        <f>IFERROR(('TM3_ferrovia e metro'!E110/100),"")</f>
        <v>0</v>
      </c>
      <c r="I55" s="148">
        <f>IFERROR(('TM3_ferrovia e metro'!E117/100),"0")</f>
        <v>0</v>
      </c>
      <c r="J55" s="157"/>
      <c r="K55" s="157"/>
      <c r="L55" s="157"/>
      <c r="M55" s="157"/>
      <c r="N55" s="157"/>
      <c r="O55" s="157"/>
      <c r="P55" s="349"/>
      <c r="Q55" s="349"/>
      <c r="R55" s="349"/>
    </row>
    <row r="56" spans="1:18" s="123" customFormat="1" ht="30" customHeight="1" x14ac:dyDescent="0.2">
      <c r="A56" s="349"/>
      <c r="B56" s="266" t="s">
        <v>205</v>
      </c>
      <c r="C56" s="153"/>
      <c r="D56" s="148">
        <f>IFERROR(('TM3_ferrovia e metro'!E83/100),"0")</f>
        <v>0</v>
      </c>
      <c r="E56" s="148" t="s">
        <v>6</v>
      </c>
      <c r="F56" s="148" t="s">
        <v>6</v>
      </c>
      <c r="G56" s="148" t="s">
        <v>6</v>
      </c>
      <c r="H56" s="148">
        <f>IFERROR(('TM3_ferrovia e metro'!E111/100),"")</f>
        <v>0</v>
      </c>
      <c r="I56" s="148">
        <f>IFERROR(('TM3_ferrovia e metro'!E118/100),"0")</f>
        <v>0</v>
      </c>
      <c r="J56" s="157"/>
      <c r="K56" s="157"/>
      <c r="L56" s="157"/>
      <c r="M56" s="157"/>
      <c r="N56" s="157"/>
      <c r="O56" s="157"/>
      <c r="P56" s="349"/>
      <c r="Q56" s="349"/>
      <c r="R56" s="349"/>
    </row>
    <row r="57" spans="1:18" s="123" customFormat="1" ht="30" customHeight="1" x14ac:dyDescent="0.2">
      <c r="A57" s="349"/>
      <c r="B57" s="266" t="s">
        <v>154</v>
      </c>
      <c r="C57" s="153"/>
      <c r="D57" s="390" t="s">
        <v>6</v>
      </c>
      <c r="E57" s="148"/>
      <c r="F57" s="148">
        <f>IFERROR(('TM3_ferrovia e metro'!E97/100),"")</f>
        <v>0</v>
      </c>
      <c r="G57" s="148">
        <f>IFERROR(('TM3_ferrovia e metro'!E104/100),"")</f>
        <v>0</v>
      </c>
      <c r="H57" s="148">
        <f>IFERROR(('TM3_ferrovia e metro'!E112/100),"")</f>
        <v>0</v>
      </c>
      <c r="I57" s="148">
        <f>IFERROR(('TM3_ferrovia e metro'!E119/100),"0")</f>
        <v>0</v>
      </c>
      <c r="J57" s="392"/>
      <c r="K57" s="157"/>
      <c r="L57" s="157"/>
      <c r="M57" s="157"/>
      <c r="N57" s="157"/>
      <c r="O57" s="157"/>
      <c r="P57" s="349"/>
      <c r="Q57" s="349"/>
      <c r="R57" s="349"/>
    </row>
    <row r="58" spans="1:18" s="123" customFormat="1" ht="30" customHeight="1" x14ac:dyDescent="0.2">
      <c r="A58" s="349"/>
      <c r="B58" s="266" t="s">
        <v>770</v>
      </c>
      <c r="C58" s="153"/>
      <c r="D58" s="148">
        <f>IFERROR(('TM3_ferrovia e metro'!E84/100),"0")</f>
        <v>0</v>
      </c>
      <c r="E58" s="148">
        <f>IFERROR(('TM3_ferrovia e metro'!E91/100),"0")</f>
        <v>0</v>
      </c>
      <c r="F58" s="148">
        <f>IFERROR(('TM3_ferrovia e metro'!E98/100),"")</f>
        <v>0</v>
      </c>
      <c r="G58" s="148">
        <f>IFERROR(('TM3_ferrovia e metro'!E105/100),"")</f>
        <v>0</v>
      </c>
      <c r="H58" s="148" t="s">
        <v>6</v>
      </c>
      <c r="I58" s="148">
        <f>IFERROR(('TM3_ferrovia e metro'!E120/100),"0")</f>
        <v>0</v>
      </c>
      <c r="J58" s="392"/>
      <c r="K58" s="157"/>
      <c r="L58" s="157"/>
      <c r="M58" s="157"/>
      <c r="N58" s="157"/>
      <c r="O58" s="157"/>
      <c r="P58" s="349"/>
      <c r="Q58" s="349"/>
      <c r="R58" s="349"/>
    </row>
    <row r="59" spans="1:18" s="123" customFormat="1" ht="30" customHeight="1" x14ac:dyDescent="0.2">
      <c r="A59" s="349"/>
      <c r="B59" s="266" t="s">
        <v>765</v>
      </c>
      <c r="C59" s="153"/>
      <c r="D59" s="148">
        <f>IFERROR(('TM3_ferrovia e metro'!E85/100),"0")</f>
        <v>0</v>
      </c>
      <c r="E59" s="148">
        <f>IFERROR(('TM3_ferrovia e metro'!E92/100),"0")</f>
        <v>0</v>
      </c>
      <c r="F59" s="148">
        <f>IFERROR(('TM3_ferrovia e metro'!E99/100),"")</f>
        <v>0</v>
      </c>
      <c r="G59" s="148">
        <f>IFERROR(('TM3_ferrovia e metro'!E106/100),"")</f>
        <v>0</v>
      </c>
      <c r="H59" s="148">
        <f>IFERROR(('TM3_ferrovia e metro'!E113/100),"")</f>
        <v>0</v>
      </c>
      <c r="I59" s="148">
        <f>IFERROR(('TM3_ferrovia e metro'!E121/100),"0")</f>
        <v>0</v>
      </c>
      <c r="J59" s="157"/>
      <c r="K59" s="157"/>
      <c r="L59" s="157"/>
      <c r="M59" s="157"/>
      <c r="N59" s="157"/>
      <c r="O59" s="157"/>
      <c r="P59" s="349"/>
      <c r="Q59" s="349"/>
      <c r="R59" s="349"/>
    </row>
    <row r="60" spans="1:18" s="123" customFormat="1" ht="30" customHeight="1" x14ac:dyDescent="0.2">
      <c r="B60" s="252"/>
      <c r="C60" s="153"/>
      <c r="D60" s="253"/>
      <c r="E60" s="253"/>
      <c r="F60" s="253"/>
      <c r="G60" s="253"/>
      <c r="H60" s="253"/>
      <c r="I60" s="141"/>
      <c r="J60" s="141"/>
      <c r="K60" s="141"/>
      <c r="L60" s="141"/>
      <c r="M60" s="141"/>
      <c r="N60" s="124"/>
      <c r="O60" s="124"/>
    </row>
    <row r="61" spans="1:18" s="123" customFormat="1" ht="68.45" customHeight="1" x14ac:dyDescent="0.2">
      <c r="B61" s="171" t="s">
        <v>764</v>
      </c>
      <c r="C61" s="172"/>
      <c r="D61" s="108" t="s">
        <v>329</v>
      </c>
      <c r="E61" s="108" t="s">
        <v>435</v>
      </c>
      <c r="F61" s="108" t="s">
        <v>436</v>
      </c>
      <c r="G61" s="108" t="s">
        <v>437</v>
      </c>
      <c r="H61" s="108" t="s">
        <v>438</v>
      </c>
      <c r="I61" s="108" t="s">
        <v>774</v>
      </c>
      <c r="J61" s="101"/>
      <c r="K61" s="101"/>
      <c r="L61" s="101"/>
      <c r="M61" s="101"/>
      <c r="N61" s="101"/>
      <c r="O61" s="101"/>
    </row>
    <row r="62" spans="1:18" s="123" customFormat="1" ht="30" customHeight="1" x14ac:dyDescent="0.2">
      <c r="B62" s="144" t="s">
        <v>262</v>
      </c>
      <c r="C62" s="146"/>
      <c r="D62" s="144">
        <f>IFERROR($G$10*D54," ")</f>
        <v>0</v>
      </c>
      <c r="E62" s="144">
        <f>IFERROR($G$11*E54,"0")</f>
        <v>0</v>
      </c>
      <c r="F62" s="144">
        <f>IFERROR($G$12*F54,"0")</f>
        <v>0</v>
      </c>
      <c r="G62" s="144">
        <f>IFERROR($G$13*G54,"")</f>
        <v>0</v>
      </c>
      <c r="H62" s="252">
        <f>IFERROR($G$14*H54,"")</f>
        <v>0</v>
      </c>
      <c r="I62" s="252">
        <f t="shared" ref="I62:I67" si="2">IFERROR($G$15*I54,"")</f>
        <v>0</v>
      </c>
      <c r="J62" s="141"/>
      <c r="K62" s="141"/>
      <c r="L62" s="141"/>
      <c r="M62" s="141"/>
      <c r="N62" s="141"/>
      <c r="O62" s="141"/>
    </row>
    <row r="63" spans="1:18" s="123" customFormat="1" ht="30" customHeight="1" x14ac:dyDescent="0.2">
      <c r="B63" s="144" t="s">
        <v>171</v>
      </c>
      <c r="C63" s="391"/>
      <c r="D63" s="144">
        <f>IFERROR($G$10*D55,"0")</f>
        <v>0</v>
      </c>
      <c r="E63" s="144">
        <f>IFERROR($G$11*E55,"0")</f>
        <v>0</v>
      </c>
      <c r="F63" s="144">
        <f>IFERROR($G$12*F55,"0")</f>
        <v>0</v>
      </c>
      <c r="G63" s="144">
        <f>IFERROR($G$13*G55,"0")</f>
        <v>0</v>
      </c>
      <c r="H63" s="144">
        <f>IFERROR($G$14*H55,"0")</f>
        <v>0</v>
      </c>
      <c r="I63" s="252">
        <f t="shared" si="2"/>
        <v>0</v>
      </c>
      <c r="J63" s="141"/>
      <c r="K63" s="141"/>
      <c r="L63" s="141"/>
      <c r="M63" s="141"/>
      <c r="N63" s="141"/>
      <c r="O63" s="141"/>
    </row>
    <row r="64" spans="1:18" s="123" customFormat="1" ht="30" customHeight="1" x14ac:dyDescent="0.2">
      <c r="B64" s="144" t="s">
        <v>205</v>
      </c>
      <c r="C64" s="149"/>
      <c r="D64" s="144">
        <f>IFERROR($G$10*D56,"0")</f>
        <v>0</v>
      </c>
      <c r="E64" s="144">
        <v>0</v>
      </c>
      <c r="F64" s="144">
        <v>0</v>
      </c>
      <c r="G64" s="144">
        <v>0</v>
      </c>
      <c r="H64" s="252">
        <f>IFERROR($G$14*H56,"0")</f>
        <v>0</v>
      </c>
      <c r="I64" s="252">
        <f t="shared" si="2"/>
        <v>0</v>
      </c>
      <c r="J64" s="141"/>
      <c r="K64" s="141"/>
      <c r="L64" s="141"/>
      <c r="M64" s="141"/>
      <c r="N64" s="141"/>
      <c r="O64" s="141"/>
    </row>
    <row r="65" spans="1:15" s="123" customFormat="1" ht="30" customHeight="1" x14ac:dyDescent="0.2">
      <c r="B65" s="144" t="s">
        <v>154</v>
      </c>
      <c r="C65" s="149"/>
      <c r="D65" s="144">
        <v>0</v>
      </c>
      <c r="E65" s="144">
        <f>IFERROR($G$11*E57,"0")</f>
        <v>0</v>
      </c>
      <c r="F65" s="144">
        <f>IFERROR($G$12*F57,"0")</f>
        <v>0</v>
      </c>
      <c r="G65" s="144">
        <f>IFERROR($G$13*G57,"0")</f>
        <v>0</v>
      </c>
      <c r="H65" s="252">
        <f>IFERROR($G$14*H57,"0")</f>
        <v>0</v>
      </c>
      <c r="I65" s="252">
        <f t="shared" si="2"/>
        <v>0</v>
      </c>
      <c r="J65" s="141"/>
      <c r="K65" s="141"/>
      <c r="L65" s="141"/>
      <c r="M65" s="141"/>
      <c r="N65" s="141"/>
      <c r="O65" s="141"/>
    </row>
    <row r="66" spans="1:15" s="123" customFormat="1" ht="30" customHeight="1" x14ac:dyDescent="0.2">
      <c r="B66" s="144" t="s">
        <v>770</v>
      </c>
      <c r="C66" s="149"/>
      <c r="D66" s="144">
        <f>IFERROR($G$10*D58,"0")</f>
        <v>0</v>
      </c>
      <c r="E66" s="144">
        <f>IFERROR($G$11*E58,"0")</f>
        <v>0</v>
      </c>
      <c r="F66" s="144">
        <f>IFERROR($G$12*F58,"0")</f>
        <v>0</v>
      </c>
      <c r="G66" s="144">
        <f>IFERROR($G$13*G58,"0")</f>
        <v>0</v>
      </c>
      <c r="H66" s="144" t="str">
        <f>IFERROR($G$14*H58,"0")</f>
        <v>0</v>
      </c>
      <c r="I66" s="252">
        <f t="shared" si="2"/>
        <v>0</v>
      </c>
      <c r="J66" s="141"/>
      <c r="K66" s="141"/>
      <c r="L66" s="141"/>
      <c r="M66" s="141"/>
      <c r="N66" s="141"/>
      <c r="O66" s="141"/>
    </row>
    <row r="67" spans="1:15" s="123" customFormat="1" ht="30" customHeight="1" x14ac:dyDescent="0.2">
      <c r="B67" s="144" t="s">
        <v>772</v>
      </c>
      <c r="C67" s="149"/>
      <c r="D67" s="144">
        <f>IFERROR($G$10*D59,"0")</f>
        <v>0</v>
      </c>
      <c r="E67" s="144">
        <f>IFERROR($G$11*E59,"0")</f>
        <v>0</v>
      </c>
      <c r="F67" s="144">
        <f>IFERROR($G$12*F59,"0")</f>
        <v>0</v>
      </c>
      <c r="G67" s="144">
        <f>IFERROR($G$13*G59,"0")</f>
        <v>0</v>
      </c>
      <c r="H67" s="252">
        <f>IFERROR($G$14*H59,"0")</f>
        <v>0</v>
      </c>
      <c r="I67" s="252">
        <f t="shared" si="2"/>
        <v>0</v>
      </c>
      <c r="J67" s="141"/>
      <c r="K67" s="141"/>
      <c r="L67" s="141"/>
      <c r="M67" s="141"/>
      <c r="N67" s="141"/>
      <c r="O67" s="141"/>
    </row>
    <row r="68" spans="1:15" s="123" customFormat="1" ht="30" customHeight="1" x14ac:dyDescent="0.2">
      <c r="B68" s="156"/>
      <c r="C68" s="149"/>
      <c r="D68" s="124"/>
      <c r="E68" s="124"/>
      <c r="F68" s="124"/>
      <c r="G68" s="124"/>
      <c r="H68" s="124"/>
      <c r="I68" s="124"/>
      <c r="J68" s="124"/>
      <c r="K68" s="124"/>
      <c r="L68" s="124"/>
      <c r="M68" s="124"/>
      <c r="N68" s="124"/>
      <c r="O68" s="124"/>
    </row>
    <row r="69" spans="1:15" s="123" customFormat="1" ht="60" customHeight="1" x14ac:dyDescent="0.2">
      <c r="B69" s="154" t="s">
        <v>292</v>
      </c>
      <c r="C69" s="155"/>
      <c r="D69" s="108" t="s">
        <v>434</v>
      </c>
      <c r="E69" s="108" t="s">
        <v>435</v>
      </c>
      <c r="F69" s="108" t="s">
        <v>436</v>
      </c>
      <c r="G69" s="108" t="s">
        <v>437</v>
      </c>
      <c r="H69" s="108" t="s">
        <v>438</v>
      </c>
      <c r="I69" s="108" t="s">
        <v>774</v>
      </c>
      <c r="J69" s="101"/>
      <c r="K69" s="101"/>
      <c r="L69" s="101"/>
      <c r="M69" s="101"/>
      <c r="N69" s="101"/>
      <c r="O69" s="101"/>
    </row>
    <row r="70" spans="1:15" s="123" customFormat="1" ht="30" customHeight="1" x14ac:dyDescent="0.2">
      <c r="B70" s="144" t="s">
        <v>262</v>
      </c>
      <c r="C70" s="150"/>
      <c r="D70" s="157">
        <f t="shared" ref="D70:I70" si="3">(D62*$E$46/1000)</f>
        <v>0</v>
      </c>
      <c r="E70" s="157">
        <f t="shared" si="3"/>
        <v>0</v>
      </c>
      <c r="F70" s="157">
        <f t="shared" si="3"/>
        <v>0</v>
      </c>
      <c r="G70" s="157">
        <f t="shared" si="3"/>
        <v>0</v>
      </c>
      <c r="H70" s="157">
        <f t="shared" si="3"/>
        <v>0</v>
      </c>
      <c r="I70" s="157">
        <f t="shared" si="3"/>
        <v>0</v>
      </c>
      <c r="J70" s="157"/>
      <c r="K70" s="157"/>
      <c r="L70" s="157"/>
      <c r="M70" s="157"/>
      <c r="N70" s="157"/>
      <c r="O70" s="157"/>
    </row>
    <row r="71" spans="1:15" s="123" customFormat="1" ht="30" customHeight="1" x14ac:dyDescent="0.2">
      <c r="B71" s="144" t="s">
        <v>171</v>
      </c>
      <c r="C71" s="150"/>
      <c r="D71" s="157">
        <f t="shared" ref="D71:G71" si="4">(D63*$J$42/1000)</f>
        <v>0</v>
      </c>
      <c r="E71" s="157">
        <f t="shared" si="4"/>
        <v>0</v>
      </c>
      <c r="F71" s="157">
        <f t="shared" si="4"/>
        <v>0</v>
      </c>
      <c r="G71" s="157">
        <f t="shared" si="4"/>
        <v>0</v>
      </c>
      <c r="H71" s="157">
        <f>(H63*$J$42/1000)</f>
        <v>0</v>
      </c>
      <c r="I71" s="157">
        <f>(I63*$J$42/1000)</f>
        <v>0</v>
      </c>
      <c r="J71" s="157"/>
      <c r="K71" s="157"/>
      <c r="L71" s="157"/>
      <c r="M71" s="157"/>
      <c r="N71" s="157"/>
      <c r="O71" s="157"/>
    </row>
    <row r="72" spans="1:15" s="123" customFormat="1" ht="30" customHeight="1" x14ac:dyDescent="0.2">
      <c r="A72" s="158"/>
      <c r="B72" s="144" t="s">
        <v>205</v>
      </c>
      <c r="C72" s="150"/>
      <c r="D72" s="157" t="e">
        <f>(D64*$H$46/1000)</f>
        <v>#N/A</v>
      </c>
      <c r="E72" s="157">
        <v>0</v>
      </c>
      <c r="F72" s="157">
        <v>0</v>
      </c>
      <c r="G72" s="157">
        <v>0</v>
      </c>
      <c r="H72" s="157" t="e">
        <f>(H64*$H$46/1000)</f>
        <v>#N/A</v>
      </c>
      <c r="I72" s="157" t="e">
        <f>(I64*$H$46/1000)</f>
        <v>#N/A</v>
      </c>
      <c r="J72" s="157"/>
      <c r="K72" s="157"/>
      <c r="L72" s="157"/>
      <c r="M72" s="157"/>
      <c r="N72" s="157"/>
      <c r="O72" s="157"/>
    </row>
    <row r="73" spans="1:15" s="123" customFormat="1" ht="30" customHeight="1" x14ac:dyDescent="0.2">
      <c r="B73" s="144" t="s">
        <v>154</v>
      </c>
      <c r="C73" s="150"/>
      <c r="D73" s="157">
        <v>0</v>
      </c>
      <c r="E73" s="157">
        <f>(E65*$H$48/1000)</f>
        <v>0</v>
      </c>
      <c r="F73" s="157">
        <f>(F65*$H$48/1000)</f>
        <v>0</v>
      </c>
      <c r="G73" s="157">
        <f>(G65*$H$48/1000)</f>
        <v>0</v>
      </c>
      <c r="H73" s="157">
        <f>(H65*$H$48/1000)</f>
        <v>0</v>
      </c>
      <c r="I73" s="157">
        <f>(I65*$H$48/1000)</f>
        <v>0</v>
      </c>
      <c r="J73" s="157"/>
      <c r="K73" s="157"/>
      <c r="L73" s="157"/>
      <c r="M73" s="157"/>
      <c r="N73" s="157"/>
      <c r="O73" s="157"/>
    </row>
    <row r="74" spans="1:15" s="123" customFormat="1" ht="30" customHeight="1" x14ac:dyDescent="0.2">
      <c r="B74" s="144" t="s">
        <v>339</v>
      </c>
      <c r="C74" s="150"/>
      <c r="D74" s="157">
        <f t="shared" ref="D74:G74" si="5">(D66*$H$50/1000)</f>
        <v>0</v>
      </c>
      <c r="E74" s="157">
        <f t="shared" si="5"/>
        <v>0</v>
      </c>
      <c r="F74" s="157">
        <f t="shared" si="5"/>
        <v>0</v>
      </c>
      <c r="G74" s="157">
        <f t="shared" si="5"/>
        <v>0</v>
      </c>
      <c r="H74" s="157">
        <f>(H66*$H$50/1000)</f>
        <v>0</v>
      </c>
      <c r="I74" s="157">
        <f>(I66*$H$50/1000)</f>
        <v>0</v>
      </c>
      <c r="J74" s="157"/>
      <c r="K74" s="157"/>
      <c r="L74" s="157"/>
      <c r="M74" s="157"/>
      <c r="N74" s="157"/>
      <c r="O74" s="157"/>
    </row>
    <row r="75" spans="1:15" s="123" customFormat="1" ht="30" customHeight="1" x14ac:dyDescent="0.2">
      <c r="B75" s="156" t="s">
        <v>773</v>
      </c>
      <c r="C75" s="150"/>
      <c r="D75" s="157">
        <f t="shared" ref="D75:G75" si="6">(D67*$H$49/1000)</f>
        <v>0</v>
      </c>
      <c r="E75" s="157">
        <f t="shared" si="6"/>
        <v>0</v>
      </c>
      <c r="F75" s="157">
        <f t="shared" si="6"/>
        <v>0</v>
      </c>
      <c r="G75" s="157">
        <f t="shared" si="6"/>
        <v>0</v>
      </c>
      <c r="H75" s="157">
        <f>(H67*$H$49/1000)</f>
        <v>0</v>
      </c>
      <c r="I75" s="157">
        <f>(I67*$H$49/1000)</f>
        <v>0</v>
      </c>
      <c r="J75" s="157"/>
      <c r="K75" s="157"/>
      <c r="L75" s="157"/>
      <c r="M75" s="157"/>
      <c r="N75" s="157"/>
      <c r="O75" s="157"/>
    </row>
    <row r="76" spans="1:15" ht="30" customHeight="1" x14ac:dyDescent="0.25">
      <c r="B76" s="250" t="s">
        <v>5</v>
      </c>
      <c r="C76" s="173"/>
      <c r="D76" s="174" t="e">
        <f>SUM(D70:D75)</f>
        <v>#N/A</v>
      </c>
      <c r="E76" s="174">
        <f>SUM(E70:E75)</f>
        <v>0</v>
      </c>
      <c r="F76" s="174">
        <f>SUM(F70:F75)</f>
        <v>0</v>
      </c>
      <c r="G76" s="174">
        <f t="shared" ref="G76" si="7">SUM(G70:G75)</f>
        <v>0</v>
      </c>
      <c r="H76" s="174" t="e">
        <f>SUM(H70:H75)</f>
        <v>#N/A</v>
      </c>
      <c r="I76" s="174" t="e">
        <f>SUM(I70:I75)</f>
        <v>#N/A</v>
      </c>
      <c r="J76" s="189"/>
      <c r="K76" s="189"/>
      <c r="L76" s="189"/>
      <c r="M76" s="189"/>
      <c r="N76" s="189"/>
      <c r="O76" s="189"/>
    </row>
    <row r="77" spans="1:15" ht="48" customHeight="1" x14ac:dyDescent="0.25">
      <c r="B77" s="3"/>
      <c r="C77" s="3"/>
      <c r="D77" s="189"/>
      <c r="E77" s="189"/>
      <c r="F77" s="268" t="s">
        <v>776</v>
      </c>
      <c r="G77" s="648" t="e">
        <f>SUM(D76:I76)</f>
        <v>#N/A</v>
      </c>
      <c r="H77" s="124"/>
      <c r="I77" s="189"/>
      <c r="J77" s="189"/>
      <c r="K77" s="1516"/>
      <c r="L77" s="1516"/>
      <c r="M77" s="361"/>
    </row>
    <row r="78" spans="1:15" ht="30" customHeight="1" x14ac:dyDescent="0.25">
      <c r="B78" s="3"/>
      <c r="C78" s="3"/>
      <c r="D78" s="189"/>
      <c r="E78" s="189"/>
      <c r="F78" s="189"/>
      <c r="G78" s="189"/>
      <c r="H78" s="124"/>
      <c r="I78" s="189"/>
      <c r="J78" s="189"/>
      <c r="K78" s="189"/>
      <c r="L78" s="189"/>
      <c r="M78" s="189"/>
    </row>
    <row r="79" spans="1:15" ht="30" customHeight="1" x14ac:dyDescent="0.25">
      <c r="B79" s="3"/>
      <c r="C79" s="3"/>
      <c r="D79" s="189"/>
      <c r="E79" s="189"/>
      <c r="F79" s="189"/>
      <c r="G79" s="189"/>
      <c r="H79" s="124"/>
      <c r="I79" s="189"/>
      <c r="J79" s="189"/>
      <c r="K79" s="189"/>
      <c r="L79" s="189"/>
      <c r="M79" s="189"/>
    </row>
    <row r="80" spans="1:15" s="190" customFormat="1" ht="70.150000000000006" customHeight="1" x14ac:dyDescent="0.35">
      <c r="B80" s="193" t="s">
        <v>775</v>
      </c>
      <c r="C80" s="191" t="e">
        <f>G77+G108</f>
        <v>#N/A</v>
      </c>
      <c r="D80" s="191"/>
      <c r="E80" s="191"/>
      <c r="F80" s="191"/>
      <c r="G80" s="1515"/>
      <c r="H80" s="1515"/>
      <c r="I80" s="191"/>
      <c r="J80" s="191"/>
      <c r="K80" s="191"/>
      <c r="L80" s="191"/>
      <c r="M80" s="191"/>
      <c r="N80" s="192"/>
      <c r="O80" s="197"/>
    </row>
    <row r="81" spans="1:25" s="194" customFormat="1" ht="30" customHeight="1" x14ac:dyDescent="0.35">
      <c r="B81" s="195"/>
      <c r="C81" s="196"/>
      <c r="D81" s="196"/>
      <c r="E81" s="196"/>
      <c r="F81" s="196"/>
      <c r="G81" s="196"/>
      <c r="H81" s="197"/>
      <c r="I81" s="196"/>
      <c r="J81" s="196"/>
      <c r="K81" s="196"/>
      <c r="L81" s="196"/>
      <c r="M81" s="196"/>
      <c r="N81" s="197"/>
      <c r="O81" s="197"/>
    </row>
    <row r="82" spans="1:25" s="198" customFormat="1" ht="30" customHeight="1" x14ac:dyDescent="0.25">
      <c r="B82" s="202" t="s">
        <v>757</v>
      </c>
      <c r="C82" s="199"/>
      <c r="D82" s="200"/>
      <c r="E82" s="200"/>
      <c r="F82" s="200"/>
      <c r="G82" s="200"/>
      <c r="H82" s="201"/>
      <c r="I82" s="200"/>
      <c r="J82" s="200"/>
      <c r="K82" s="200"/>
      <c r="L82" s="200"/>
      <c r="M82" s="200"/>
      <c r="N82" s="201"/>
      <c r="O82" s="1"/>
    </row>
    <row r="83" spans="1:25" s="1" customFormat="1" ht="30" customHeight="1" x14ac:dyDescent="0.25">
      <c r="A83"/>
      <c r="B83" s="3"/>
      <c r="C83" s="3"/>
      <c r="D83" s="189"/>
      <c r="E83" s="189"/>
      <c r="F83" s="189"/>
      <c r="G83" s="189"/>
      <c r="I83" s="189"/>
      <c r="J83" s="189"/>
      <c r="K83" s="189"/>
      <c r="L83" s="189"/>
      <c r="M83" s="189"/>
      <c r="P83"/>
      <c r="Q83"/>
      <c r="R83"/>
      <c r="S83"/>
      <c r="T83"/>
      <c r="U83"/>
      <c r="V83"/>
      <c r="W83"/>
      <c r="X83"/>
      <c r="Y83"/>
    </row>
    <row r="84" spans="1:25" s="1" customFormat="1" ht="30" customHeight="1" x14ac:dyDescent="0.25">
      <c r="A84"/>
      <c r="B84" s="176" t="s">
        <v>252</v>
      </c>
      <c r="C84" s="175"/>
      <c r="D84" s="177"/>
      <c r="E84" s="177"/>
      <c r="F84" s="177"/>
      <c r="G84" s="177"/>
      <c r="H84" s="177"/>
      <c r="I84" s="177"/>
      <c r="J84" s="177"/>
      <c r="K84" s="189"/>
      <c r="L84" s="189"/>
      <c r="M84" s="189"/>
      <c r="P84"/>
      <c r="Q84"/>
      <c r="R84"/>
      <c r="S84"/>
      <c r="T84"/>
      <c r="U84"/>
      <c r="V84"/>
      <c r="W84"/>
      <c r="X84"/>
      <c r="Y84"/>
    </row>
    <row r="85" spans="1:25" s="1" customFormat="1" ht="30" customHeight="1" x14ac:dyDescent="0.25">
      <c r="A85"/>
      <c r="B85" s="176"/>
      <c r="C85" s="175"/>
      <c r="D85" s="177"/>
      <c r="E85" s="177"/>
      <c r="F85" s="177"/>
      <c r="G85" s="177"/>
      <c r="H85" s="177"/>
      <c r="I85" s="177"/>
      <c r="J85" s="177"/>
      <c r="K85" s="189"/>
      <c r="L85" s="189"/>
      <c r="M85" s="189"/>
      <c r="P85"/>
      <c r="Q85"/>
      <c r="R85"/>
      <c r="S85"/>
      <c r="T85"/>
      <c r="U85"/>
      <c r="V85"/>
      <c r="W85"/>
      <c r="X85"/>
      <c r="Y85"/>
    </row>
    <row r="86" spans="1:25" s="1" customFormat="1" ht="30" customHeight="1" x14ac:dyDescent="0.25">
      <c r="A86"/>
      <c r="B86" s="120" t="s">
        <v>253</v>
      </c>
      <c r="C86" s="179" t="s">
        <v>77</v>
      </c>
      <c r="D86" s="122" t="s">
        <v>880</v>
      </c>
      <c r="E86" s="122" t="s">
        <v>256</v>
      </c>
      <c r="F86" s="177"/>
      <c r="G86" s="122" t="s">
        <v>258</v>
      </c>
      <c r="H86" s="122" t="s">
        <v>77</v>
      </c>
      <c r="I86" s="122" t="s">
        <v>880</v>
      </c>
      <c r="J86" s="122" t="s">
        <v>256</v>
      </c>
      <c r="K86" s="189"/>
      <c r="L86" s="189"/>
      <c r="M86" s="189"/>
      <c r="P86"/>
      <c r="Q86"/>
      <c r="R86"/>
      <c r="S86"/>
      <c r="T86"/>
      <c r="U86"/>
      <c r="V86"/>
      <c r="W86"/>
      <c r="X86"/>
      <c r="Y86"/>
    </row>
    <row r="87" spans="1:25" s="1" customFormat="1" ht="30" customHeight="1" x14ac:dyDescent="0.25">
      <c r="A87"/>
      <c r="B87" s="176" t="s">
        <v>125</v>
      </c>
      <c r="C87" s="178">
        <v>0.55000000000000004</v>
      </c>
      <c r="D87" s="180">
        <f>'Fatores de Emissão'!$I$99</f>
        <v>3.0562499999999999E-2</v>
      </c>
      <c r="E87" s="181">
        <f t="shared" ref="E87:E92" si="8">C87*D87</f>
        <v>1.6809375000000001E-2</v>
      </c>
      <c r="F87" s="177"/>
      <c r="G87" s="247" t="s">
        <v>125</v>
      </c>
      <c r="H87" s="388">
        <v>0.84</v>
      </c>
      <c r="I87" s="124">
        <f>'Fatores de Emissão'!I63</f>
        <v>6.4276816608996538E-3</v>
      </c>
      <c r="J87" s="389">
        <f>H87*I87</f>
        <v>5.3992525951557088E-3</v>
      </c>
      <c r="K87" s="189"/>
      <c r="L87" s="189"/>
      <c r="M87" s="189"/>
      <c r="P87"/>
      <c r="Q87"/>
      <c r="R87"/>
      <c r="S87"/>
      <c r="T87"/>
      <c r="U87"/>
      <c r="V87"/>
      <c r="W87"/>
      <c r="X87"/>
      <c r="Y87"/>
    </row>
    <row r="88" spans="1:25" s="1" customFormat="1" ht="30" customHeight="1" x14ac:dyDescent="0.25">
      <c r="A88"/>
      <c r="B88" s="176" t="s">
        <v>227</v>
      </c>
      <c r="C88" s="178">
        <v>0.38</v>
      </c>
      <c r="D88" s="180">
        <f>'Fatores de Emissão'!$I$93</f>
        <v>3.0562499999999999E-2</v>
      </c>
      <c r="E88" s="181">
        <f t="shared" si="8"/>
        <v>1.1613749999999999E-2</v>
      </c>
      <c r="F88" s="177"/>
      <c r="G88" s="247" t="s">
        <v>89</v>
      </c>
      <c r="H88" s="388">
        <v>0.16</v>
      </c>
      <c r="I88" s="124">
        <f>'Fatores de Emissão'!I68</f>
        <v>6.2449826989619374E-3</v>
      </c>
      <c r="J88" s="389">
        <f>H88*I88</f>
        <v>9.9919723183390999E-4</v>
      </c>
      <c r="K88" s="189"/>
      <c r="L88" s="189"/>
      <c r="M88" s="189"/>
      <c r="P88"/>
      <c r="Q88"/>
      <c r="R88"/>
      <c r="S88"/>
      <c r="T88"/>
      <c r="U88"/>
      <c r="V88"/>
      <c r="W88"/>
      <c r="X88"/>
      <c r="Y88"/>
    </row>
    <row r="89" spans="1:25" s="1" customFormat="1" ht="30" customHeight="1" x14ac:dyDescent="0.25">
      <c r="A89"/>
      <c r="B89" s="176" t="s">
        <v>230</v>
      </c>
      <c r="C89" s="178">
        <v>0.01</v>
      </c>
      <c r="D89" s="180">
        <f>'Fatores de Emissão'!$I$102</f>
        <v>3.0562499999999999E-2</v>
      </c>
      <c r="E89" s="181">
        <f t="shared" si="8"/>
        <v>3.0562500000000002E-4</v>
      </c>
      <c r="F89" s="177"/>
      <c r="G89" s="182" t="s">
        <v>246</v>
      </c>
      <c r="H89" s="182"/>
      <c r="I89" s="182"/>
      <c r="J89" s="182">
        <f>SUM(J83:J88)</f>
        <v>6.3984498269896188E-3</v>
      </c>
      <c r="K89" s="189"/>
      <c r="L89" s="189"/>
      <c r="M89" s="189"/>
      <c r="P89"/>
      <c r="Q89"/>
      <c r="R89"/>
      <c r="S89"/>
      <c r="T89"/>
      <c r="U89"/>
      <c r="V89"/>
      <c r="W89"/>
      <c r="X89"/>
      <c r="Y89"/>
    </row>
    <row r="90" spans="1:25" s="1" customFormat="1" ht="30" customHeight="1" x14ac:dyDescent="0.25">
      <c r="A90"/>
      <c r="B90" s="176" t="s">
        <v>255</v>
      </c>
      <c r="C90" s="178">
        <v>0.02</v>
      </c>
      <c r="D90" s="180">
        <f>'Fatores de Emissão'!$G$9</f>
        <v>8.712499999999998E-2</v>
      </c>
      <c r="E90" s="181">
        <f t="shared" si="8"/>
        <v>1.7424999999999997E-3</v>
      </c>
      <c r="F90" s="177"/>
      <c r="G90" s="177"/>
      <c r="H90" s="177"/>
      <c r="I90" s="177"/>
      <c r="J90" s="177"/>
      <c r="K90" s="189"/>
      <c r="L90" s="189"/>
      <c r="M90" s="189"/>
      <c r="P90"/>
      <c r="Q90"/>
      <c r="R90"/>
      <c r="S90"/>
      <c r="T90"/>
      <c r="U90"/>
      <c r="V90"/>
      <c r="W90"/>
      <c r="X90"/>
      <c r="Y90"/>
    </row>
    <row r="91" spans="1:25" s="1" customFormat="1" ht="30" customHeight="1" x14ac:dyDescent="0.25">
      <c r="A91"/>
      <c r="B91" s="176" t="s">
        <v>254</v>
      </c>
      <c r="C91" s="178">
        <v>0.02</v>
      </c>
      <c r="D91" s="180">
        <f>'Fatores de Emissão'!$I$96</f>
        <v>3.0562499999999999E-2</v>
      </c>
      <c r="E91" s="181">
        <f t="shared" si="8"/>
        <v>6.1125000000000003E-4</v>
      </c>
      <c r="F91" s="177"/>
      <c r="G91" s="177"/>
      <c r="H91" s="177"/>
      <c r="I91" s="177"/>
      <c r="J91" s="177"/>
      <c r="K91" s="189"/>
      <c r="L91" s="189"/>
      <c r="M91" s="189"/>
      <c r="P91"/>
      <c r="Q91"/>
      <c r="R91"/>
      <c r="S91"/>
      <c r="T91"/>
      <c r="U91"/>
      <c r="V91"/>
      <c r="W91"/>
      <c r="X91"/>
      <c r="Y91"/>
    </row>
    <row r="92" spans="1:25" s="1" customFormat="1" ht="30" customHeight="1" x14ac:dyDescent="0.25">
      <c r="A92"/>
      <c r="B92" s="176" t="s">
        <v>260</v>
      </c>
      <c r="C92" s="178">
        <v>0.02</v>
      </c>
      <c r="D92" s="180">
        <f>'Fatores de Emissão'!$G$10</f>
        <v>4.5937499999999992E-2</v>
      </c>
      <c r="E92" s="181">
        <f t="shared" si="8"/>
        <v>9.1874999999999986E-4</v>
      </c>
      <c r="F92" s="177"/>
      <c r="G92" s="188" t="s">
        <v>263</v>
      </c>
      <c r="H92" s="186" t="s">
        <v>9</v>
      </c>
      <c r="I92" s="177"/>
      <c r="J92" s="177"/>
      <c r="K92" s="189"/>
      <c r="L92" s="189"/>
      <c r="M92" s="189"/>
      <c r="P92"/>
      <c r="Q92"/>
      <c r="R92"/>
      <c r="S92"/>
      <c r="T92"/>
      <c r="U92"/>
      <c r="V92"/>
      <c r="W92"/>
      <c r="X92"/>
      <c r="Y92"/>
    </row>
    <row r="93" spans="1:25" s="1" customFormat="1" ht="30" customHeight="1" x14ac:dyDescent="0.25">
      <c r="A93"/>
      <c r="B93" s="182" t="s">
        <v>246</v>
      </c>
      <c r="C93" s="183">
        <f>SUM(C87:C92)</f>
        <v>1</v>
      </c>
      <c r="D93" s="122"/>
      <c r="E93" s="185">
        <f>SUM(E87:E92)</f>
        <v>3.2001250000000002E-2</v>
      </c>
      <c r="F93" s="177"/>
      <c r="G93" s="187" t="s">
        <v>275</v>
      </c>
      <c r="H93" s="177">
        <f>'Fatores de Emissão'!G50</f>
        <v>2E-3</v>
      </c>
      <c r="I93" s="177"/>
      <c r="J93" s="177"/>
      <c r="K93" s="189"/>
      <c r="L93" s="189"/>
      <c r="M93" s="189"/>
      <c r="P93"/>
      <c r="Q93"/>
      <c r="R93"/>
      <c r="S93"/>
      <c r="T93"/>
      <c r="U93"/>
      <c r="V93"/>
      <c r="W93"/>
      <c r="X93"/>
      <c r="Y93"/>
    </row>
    <row r="94" spans="1:25" s="1" customFormat="1" ht="30" customHeight="1" x14ac:dyDescent="0.25">
      <c r="A94"/>
      <c r="B94" s="175"/>
      <c r="C94" s="175"/>
      <c r="D94" s="177"/>
      <c r="E94" s="177"/>
      <c r="F94" s="177"/>
      <c r="G94" s="204"/>
      <c r="H94" s="270"/>
      <c r="I94" s="177"/>
      <c r="J94" s="177"/>
      <c r="K94" s="189"/>
      <c r="L94" s="189"/>
      <c r="M94" s="189"/>
      <c r="P94"/>
      <c r="Q94"/>
      <c r="R94"/>
      <c r="S94"/>
      <c r="T94"/>
      <c r="U94"/>
      <c r="V94"/>
      <c r="W94"/>
      <c r="X94"/>
      <c r="Y94"/>
    </row>
    <row r="95" spans="1:25" s="1" customFormat="1" ht="30" customHeight="1" x14ac:dyDescent="0.25">
      <c r="A95"/>
      <c r="B95" s="175"/>
      <c r="C95" s="175"/>
      <c r="D95" s="177"/>
      <c r="E95" s="177"/>
      <c r="F95" s="177"/>
      <c r="G95" s="187" t="s">
        <v>154</v>
      </c>
      <c r="H95" s="177">
        <f>'Fatores de Emissão'!G47</f>
        <v>2E-3</v>
      </c>
      <c r="I95" s="177"/>
      <c r="J95" s="177"/>
      <c r="K95" s="189"/>
      <c r="L95" s="189"/>
      <c r="M95" s="189"/>
      <c r="P95"/>
      <c r="Q95"/>
      <c r="R95"/>
      <c r="S95"/>
      <c r="T95"/>
      <c r="U95"/>
      <c r="V95"/>
      <c r="W95"/>
      <c r="X95"/>
      <c r="Y95"/>
    </row>
    <row r="96" spans="1:25" s="1" customFormat="1" ht="30" customHeight="1" x14ac:dyDescent="0.25">
      <c r="A96"/>
      <c r="B96" s="175"/>
      <c r="C96" s="175"/>
      <c r="D96" s="177"/>
      <c r="E96" s="177"/>
      <c r="F96" s="177"/>
      <c r="G96" s="187" t="s">
        <v>110</v>
      </c>
      <c r="H96" s="177">
        <v>0</v>
      </c>
      <c r="I96" s="177"/>
      <c r="J96" s="177"/>
      <c r="K96" s="189"/>
      <c r="L96" s="189"/>
      <c r="M96" s="189"/>
      <c r="P96"/>
      <c r="Q96"/>
      <c r="R96"/>
      <c r="S96"/>
      <c r="T96"/>
      <c r="U96"/>
      <c r="V96"/>
      <c r="W96"/>
      <c r="X96"/>
      <c r="Y96"/>
    </row>
    <row r="97" spans="1:25" s="1" customFormat="1" ht="30" customHeight="1" x14ac:dyDescent="0.25">
      <c r="A97"/>
      <c r="B97" s="175"/>
      <c r="C97" s="175"/>
      <c r="D97" s="177"/>
      <c r="E97" s="177"/>
      <c r="F97" s="177"/>
      <c r="G97" s="187" t="s">
        <v>339</v>
      </c>
      <c r="H97" s="177">
        <f>'Fatores de Emissão'!G46</f>
        <v>1.8935294117647057E-2</v>
      </c>
      <c r="I97" s="177"/>
      <c r="J97" s="177"/>
      <c r="K97" s="189"/>
      <c r="L97" s="189"/>
      <c r="M97" s="189"/>
      <c r="P97"/>
      <c r="Q97"/>
      <c r="R97"/>
      <c r="S97"/>
      <c r="T97"/>
      <c r="U97"/>
      <c r="V97"/>
      <c r="W97"/>
      <c r="X97"/>
      <c r="Y97"/>
    </row>
    <row r="98" spans="1:25" s="1" customFormat="1" ht="30" customHeight="1" x14ac:dyDescent="0.25">
      <c r="A98"/>
      <c r="B98" s="175"/>
      <c r="C98" s="175"/>
      <c r="D98" s="177"/>
      <c r="E98" s="177"/>
      <c r="F98" s="177"/>
      <c r="G98" s="187"/>
      <c r="H98" s="177"/>
      <c r="I98" s="177"/>
      <c r="J98" s="177"/>
      <c r="K98" s="189"/>
      <c r="L98" s="189"/>
      <c r="M98" s="189"/>
      <c r="P98"/>
      <c r="Q98"/>
      <c r="R98"/>
      <c r="S98"/>
      <c r="T98"/>
      <c r="U98"/>
      <c r="V98"/>
      <c r="W98"/>
      <c r="X98"/>
      <c r="Y98"/>
    </row>
    <row r="99" spans="1:25" ht="30" customHeight="1" x14ac:dyDescent="0.25">
      <c r="B99" s="175"/>
      <c r="C99" s="175"/>
      <c r="D99" s="177"/>
      <c r="E99" s="177"/>
      <c r="F99" s="177"/>
      <c r="G99" s="187"/>
      <c r="H99" s="177"/>
      <c r="I99" s="177"/>
      <c r="J99" s="177"/>
      <c r="K99" s="189"/>
      <c r="L99" s="189"/>
      <c r="M99" s="189"/>
    </row>
    <row r="100" spans="1:25" ht="49.9" customHeight="1" x14ac:dyDescent="0.25">
      <c r="B100" s="154" t="s">
        <v>292</v>
      </c>
      <c r="C100" s="155"/>
      <c r="D100" s="108" t="s">
        <v>434</v>
      </c>
      <c r="E100" s="108" t="s">
        <v>435</v>
      </c>
      <c r="F100" s="108" t="s">
        <v>436</v>
      </c>
      <c r="G100" s="108" t="s">
        <v>437</v>
      </c>
      <c r="H100" s="108" t="s">
        <v>438</v>
      </c>
      <c r="I100" s="108" t="s">
        <v>774</v>
      </c>
      <c r="J100" s="348"/>
      <c r="K100" s="348"/>
      <c r="L100" s="348"/>
      <c r="M100" s="348"/>
      <c r="N100" s="348"/>
      <c r="O100" s="101"/>
    </row>
    <row r="101" spans="1:25" ht="49.9" customHeight="1" x14ac:dyDescent="0.25">
      <c r="B101" s="144" t="s">
        <v>262</v>
      </c>
      <c r="C101" s="150"/>
      <c r="D101" s="157">
        <f t="shared" ref="D101:I101" si="9">(D62*$E$93/1000)</f>
        <v>0</v>
      </c>
      <c r="E101" s="157">
        <f t="shared" si="9"/>
        <v>0</v>
      </c>
      <c r="F101" s="157">
        <f t="shared" si="9"/>
        <v>0</v>
      </c>
      <c r="G101" s="157">
        <f t="shared" si="9"/>
        <v>0</v>
      </c>
      <c r="H101" s="157">
        <f t="shared" si="9"/>
        <v>0</v>
      </c>
      <c r="I101" s="157">
        <f t="shared" si="9"/>
        <v>0</v>
      </c>
      <c r="J101" s="157"/>
      <c r="K101" s="157"/>
      <c r="L101" s="157"/>
      <c r="M101" s="157"/>
      <c r="N101" s="157"/>
      <c r="O101" s="157"/>
    </row>
    <row r="102" spans="1:25" ht="49.9" customHeight="1" x14ac:dyDescent="0.25">
      <c r="B102" s="144" t="s">
        <v>171</v>
      </c>
      <c r="C102" s="150"/>
      <c r="D102" s="157">
        <f t="shared" ref="D102:I102" si="10">(D63*$J$89/1000)</f>
        <v>0</v>
      </c>
      <c r="E102" s="157">
        <f t="shared" si="10"/>
        <v>0</v>
      </c>
      <c r="F102" s="157">
        <f t="shared" si="10"/>
        <v>0</v>
      </c>
      <c r="G102" s="157">
        <f t="shared" si="10"/>
        <v>0</v>
      </c>
      <c r="H102" s="157">
        <f t="shared" si="10"/>
        <v>0</v>
      </c>
      <c r="I102" s="157">
        <f t="shared" si="10"/>
        <v>0</v>
      </c>
      <c r="J102" s="157"/>
      <c r="K102" s="157"/>
      <c r="L102" s="157"/>
      <c r="M102" s="157"/>
      <c r="N102" s="157"/>
      <c r="O102" s="157"/>
    </row>
    <row r="103" spans="1:25" ht="49.9" customHeight="1" x14ac:dyDescent="0.25">
      <c r="B103" s="144" t="s">
        <v>205</v>
      </c>
      <c r="C103" s="150"/>
      <c r="D103" s="157">
        <f>(D64*$H$93/1000)</f>
        <v>0</v>
      </c>
      <c r="E103" s="392">
        <v>0</v>
      </c>
      <c r="F103" s="392">
        <v>0</v>
      </c>
      <c r="G103" s="392">
        <v>0</v>
      </c>
      <c r="H103" s="157">
        <f>(H64*$H$93/1000)</f>
        <v>0</v>
      </c>
      <c r="I103" s="157">
        <f>(I64*$H$93/1000)</f>
        <v>0</v>
      </c>
      <c r="J103" s="157"/>
      <c r="K103" s="392"/>
      <c r="L103" s="392"/>
      <c r="M103" s="392"/>
      <c r="N103" s="157"/>
      <c r="O103" s="157"/>
    </row>
    <row r="104" spans="1:25" ht="49.9" customHeight="1" x14ac:dyDescent="0.25">
      <c r="A104" s="101"/>
      <c r="B104" s="144" t="s">
        <v>154</v>
      </c>
      <c r="C104" s="150"/>
      <c r="D104" s="392">
        <v>0</v>
      </c>
      <c r="E104" s="157">
        <f>(E65*$H$95/1000)</f>
        <v>0</v>
      </c>
      <c r="F104" s="530">
        <f>(F65*$H$95/1000)</f>
        <v>0</v>
      </c>
      <c r="G104" s="530">
        <f>(G65*$H$95/1000)</f>
        <v>0</v>
      </c>
      <c r="H104" s="530">
        <f>(H65*$H$95/1000)</f>
        <v>0</v>
      </c>
      <c r="I104" s="530">
        <f>(I65*$H$95/1000)</f>
        <v>0</v>
      </c>
      <c r="J104" s="392"/>
      <c r="K104" s="157"/>
      <c r="L104" s="157"/>
      <c r="M104" s="157"/>
      <c r="N104" s="157"/>
      <c r="O104" s="157"/>
    </row>
    <row r="105" spans="1:25" ht="49.9" customHeight="1" x14ac:dyDescent="0.25">
      <c r="A105" s="101"/>
      <c r="B105" s="144" t="s">
        <v>339</v>
      </c>
      <c r="C105" s="150"/>
      <c r="D105" s="530">
        <f t="shared" ref="D105:I105" si="11">(D66*$H$97/1000)</f>
        <v>0</v>
      </c>
      <c r="E105" s="530">
        <f t="shared" si="11"/>
        <v>0</v>
      </c>
      <c r="F105" s="530">
        <f t="shared" si="11"/>
        <v>0</v>
      </c>
      <c r="G105" s="530">
        <f t="shared" si="11"/>
        <v>0</v>
      </c>
      <c r="H105" s="530">
        <f t="shared" si="11"/>
        <v>0</v>
      </c>
      <c r="I105" s="530">
        <f t="shared" si="11"/>
        <v>0</v>
      </c>
      <c r="J105" s="392"/>
      <c r="K105" s="157"/>
      <c r="L105" s="157"/>
      <c r="M105" s="157"/>
      <c r="N105" s="157"/>
      <c r="O105" s="157"/>
    </row>
    <row r="106" spans="1:25" ht="49.9" customHeight="1" x14ac:dyDescent="0.25">
      <c r="A106" s="141"/>
      <c r="B106" s="156" t="s">
        <v>777</v>
      </c>
      <c r="C106" s="150"/>
      <c r="D106" s="157">
        <f t="shared" ref="D106:I106" si="12">(D67*$H$96/1000)</f>
        <v>0</v>
      </c>
      <c r="E106" s="157">
        <f t="shared" si="12"/>
        <v>0</v>
      </c>
      <c r="F106" s="157">
        <f t="shared" si="12"/>
        <v>0</v>
      </c>
      <c r="G106" s="157">
        <f t="shared" si="12"/>
        <v>0</v>
      </c>
      <c r="H106" s="157">
        <f t="shared" si="12"/>
        <v>0</v>
      </c>
      <c r="I106" s="157">
        <f t="shared" si="12"/>
        <v>0</v>
      </c>
      <c r="J106" s="157"/>
      <c r="K106" s="157"/>
      <c r="L106" s="157"/>
      <c r="M106" s="157"/>
      <c r="N106" s="157"/>
      <c r="O106" s="157"/>
    </row>
    <row r="107" spans="1:25" ht="49.9" customHeight="1" x14ac:dyDescent="0.25">
      <c r="A107" s="349"/>
      <c r="B107" s="250" t="s">
        <v>5</v>
      </c>
      <c r="C107" s="173"/>
      <c r="D107" s="174">
        <f>SUM(D101:D106)</f>
        <v>0</v>
      </c>
      <c r="E107" s="174">
        <f>SUM(E101:E106)</f>
        <v>0</v>
      </c>
      <c r="F107" s="174">
        <f t="shared" ref="F107:I107" si="13">SUM(F101:F106)</f>
        <v>0</v>
      </c>
      <c r="G107" s="174">
        <f t="shared" si="13"/>
        <v>0</v>
      </c>
      <c r="H107" s="174">
        <f t="shared" si="13"/>
        <v>0</v>
      </c>
      <c r="I107" s="174">
        <f t="shared" si="13"/>
        <v>0</v>
      </c>
      <c r="J107" s="189"/>
      <c r="K107" s="189"/>
      <c r="L107" s="189"/>
      <c r="M107" s="189"/>
      <c r="N107" s="189"/>
      <c r="O107" s="189"/>
    </row>
    <row r="108" spans="1:25" ht="49.9" customHeight="1" x14ac:dyDescent="0.25">
      <c r="A108" s="349"/>
      <c r="B108" s="3"/>
      <c r="C108" s="3"/>
      <c r="D108" s="189"/>
      <c r="E108" s="189"/>
      <c r="F108" s="268" t="s">
        <v>782</v>
      </c>
      <c r="G108" s="269">
        <f>SUM(D107:I107)</f>
        <v>0</v>
      </c>
      <c r="H108" s="124"/>
      <c r="I108" s="189"/>
      <c r="J108" s="189"/>
      <c r="K108" s="189"/>
      <c r="L108" s="360"/>
      <c r="M108" s="361"/>
    </row>
    <row r="109" spans="1:25" ht="30" customHeight="1" x14ac:dyDescent="0.25">
      <c r="A109" s="349"/>
      <c r="B109" s="141"/>
      <c r="C109" s="356"/>
      <c r="D109" s="157"/>
      <c r="E109" s="157"/>
      <c r="F109" s="157"/>
      <c r="G109" s="157"/>
      <c r="H109" s="157"/>
      <c r="I109" s="349"/>
      <c r="J109" s="349"/>
      <c r="K109" s="349"/>
      <c r="L109" s="349"/>
      <c r="M109" s="349"/>
    </row>
    <row r="110" spans="1:25" ht="30" customHeight="1" x14ac:dyDescent="0.25">
      <c r="A110" s="349"/>
      <c r="B110" s="141"/>
      <c r="C110" s="356"/>
      <c r="D110" s="157"/>
      <c r="E110" s="157"/>
      <c r="F110" s="157"/>
      <c r="G110" s="157"/>
      <c r="H110" s="157"/>
      <c r="I110" s="349"/>
      <c r="J110" s="349"/>
      <c r="K110" s="349"/>
      <c r="L110" s="349"/>
      <c r="M110" s="349"/>
    </row>
    <row r="111" spans="1:25" ht="30" customHeight="1" x14ac:dyDescent="0.25">
      <c r="A111" s="349"/>
      <c r="B111" s="141"/>
      <c r="C111" s="356"/>
      <c r="D111" s="157"/>
      <c r="E111" s="157"/>
      <c r="F111" s="157"/>
      <c r="G111" s="157"/>
      <c r="H111" s="157"/>
      <c r="I111" s="349"/>
      <c r="J111" s="349"/>
      <c r="K111" s="349"/>
      <c r="L111" s="349"/>
      <c r="M111" s="349"/>
    </row>
    <row r="112" spans="1:25" ht="30" customHeight="1" x14ac:dyDescent="0.25">
      <c r="A112" s="123"/>
      <c r="B112" s="1517"/>
      <c r="C112" s="1517"/>
      <c r="D112" s="1517"/>
      <c r="E112" s="1517"/>
      <c r="F112" s="157"/>
      <c r="G112" s="1410" t="s">
        <v>282</v>
      </c>
      <c r="H112" s="1410"/>
      <c r="I112" s="1410"/>
      <c r="J112" s="1410"/>
      <c r="K112" s="141"/>
      <c r="L112" s="141"/>
      <c r="M112" s="141"/>
    </row>
    <row r="113" spans="1:25" ht="70.150000000000006" customHeight="1" x14ac:dyDescent="0.25">
      <c r="A113" s="123"/>
      <c r="B113" s="223"/>
      <c r="C113" s="211"/>
      <c r="D113" s="211"/>
      <c r="E113" s="211"/>
      <c r="F113" s="101"/>
      <c r="G113" s="491" t="s">
        <v>783</v>
      </c>
      <c r="H113" s="228" t="s">
        <v>3</v>
      </c>
      <c r="I113" s="591" t="s">
        <v>671</v>
      </c>
      <c r="J113" s="591" t="s">
        <v>673</v>
      </c>
      <c r="K113" s="101"/>
      <c r="L113" s="101"/>
      <c r="M113" s="101"/>
    </row>
    <row r="114" spans="1:25" ht="49.9" customHeight="1" x14ac:dyDescent="0.25">
      <c r="A114" s="123"/>
      <c r="B114" s="291"/>
      <c r="C114" s="394"/>
      <c r="D114" s="649"/>
      <c r="E114" s="503"/>
      <c r="F114" s="141"/>
      <c r="G114" s="298" t="s">
        <v>329</v>
      </c>
      <c r="H114" s="224"/>
      <c r="I114" s="230"/>
      <c r="J114" s="225"/>
      <c r="K114" s="141"/>
      <c r="L114" s="141"/>
      <c r="M114" s="141"/>
    </row>
    <row r="115" spans="1:25" ht="49.9" customHeight="1" x14ac:dyDescent="0.25">
      <c r="A115" s="123"/>
      <c r="B115" s="291"/>
      <c r="C115" s="394"/>
      <c r="D115" s="503"/>
      <c r="E115" s="503"/>
      <c r="F115" s="141"/>
      <c r="G115" s="329" t="s">
        <v>785</v>
      </c>
      <c r="H115" s="330" t="s">
        <v>359</v>
      </c>
      <c r="I115" s="520" t="str">
        <f>IFERROR(I116-I117,"")</f>
        <v/>
      </c>
      <c r="J115" s="520" t="str">
        <f>IFERROR(J116-J117,"")</f>
        <v/>
      </c>
      <c r="K115" s="141"/>
      <c r="L115" s="141"/>
      <c r="M115" s="141"/>
    </row>
    <row r="116" spans="1:25" s="1" customFormat="1" ht="49.9" customHeight="1" x14ac:dyDescent="0.25">
      <c r="A116" s="123"/>
      <c r="B116" s="291"/>
      <c r="C116" s="394"/>
      <c r="D116" s="650"/>
      <c r="E116" s="650"/>
      <c r="F116" s="141"/>
      <c r="G116" s="331" t="s">
        <v>334</v>
      </c>
      <c r="H116" s="332" t="s">
        <v>359</v>
      </c>
      <c r="I116" s="449">
        <f>IFERROR(K10,"")</f>
        <v>0</v>
      </c>
      <c r="J116" s="450">
        <f>IFERROR(N10,"")</f>
        <v>0</v>
      </c>
      <c r="K116" s="141"/>
      <c r="L116" s="141"/>
      <c r="M116" s="141"/>
      <c r="P116"/>
      <c r="Q116"/>
      <c r="R116"/>
      <c r="S116"/>
      <c r="T116"/>
      <c r="U116"/>
      <c r="V116"/>
      <c r="W116"/>
      <c r="X116"/>
      <c r="Y116"/>
    </row>
    <row r="117" spans="1:25" s="1" customFormat="1" ht="49.9" customHeight="1" x14ac:dyDescent="0.25">
      <c r="A117" s="123"/>
      <c r="B117" s="291"/>
      <c r="C117" s="394"/>
      <c r="D117" s="503"/>
      <c r="E117" s="503"/>
      <c r="F117" s="141"/>
      <c r="G117" s="333" t="s">
        <v>360</v>
      </c>
      <c r="H117" s="334" t="s">
        <v>359</v>
      </c>
      <c r="I117" s="318" t="str">
        <f>IFERROR(D76,"")</f>
        <v/>
      </c>
      <c r="J117" s="319" t="str">
        <f>IFERROR(D107+I117,"")</f>
        <v/>
      </c>
      <c r="K117" s="141"/>
      <c r="L117" s="141"/>
      <c r="M117" s="141"/>
      <c r="P117"/>
      <c r="Q117"/>
      <c r="R117"/>
      <c r="S117"/>
      <c r="T117"/>
      <c r="U117"/>
      <c r="V117"/>
      <c r="W117"/>
      <c r="X117"/>
      <c r="Y117"/>
    </row>
    <row r="118" spans="1:25" s="1" customFormat="1" ht="49.9" customHeight="1" x14ac:dyDescent="0.25">
      <c r="A118" s="123"/>
      <c r="B118" s="291"/>
      <c r="C118" s="394"/>
      <c r="D118" s="503"/>
      <c r="E118" s="503"/>
      <c r="F118" s="141"/>
      <c r="G118" s="1512" t="s">
        <v>330</v>
      </c>
      <c r="H118" s="1513"/>
      <c r="I118" s="1513"/>
      <c r="J118" s="225"/>
      <c r="K118" s="141"/>
      <c r="L118" s="141"/>
      <c r="M118" s="141"/>
      <c r="P118"/>
      <c r="Q118"/>
      <c r="R118"/>
      <c r="S118"/>
      <c r="T118"/>
      <c r="U118"/>
      <c r="V118"/>
      <c r="W118"/>
      <c r="X118"/>
      <c r="Y118"/>
    </row>
    <row r="119" spans="1:25" s="1" customFormat="1" ht="49.9" customHeight="1" x14ac:dyDescent="0.25">
      <c r="A119" s="123"/>
      <c r="B119" s="291"/>
      <c r="C119" s="307"/>
      <c r="D119" s="503"/>
      <c r="E119" s="503"/>
      <c r="F119" s="124"/>
      <c r="G119" s="329" t="s">
        <v>785</v>
      </c>
      <c r="H119" s="326" t="s">
        <v>353</v>
      </c>
      <c r="I119" s="520">
        <f>IFERROR(I120-I121,"")</f>
        <v>0</v>
      </c>
      <c r="J119" s="520">
        <f>IFERROR(J120-J121,"")</f>
        <v>0</v>
      </c>
      <c r="K119" s="124"/>
      <c r="L119" s="124"/>
      <c r="M119" s="124"/>
      <c r="P119"/>
      <c r="Q119"/>
      <c r="R119"/>
      <c r="S119"/>
      <c r="T119"/>
      <c r="U119"/>
      <c r="V119"/>
      <c r="W119"/>
      <c r="X119"/>
      <c r="Y119"/>
    </row>
    <row r="120" spans="1:25" s="1" customFormat="1" ht="49.9" customHeight="1" x14ac:dyDescent="0.25">
      <c r="A120" s="123"/>
      <c r="B120" s="87"/>
      <c r="C120" s="88"/>
      <c r="D120" s="88"/>
      <c r="E120" s="88"/>
      <c r="F120" s="101"/>
      <c r="G120" s="331" t="s">
        <v>334</v>
      </c>
      <c r="H120" s="327" t="s">
        <v>353</v>
      </c>
      <c r="I120" s="449">
        <f>IFERROR(K11,"")</f>
        <v>0</v>
      </c>
      <c r="J120" s="450">
        <f>IFERROR(N11,"")</f>
        <v>0</v>
      </c>
      <c r="K120" s="101"/>
      <c r="L120" s="101"/>
      <c r="M120" s="101"/>
      <c r="P120"/>
      <c r="Q120"/>
      <c r="R120"/>
      <c r="S120"/>
      <c r="T120"/>
      <c r="U120"/>
      <c r="V120"/>
      <c r="W120"/>
      <c r="X120"/>
      <c r="Y120"/>
    </row>
    <row r="121" spans="1:25" s="1" customFormat="1" ht="49.9" customHeight="1" x14ac:dyDescent="0.25">
      <c r="A121" s="123"/>
      <c r="B121" s="1411" t="s">
        <v>778</v>
      </c>
      <c r="C121" s="1410"/>
      <c r="D121" s="1410"/>
      <c r="E121" s="1410"/>
      <c r="F121" s="157"/>
      <c r="G121" s="333" t="s">
        <v>360</v>
      </c>
      <c r="H121" s="328" t="s">
        <v>353</v>
      </c>
      <c r="I121" s="318">
        <f>IFERROR(E76,"")</f>
        <v>0</v>
      </c>
      <c r="J121" s="319">
        <f>IFERROR(E107+I121,"")</f>
        <v>0</v>
      </c>
      <c r="K121" s="157"/>
      <c r="L121" s="157"/>
      <c r="M121" s="157"/>
      <c r="P121"/>
      <c r="Q121"/>
      <c r="R121"/>
      <c r="S121"/>
      <c r="T121"/>
      <c r="U121"/>
      <c r="V121"/>
      <c r="W121"/>
      <c r="X121"/>
      <c r="Y121"/>
    </row>
    <row r="122" spans="1:25" s="1" customFormat="1" ht="49.9" customHeight="1" x14ac:dyDescent="0.25">
      <c r="A122" s="123"/>
      <c r="B122" s="231" t="s">
        <v>114</v>
      </c>
      <c r="C122" s="228" t="s">
        <v>3</v>
      </c>
      <c r="D122" s="228" t="s">
        <v>756</v>
      </c>
      <c r="E122" s="228" t="s">
        <v>757</v>
      </c>
      <c r="F122" s="157"/>
      <c r="G122" s="310" t="s">
        <v>331</v>
      </c>
      <c r="H122" s="484"/>
      <c r="I122" s="484"/>
      <c r="J122" s="300"/>
      <c r="K122" s="157"/>
      <c r="L122" s="157"/>
      <c r="M122" s="157"/>
      <c r="P122"/>
      <c r="Q122"/>
      <c r="R122"/>
      <c r="S122"/>
      <c r="T122"/>
      <c r="U122"/>
      <c r="V122"/>
      <c r="W122"/>
      <c r="X122"/>
      <c r="Y122"/>
    </row>
    <row r="123" spans="1:25" s="1" customFormat="1" ht="49.9" customHeight="1" x14ac:dyDescent="0.25">
      <c r="A123" s="158"/>
      <c r="B123" s="311" t="s">
        <v>505</v>
      </c>
      <c r="C123" s="232" t="s">
        <v>136</v>
      </c>
      <c r="D123" s="487" t="str">
        <f>IFERROR(D124-D125,"")</f>
        <v/>
      </c>
      <c r="E123" s="487" t="str">
        <f>IFERROR(E124-E125,"")</f>
        <v/>
      </c>
      <c r="F123" s="157"/>
      <c r="G123" s="329" t="s">
        <v>785</v>
      </c>
      <c r="H123" s="326" t="s">
        <v>353</v>
      </c>
      <c r="I123" s="520">
        <f>IFERROR(I124-I125,"")</f>
        <v>0</v>
      </c>
      <c r="J123" s="520">
        <f>IFERROR(J124-J125,"")</f>
        <v>0</v>
      </c>
      <c r="K123" s="157"/>
      <c r="L123" s="157"/>
      <c r="M123" s="157"/>
      <c r="P123"/>
      <c r="Q123"/>
      <c r="R123"/>
      <c r="S123"/>
      <c r="T123"/>
      <c r="U123"/>
      <c r="V123"/>
      <c r="W123"/>
      <c r="X123"/>
      <c r="Y123"/>
    </row>
    <row r="124" spans="1:25" s="1" customFormat="1" ht="49.9" customHeight="1" x14ac:dyDescent="0.25">
      <c r="A124" s="123"/>
      <c r="B124" s="313" t="s">
        <v>354</v>
      </c>
      <c r="C124" s="233" t="s">
        <v>136</v>
      </c>
      <c r="D124" s="489">
        <f>K16</f>
        <v>0</v>
      </c>
      <c r="E124" s="489">
        <f>IFERROR(N16,"")</f>
        <v>0</v>
      </c>
      <c r="F124" s="157"/>
      <c r="G124" s="331" t="s">
        <v>334</v>
      </c>
      <c r="H124" s="327" t="s">
        <v>353</v>
      </c>
      <c r="I124" s="449">
        <f>K12</f>
        <v>0</v>
      </c>
      <c r="J124" s="450">
        <f>IFERROR(N12,"")</f>
        <v>0</v>
      </c>
      <c r="K124" s="157"/>
      <c r="L124" s="157"/>
      <c r="M124" s="157"/>
      <c r="P124"/>
      <c r="Q124"/>
      <c r="R124"/>
      <c r="S124"/>
      <c r="T124"/>
      <c r="U124"/>
      <c r="V124"/>
      <c r="W124"/>
      <c r="X124"/>
      <c r="Y124"/>
    </row>
    <row r="125" spans="1:25" s="1" customFormat="1" ht="49.9" customHeight="1" x14ac:dyDescent="0.25">
      <c r="A125" s="123"/>
      <c r="B125" s="316" t="s">
        <v>355</v>
      </c>
      <c r="C125" s="234" t="s">
        <v>136</v>
      </c>
      <c r="D125" s="490" t="str">
        <f>IFERROR(G77,"")</f>
        <v/>
      </c>
      <c r="E125" s="494" t="str">
        <f>IFERROR(C80,"")</f>
        <v/>
      </c>
      <c r="F125" s="157"/>
      <c r="G125" s="333" t="s">
        <v>360</v>
      </c>
      <c r="H125" s="328" t="s">
        <v>353</v>
      </c>
      <c r="I125" s="318">
        <f>IFERROR(F76,"")</f>
        <v>0</v>
      </c>
      <c r="J125" s="319">
        <f>IFERROR(F107+I125,"")</f>
        <v>0</v>
      </c>
      <c r="K125" s="157"/>
      <c r="L125" s="157"/>
      <c r="M125" s="157"/>
      <c r="P125"/>
      <c r="Q125"/>
      <c r="R125"/>
      <c r="S125"/>
      <c r="T125"/>
      <c r="U125"/>
      <c r="V125"/>
      <c r="W125"/>
      <c r="X125"/>
      <c r="Y125"/>
    </row>
    <row r="126" spans="1:25" s="1" customFormat="1" ht="49.9" customHeight="1" x14ac:dyDescent="0.25">
      <c r="A126"/>
      <c r="B126" s="320" t="s">
        <v>475</v>
      </c>
      <c r="C126" s="235" t="s">
        <v>784</v>
      </c>
      <c r="D126" s="488" t="str">
        <f>IFERROR(D127/C11,"")</f>
        <v/>
      </c>
      <c r="E126" s="370" t="s">
        <v>107</v>
      </c>
      <c r="F126" s="189"/>
      <c r="G126" s="1512" t="s">
        <v>333</v>
      </c>
      <c r="H126" s="1513"/>
      <c r="I126" s="1513"/>
      <c r="J126" s="1513"/>
      <c r="K126" s="189"/>
      <c r="L126" s="189"/>
      <c r="M126" s="189"/>
      <c r="P126"/>
      <c r="Q126"/>
      <c r="R126"/>
      <c r="S126"/>
      <c r="T126"/>
      <c r="U126"/>
      <c r="V126"/>
      <c r="W126"/>
      <c r="X126"/>
      <c r="Y126"/>
    </row>
    <row r="127" spans="1:25" ht="49.9" customHeight="1" x14ac:dyDescent="0.25">
      <c r="B127" s="320" t="s">
        <v>402</v>
      </c>
      <c r="C127" s="235" t="s">
        <v>136</v>
      </c>
      <c r="D127" s="488">
        <f>IFERROR(SUM(K10:K14),"")</f>
        <v>0</v>
      </c>
      <c r="E127" s="370" t="s">
        <v>107</v>
      </c>
      <c r="G127" s="329" t="s">
        <v>504</v>
      </c>
      <c r="H127" s="326" t="s">
        <v>353</v>
      </c>
      <c r="I127" s="520">
        <f>IFERROR(I128-I129,"")</f>
        <v>0</v>
      </c>
      <c r="J127" s="520">
        <f>IFERROR(J128-J129,"")</f>
        <v>0</v>
      </c>
    </row>
    <row r="128" spans="1:25" ht="49.9" customHeight="1" x14ac:dyDescent="0.25">
      <c r="B128" s="320" t="s">
        <v>356</v>
      </c>
      <c r="C128" s="236" t="s">
        <v>193</v>
      </c>
      <c r="D128" s="325" t="str">
        <f>IFERROR(D123*$Y$9,"")</f>
        <v/>
      </c>
      <c r="E128" s="325" t="str">
        <f>IFERROR(E123*$Y$9,"")</f>
        <v/>
      </c>
      <c r="G128" s="331" t="s">
        <v>334</v>
      </c>
      <c r="H128" s="327" t="s">
        <v>353</v>
      </c>
      <c r="I128" s="449">
        <f>K13</f>
        <v>0</v>
      </c>
      <c r="J128" s="450">
        <f>N13</f>
        <v>0</v>
      </c>
    </row>
    <row r="129" spans="2:10" ht="49.9" customHeight="1" x14ac:dyDescent="0.25">
      <c r="B129" s="87"/>
      <c r="C129" s="88"/>
      <c r="D129" s="244"/>
      <c r="E129" s="88"/>
      <c r="G129" s="333" t="s">
        <v>360</v>
      </c>
      <c r="H129" s="328" t="s">
        <v>353</v>
      </c>
      <c r="I129" s="318">
        <f>IFERROR(G76,"")</f>
        <v>0</v>
      </c>
      <c r="J129" s="319">
        <f>IFERROR(G107+I129,"")</f>
        <v>0</v>
      </c>
    </row>
    <row r="130" spans="2:10" ht="49.9" customHeight="1" x14ac:dyDescent="0.25">
      <c r="B130" s="1517"/>
      <c r="C130" s="1517"/>
      <c r="D130" s="1517"/>
      <c r="E130" s="1517"/>
      <c r="G130" s="1512" t="s">
        <v>332</v>
      </c>
      <c r="H130" s="1513"/>
      <c r="I130" s="1513"/>
      <c r="J130" s="1513"/>
    </row>
    <row r="131" spans="2:10" ht="49.9" customHeight="1" x14ac:dyDescent="0.25">
      <c r="B131" s="223"/>
      <c r="C131" s="211"/>
      <c r="D131" s="211"/>
      <c r="E131" s="211"/>
      <c r="G131" s="329" t="s">
        <v>785</v>
      </c>
      <c r="H131" s="326" t="s">
        <v>353</v>
      </c>
      <c r="I131" s="520" t="str">
        <f>IFERROR(I132-I133,"")</f>
        <v/>
      </c>
      <c r="J131" s="520" t="str">
        <f>IFERROR(J132-J133,"")</f>
        <v/>
      </c>
    </row>
    <row r="132" spans="2:10" ht="49.9" customHeight="1" x14ac:dyDescent="0.25">
      <c r="B132" s="291"/>
      <c r="C132" s="394"/>
      <c r="D132" s="651"/>
      <c r="E132" s="651"/>
      <c r="G132" s="331" t="s">
        <v>334</v>
      </c>
      <c r="H132" s="327" t="s">
        <v>353</v>
      </c>
      <c r="I132" s="315">
        <f>K14</f>
        <v>0</v>
      </c>
      <c r="J132" s="324">
        <f>N14</f>
        <v>0</v>
      </c>
    </row>
    <row r="133" spans="2:10" ht="49.9" customHeight="1" x14ac:dyDescent="0.25">
      <c r="B133" s="291"/>
      <c r="C133" s="394"/>
      <c r="D133" s="651"/>
      <c r="E133" s="602"/>
      <c r="F133" s="680"/>
      <c r="G133" s="333" t="s">
        <v>360</v>
      </c>
      <c r="H133" s="328" t="s">
        <v>353</v>
      </c>
      <c r="I133" s="318" t="str">
        <f>IFERROR(H76,"")</f>
        <v/>
      </c>
      <c r="J133" s="319" t="str">
        <f>IFERROR(H107+I133,"")</f>
        <v/>
      </c>
    </row>
    <row r="134" spans="2:10" ht="49.9" customHeight="1" x14ac:dyDescent="0.25">
      <c r="B134" s="291"/>
      <c r="C134" s="394"/>
      <c r="D134" s="652"/>
      <c r="E134" s="679"/>
      <c r="F134" s="680"/>
      <c r="G134" s="1512" t="s">
        <v>739</v>
      </c>
      <c r="H134" s="1513"/>
      <c r="I134" s="1513"/>
      <c r="J134" s="1513"/>
    </row>
    <row r="135" spans="2:10" ht="49.9" customHeight="1" x14ac:dyDescent="0.25">
      <c r="B135" s="291"/>
      <c r="C135" s="394"/>
      <c r="D135" s="503"/>
      <c r="E135" s="602"/>
      <c r="F135" s="680"/>
      <c r="G135" s="329" t="s">
        <v>785</v>
      </c>
      <c r="H135" s="326" t="s">
        <v>353</v>
      </c>
      <c r="I135" s="520" t="e">
        <f>I136-I137</f>
        <v>#VALUE!</v>
      </c>
      <c r="J135" s="520" t="e">
        <f>J136-J137</f>
        <v>#VALUE!</v>
      </c>
    </row>
    <row r="136" spans="2:10" ht="49.9" customHeight="1" x14ac:dyDescent="0.25">
      <c r="B136" s="291"/>
      <c r="C136" s="394"/>
      <c r="D136" s="503"/>
      <c r="E136" s="602"/>
      <c r="F136" s="680"/>
      <c r="G136" s="331" t="s">
        <v>334</v>
      </c>
      <c r="H136" s="327" t="s">
        <v>353</v>
      </c>
      <c r="I136" s="315">
        <f>K15</f>
        <v>0</v>
      </c>
      <c r="J136" s="324">
        <f>N15</f>
        <v>0</v>
      </c>
    </row>
    <row r="137" spans="2:10" ht="49.9" customHeight="1" x14ac:dyDescent="0.25">
      <c r="B137" s="291"/>
      <c r="C137" s="307"/>
      <c r="D137" s="653"/>
      <c r="E137" s="602"/>
      <c r="F137" s="680"/>
      <c r="G137" s="333" t="s">
        <v>360</v>
      </c>
      <c r="H137" s="328" t="s">
        <v>353</v>
      </c>
      <c r="I137" s="318" t="str">
        <f>IFERROR(I76,"")</f>
        <v/>
      </c>
      <c r="J137" s="319" t="str">
        <f>IFERROR(I107+I137,"")</f>
        <v/>
      </c>
    </row>
    <row r="138" spans="2:10" ht="49.9" customHeight="1" x14ac:dyDescent="0.25">
      <c r="B138" s="87"/>
      <c r="C138" s="88"/>
      <c r="D138" s="88"/>
      <c r="E138" s="681"/>
      <c r="F138" s="680"/>
    </row>
    <row r="139" spans="2:10" ht="30" customHeight="1" x14ac:dyDescent="0.25">
      <c r="E139" s="680"/>
      <c r="F139" s="680"/>
    </row>
  </sheetData>
  <mergeCells count="10">
    <mergeCell ref="K77:L77"/>
    <mergeCell ref="G80:H80"/>
    <mergeCell ref="G112:J112"/>
    <mergeCell ref="G118:I118"/>
    <mergeCell ref="G126:J126"/>
    <mergeCell ref="G134:J134"/>
    <mergeCell ref="G130:J130"/>
    <mergeCell ref="B112:E112"/>
    <mergeCell ref="B121:E121"/>
    <mergeCell ref="B130:E130"/>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857" id="{58C86BBF-F6F6-4C72-B1E9-E1A464324F29}">
            <xm:f>$F$55=FAListas!#REF!</xm:f>
            <x14:dxf>
              <fill>
                <patternFill>
                  <bgColor theme="1"/>
                </patternFill>
              </fill>
            </x14:dxf>
          </x14:cfRule>
          <xm:sqref>D126:D128 E128 D135:D137 E137</xm:sqref>
        </x14:conditionalFormatting>
        <x14:conditionalFormatting xmlns:xm="http://schemas.microsoft.com/office/excel/2006/main">
          <x14:cfRule type="expression" priority="859" id="{E47FE7A1-CA9B-4DE8-8D72-47E7CA5EA51E}">
            <xm:f>IF($E$41=FAListas!$C$6,TRUE, IF($E$41=FAListas!#REF!, TRUE,""))</xm:f>
            <x14:dxf>
              <fill>
                <patternFill>
                  <bgColor theme="1"/>
                </patternFill>
              </fill>
            </x14:dxf>
          </x14:cfRule>
          <xm:sqref>D114:E114</xm:sqref>
        </x14:conditionalFormatting>
        <x14:conditionalFormatting xmlns:xm="http://schemas.microsoft.com/office/excel/2006/main">
          <x14:cfRule type="expression" priority="860" id="{9DC9E777-5075-4210-8B0A-9106F576D3E4}">
            <xm:f>IF($F$55=FAListas!$C$6,TRUE, IF($F$55=FAListas!#REF!, TRUE,""))</xm:f>
            <x14:dxf>
              <fill>
                <patternFill>
                  <bgColor theme="1"/>
                </patternFill>
              </fill>
            </x14:dxf>
          </x14:cfRule>
          <xm:sqref>D115:E119</xm:sqref>
        </x14:conditionalFormatting>
        <x14:conditionalFormatting xmlns:xm="http://schemas.microsoft.com/office/excel/2006/main">
          <x14:cfRule type="expression" priority="861" id="{96C32A74-847B-4D8F-97AE-CBA4C43387A5}">
            <xm:f>#REF!=FAListas!#REF!</xm:f>
            <x14:dxf>
              <fill>
                <patternFill>
                  <bgColor theme="1"/>
                </patternFill>
              </fill>
            </x14:dxf>
          </x14:cfRule>
          <xm:sqref>D124:E125 E126:E127 D133:E134</xm:sqref>
        </x14:conditionalFormatting>
        <x14:conditionalFormatting xmlns:xm="http://schemas.microsoft.com/office/excel/2006/main">
          <x14:cfRule type="expression" priority="15" id="{A371CFFD-8782-43B1-B90C-B73EB4955062}">
            <xm:f>#REF!=FAListas!$C$6</xm:f>
            <x14:dxf>
              <fill>
                <patternFill>
                  <bgColor theme="1"/>
                </patternFill>
              </fill>
            </x14:dxf>
          </x14:cfRule>
          <xm:sqref>E135:E136</xm:sqref>
        </x14:conditionalFormatting>
        <x14:conditionalFormatting xmlns:xm="http://schemas.microsoft.com/office/excel/2006/main">
          <x14:cfRule type="expression" priority="866" id="{D3BCDF41-1166-4C25-A6AF-016FD18AA302}">
            <xm:f>IF(#REF!=FAListas!$C$6,TRUE, IF(#REF!=FAListas!#REF!, TRUE,""))</xm:f>
            <x14:dxf>
              <fill>
                <patternFill>
                  <bgColor theme="1"/>
                </patternFill>
              </fill>
            </x14:dxf>
          </x14:cfRule>
          <xm:sqref>I115:J115 I119:J119 D123:E123 I123:J123 I127:J127 I131:J131 D132:E132</xm:sqref>
        </x14:conditionalFormatting>
        <x14:conditionalFormatting xmlns:xm="http://schemas.microsoft.com/office/excel/2006/main">
          <x14:cfRule type="expression" priority="1" id="{01B88F8D-29FF-4617-A635-FC8212786B4A}">
            <xm:f>IF(#REF!=FAListas!$C$6,TRUE, IF(#REF!=FAListas!#REF!, TRUE,""))</xm:f>
            <x14:dxf>
              <fill>
                <patternFill>
                  <bgColor theme="1"/>
                </patternFill>
              </fill>
            </x14:dxf>
          </x14:cfRule>
          <xm:sqref>I135:J135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ADF40-B152-4DE8-AF56-5A4B2CC8EBE1}">
  <sheetPr codeName="Sheet15">
    <tabColor rgb="FF02A39C"/>
  </sheetPr>
  <dimension ref="A2:Y101"/>
  <sheetViews>
    <sheetView showGridLines="0" zoomScale="65" zoomScaleNormal="65" workbookViewId="0">
      <pane ySplit="2" topLeftCell="A3" activePane="bottomLeft" state="frozen"/>
      <selection activeCell="D13" sqref="D13"/>
      <selection pane="bottomLeft" activeCell="K4" sqref="K4:L4"/>
    </sheetView>
  </sheetViews>
  <sheetFormatPr defaultRowHeight="24" customHeight="1" x14ac:dyDescent="0.25"/>
  <cols>
    <col min="1" max="1" width="3.7109375" customWidth="1"/>
    <col min="2" max="2" width="2.7109375" customWidth="1"/>
    <col min="3" max="3" width="47.7109375" customWidth="1"/>
    <col min="4" max="4" width="26.28515625" customWidth="1"/>
    <col min="5" max="5" width="37.85546875" customWidth="1"/>
    <col min="6" max="6" width="36.7109375" customWidth="1"/>
    <col min="7" max="7" width="37.7109375" customWidth="1"/>
    <col min="8" max="8" width="2.7109375" customWidth="1"/>
    <col min="9" max="9" width="9" customWidth="1"/>
    <col min="10" max="13" width="35.7109375" customWidth="1"/>
    <col min="20" max="21" width="40.7109375" hidden="1" customWidth="1"/>
  </cols>
  <sheetData>
    <row r="2" spans="1:22" s="4" customFormat="1" ht="70.150000000000006" customHeight="1" x14ac:dyDescent="0.25">
      <c r="A2" s="297"/>
      <c r="C2" s="373" t="s">
        <v>940</v>
      </c>
      <c r="D2" s="52"/>
      <c r="E2" s="52"/>
      <c r="F2" s="52"/>
      <c r="G2" s="52"/>
      <c r="H2" s="52"/>
      <c r="I2" s="52"/>
      <c r="J2" s="52"/>
      <c r="K2" s="52"/>
      <c r="L2" s="52"/>
      <c r="M2" s="52"/>
      <c r="N2" s="52"/>
      <c r="O2" s="52"/>
      <c r="P2" s="52"/>
      <c r="Q2" s="52"/>
      <c r="R2" s="52"/>
      <c r="S2" s="52"/>
      <c r="T2" s="52"/>
      <c r="U2" s="52"/>
      <c r="V2" s="52"/>
    </row>
    <row r="3" spans="1:22" ht="24" customHeight="1" thickBot="1" x14ac:dyDescent="0.3"/>
    <row r="4" spans="1:22" ht="40.15" customHeight="1" thickBot="1" x14ac:dyDescent="0.3">
      <c r="B4" s="66"/>
      <c r="C4" s="66" t="s">
        <v>496</v>
      </c>
      <c r="D4" s="57"/>
      <c r="E4" s="57"/>
      <c r="F4" s="57"/>
      <c r="G4" s="57"/>
      <c r="H4" s="58"/>
      <c r="I4" s="56"/>
      <c r="J4" s="562" t="s">
        <v>608</v>
      </c>
      <c r="K4" s="1452" t="s">
        <v>603</v>
      </c>
      <c r="L4" s="1453"/>
      <c r="T4" s="560" t="s">
        <v>603</v>
      </c>
      <c r="U4" s="554" t="s">
        <v>974</v>
      </c>
    </row>
    <row r="5" spans="1:22" ht="15" customHeight="1" x14ac:dyDescent="0.25">
      <c r="B5" s="512"/>
      <c r="C5" s="56"/>
      <c r="D5" s="56"/>
      <c r="E5" s="56"/>
      <c r="F5" s="56"/>
      <c r="G5" s="56"/>
      <c r="H5" s="511"/>
      <c r="I5" s="56"/>
      <c r="J5" s="1454" t="str">
        <f>IF(K4="","",VLOOKUP(K4,T4:U6,2,FALSE))</f>
        <v>Cálculo das emissões absolutas (Ab), das emissões emissões de referência (Be) e das emissões relativas (Re= Ab - Be)  de projetos de transporte de passageiros em vias navegáveis interiores que impliquem transferência modal.</v>
      </c>
      <c r="K5" s="1455"/>
      <c r="L5" s="1456"/>
      <c r="T5" s="560" t="s">
        <v>606</v>
      </c>
      <c r="U5" s="553" t="s">
        <v>975</v>
      </c>
    </row>
    <row r="6" spans="1:22" ht="24" customHeight="1" x14ac:dyDescent="0.25">
      <c r="B6" s="512"/>
      <c r="C6" s="1499" t="s">
        <v>634</v>
      </c>
      <c r="D6" s="1500"/>
      <c r="E6" s="1500"/>
      <c r="F6" s="1500"/>
      <c r="G6" s="1500"/>
      <c r="H6" s="511"/>
      <c r="I6" s="56"/>
      <c r="J6" s="1457"/>
      <c r="K6" s="1458"/>
      <c r="L6" s="1459"/>
      <c r="T6" s="560" t="s">
        <v>713</v>
      </c>
      <c r="U6" s="561" t="s">
        <v>976</v>
      </c>
    </row>
    <row r="7" spans="1:22" ht="40.15" customHeight="1" x14ac:dyDescent="0.25">
      <c r="B7" s="512"/>
      <c r="C7" s="1433" t="s">
        <v>611</v>
      </c>
      <c r="D7" s="1424" t="s">
        <v>913</v>
      </c>
      <c r="E7" s="1425"/>
      <c r="F7" s="1425"/>
      <c r="G7" s="1426"/>
      <c r="H7" s="511"/>
      <c r="I7" s="56"/>
      <c r="J7" s="1457"/>
      <c r="K7" s="1458"/>
      <c r="L7" s="1459"/>
    </row>
    <row r="8" spans="1:22" ht="24" customHeight="1" x14ac:dyDescent="0.25">
      <c r="B8" s="512"/>
      <c r="C8" s="1434"/>
      <c r="D8" s="1427" t="s">
        <v>635</v>
      </c>
      <c r="E8" s="1428"/>
      <c r="F8" s="1428"/>
      <c r="G8" s="1429"/>
      <c r="H8" s="511"/>
      <c r="I8" s="56"/>
      <c r="J8" s="1457"/>
      <c r="K8" s="1458"/>
      <c r="L8" s="1459"/>
    </row>
    <row r="9" spans="1:22" ht="24" customHeight="1" thickBot="1" x14ac:dyDescent="0.3">
      <c r="B9" s="512"/>
      <c r="C9" s="1434"/>
      <c r="D9" s="1430" t="s">
        <v>636</v>
      </c>
      <c r="E9" s="1431"/>
      <c r="F9" s="1431"/>
      <c r="G9" s="1432"/>
      <c r="H9" s="511"/>
      <c r="I9" s="56"/>
      <c r="J9" s="1460"/>
      <c r="K9" s="1461"/>
      <c r="L9" s="1462"/>
    </row>
    <row r="10" spans="1:22" ht="61.15" customHeight="1" x14ac:dyDescent="0.25">
      <c r="B10" s="512"/>
      <c r="C10" s="1435"/>
      <c r="D10" s="1424" t="s">
        <v>1348</v>
      </c>
      <c r="E10" s="1425"/>
      <c r="F10" s="1425"/>
      <c r="G10" s="1426"/>
      <c r="H10" s="511"/>
      <c r="I10" s="56"/>
      <c r="J10" s="56"/>
    </row>
    <row r="11" spans="1:22" ht="34.9" customHeight="1" x14ac:dyDescent="0.25">
      <c r="B11" s="512"/>
      <c r="C11" s="1433" t="s">
        <v>609</v>
      </c>
      <c r="D11" s="1427" t="s">
        <v>973</v>
      </c>
      <c r="E11" s="1428"/>
      <c r="F11" s="1428"/>
      <c r="G11" s="1429"/>
      <c r="H11" s="511"/>
      <c r="I11" s="56"/>
      <c r="J11" s="56"/>
    </row>
    <row r="12" spans="1:22" ht="30" customHeight="1" x14ac:dyDescent="0.25">
      <c r="B12" s="512"/>
      <c r="C12" s="1434"/>
      <c r="D12" s="1436" t="s">
        <v>610</v>
      </c>
      <c r="E12" s="1437"/>
      <c r="F12" s="1437"/>
      <c r="G12" s="1438"/>
      <c r="H12" s="511"/>
      <c r="I12" s="56"/>
      <c r="J12" s="56"/>
    </row>
    <row r="13" spans="1:22" ht="30" customHeight="1" x14ac:dyDescent="0.25">
      <c r="B13" s="512"/>
      <c r="C13" s="1434"/>
      <c r="D13" s="1528" t="s">
        <v>837</v>
      </c>
      <c r="E13" s="1529"/>
      <c r="F13" s="1529"/>
      <c r="G13" s="1530"/>
      <c r="H13" s="511"/>
      <c r="I13" s="56"/>
      <c r="J13" s="56"/>
    </row>
    <row r="14" spans="1:22" ht="40.15" customHeight="1" x14ac:dyDescent="0.25">
      <c r="B14" s="512"/>
      <c r="C14" s="1434"/>
      <c r="D14" s="1424" t="s">
        <v>1155</v>
      </c>
      <c r="E14" s="1425"/>
      <c r="F14" s="1425"/>
      <c r="G14" s="1426"/>
      <c r="H14" s="511"/>
      <c r="I14" s="56"/>
      <c r="J14" s="56"/>
    </row>
    <row r="15" spans="1:22" ht="40.15" customHeight="1" x14ac:dyDescent="0.25">
      <c r="B15" s="512"/>
      <c r="C15" s="1434"/>
      <c r="D15" s="1424" t="s">
        <v>726</v>
      </c>
      <c r="E15" s="1425"/>
      <c r="F15" s="1425"/>
      <c r="G15" s="1426"/>
      <c r="H15" s="511"/>
      <c r="I15" s="56"/>
      <c r="J15" s="56"/>
    </row>
    <row r="16" spans="1:22" ht="78" customHeight="1" x14ac:dyDescent="0.25">
      <c r="B16" s="512"/>
      <c r="C16" s="1435"/>
      <c r="D16" s="1424" t="s">
        <v>1345</v>
      </c>
      <c r="E16" s="1425"/>
      <c r="F16" s="1426"/>
      <c r="G16" s="1109" t="s">
        <v>81</v>
      </c>
      <c r="H16" s="511"/>
      <c r="I16" s="56"/>
      <c r="J16" s="56"/>
    </row>
    <row r="17" spans="2:25" ht="40.15" customHeight="1" x14ac:dyDescent="0.25">
      <c r="B17" s="512"/>
      <c r="C17" s="56"/>
      <c r="D17" s="56"/>
      <c r="E17" s="56"/>
      <c r="F17" s="56"/>
      <c r="G17" s="56"/>
      <c r="H17" s="511"/>
      <c r="I17" s="56"/>
      <c r="J17" s="56"/>
    </row>
    <row r="18" spans="2:25" ht="24" customHeight="1" x14ac:dyDescent="0.25">
      <c r="B18" s="59"/>
      <c r="C18" s="116" t="s">
        <v>489</v>
      </c>
      <c r="D18" s="115"/>
      <c r="E18" s="115"/>
      <c r="F18" s="115"/>
      <c r="G18" s="115"/>
      <c r="H18" s="69"/>
      <c r="I18" s="54"/>
      <c r="J18" s="55"/>
      <c r="K18" s="48"/>
      <c r="U18" s="1526"/>
      <c r="V18" s="1334"/>
      <c r="W18" s="1334"/>
      <c r="X18" s="1334"/>
      <c r="Y18" s="1334"/>
    </row>
    <row r="19" spans="2:25" ht="24" customHeight="1" x14ac:dyDescent="0.25">
      <c r="B19" s="59"/>
      <c r="C19" s="92"/>
      <c r="D19" s="92"/>
      <c r="E19" s="92"/>
      <c r="F19" s="92"/>
      <c r="G19" s="92"/>
      <c r="H19" s="69"/>
      <c r="I19" s="54"/>
      <c r="J19" s="55"/>
      <c r="K19" s="48"/>
      <c r="U19" s="1526"/>
      <c r="V19" s="1334"/>
      <c r="W19" s="1334"/>
      <c r="X19" s="1334"/>
      <c r="Y19" s="1334"/>
    </row>
    <row r="20" spans="2:25" ht="30" customHeight="1" x14ac:dyDescent="0.25">
      <c r="B20" s="59"/>
      <c r="C20" s="298" t="s">
        <v>483</v>
      </c>
      <c r="D20" s="218"/>
      <c r="E20" s="219" t="s">
        <v>195</v>
      </c>
      <c r="F20" s="219" t="s">
        <v>157</v>
      </c>
      <c r="G20" s="220" t="s">
        <v>623</v>
      </c>
      <c r="H20" s="69"/>
      <c r="I20" s="54"/>
      <c r="J20" s="55"/>
      <c r="K20" s="48"/>
      <c r="U20" s="1526"/>
      <c r="V20" s="1527"/>
      <c r="W20" s="1527"/>
      <c r="X20" s="1527"/>
      <c r="Y20" s="1527"/>
    </row>
    <row r="21" spans="2:25" ht="70.150000000000006" customHeight="1" x14ac:dyDescent="0.25">
      <c r="B21" s="59"/>
      <c r="C21" s="291" t="s">
        <v>319</v>
      </c>
      <c r="D21" s="292" t="s">
        <v>617</v>
      </c>
      <c r="E21" s="339" t="s">
        <v>376</v>
      </c>
      <c r="F21" s="1104"/>
      <c r="G21" s="1253" t="s">
        <v>482</v>
      </c>
      <c r="H21" s="69"/>
      <c r="I21" s="54"/>
      <c r="J21" s="88"/>
      <c r="K21" s="88"/>
      <c r="U21" s="1526"/>
      <c r="V21" s="1334"/>
      <c r="W21" s="1334"/>
      <c r="X21" s="1334"/>
      <c r="Y21" s="1334"/>
    </row>
    <row r="22" spans="2:25" ht="30" customHeight="1" x14ac:dyDescent="0.25">
      <c r="B22" s="59"/>
      <c r="C22" s="1513" t="s">
        <v>944</v>
      </c>
      <c r="D22" s="1414"/>
      <c r="E22" s="219" t="s">
        <v>195</v>
      </c>
      <c r="F22" s="230" t="s">
        <v>157</v>
      </c>
      <c r="G22" s="220" t="s">
        <v>623</v>
      </c>
      <c r="H22" s="69"/>
      <c r="I22" s="54"/>
      <c r="J22" s="254"/>
      <c r="K22" s="100"/>
      <c r="Q22" s="100"/>
      <c r="R22" s="100"/>
      <c r="U22" s="1526"/>
      <c r="V22" s="603"/>
      <c r="W22" s="603"/>
      <c r="X22" s="603"/>
      <c r="Y22" s="603"/>
    </row>
    <row r="23" spans="2:25" ht="70.150000000000006" customHeight="1" x14ac:dyDescent="0.25">
      <c r="B23" s="59"/>
      <c r="C23" s="293" t="s">
        <v>951</v>
      </c>
      <c r="D23" s="292" t="s">
        <v>616</v>
      </c>
      <c r="E23" s="286" t="s">
        <v>146</v>
      </c>
      <c r="F23" s="1105"/>
      <c r="G23" s="1239" t="s">
        <v>482</v>
      </c>
      <c r="H23" s="69"/>
      <c r="I23" s="54"/>
      <c r="J23" s="138"/>
      <c r="K23" s="88"/>
      <c r="L23" s="88"/>
      <c r="M23" s="88"/>
      <c r="O23" s="88"/>
      <c r="P23" s="1451"/>
      <c r="Q23" s="1451"/>
      <c r="R23" s="1451"/>
      <c r="U23" s="1526"/>
      <c r="V23" s="1334"/>
      <c r="W23" s="1334"/>
      <c r="X23" s="1334"/>
      <c r="Y23" s="765"/>
    </row>
    <row r="24" spans="2:25" ht="30" customHeight="1" x14ac:dyDescent="0.25">
      <c r="B24" s="59"/>
      <c r="C24" s="1513" t="s">
        <v>952</v>
      </c>
      <c r="D24" s="1414"/>
      <c r="E24" s="219" t="s">
        <v>195</v>
      </c>
      <c r="F24" s="230" t="s">
        <v>157</v>
      </c>
      <c r="G24" s="220" t="s">
        <v>623</v>
      </c>
      <c r="H24" s="69"/>
      <c r="I24" s="54"/>
      <c r="J24" s="138"/>
      <c r="K24" s="88"/>
      <c r="L24" s="88"/>
      <c r="M24" s="88"/>
      <c r="O24" s="88"/>
      <c r="P24" s="1451"/>
      <c r="Q24" s="1451"/>
      <c r="R24" s="1451"/>
      <c r="U24" s="658"/>
      <c r="V24" s="603"/>
      <c r="W24" s="603"/>
      <c r="X24" s="603"/>
      <c r="Y24" s="765"/>
    </row>
    <row r="25" spans="2:25" ht="70.150000000000006" customHeight="1" x14ac:dyDescent="0.25">
      <c r="B25" s="59"/>
      <c r="C25" s="293" t="s">
        <v>956</v>
      </c>
      <c r="D25" s="292" t="s">
        <v>616</v>
      </c>
      <c r="E25" s="339" t="s">
        <v>942</v>
      </c>
      <c r="F25" s="1113"/>
      <c r="G25" s="1239" t="s">
        <v>482</v>
      </c>
      <c r="H25" s="69"/>
      <c r="I25" s="54"/>
      <c r="J25" s="138"/>
      <c r="K25" s="88"/>
      <c r="L25" s="88"/>
      <c r="M25" s="88"/>
      <c r="O25" s="88"/>
      <c r="P25" s="1451"/>
      <c r="Q25" s="1451"/>
      <c r="R25" s="1451"/>
      <c r="U25" s="658"/>
      <c r="V25" s="603"/>
      <c r="W25" s="603"/>
      <c r="X25" s="603"/>
      <c r="Y25" s="765"/>
    </row>
    <row r="26" spans="2:25" ht="70.150000000000006" customHeight="1" x14ac:dyDescent="0.25">
      <c r="B26" s="59"/>
      <c r="C26" s="293" t="s">
        <v>953</v>
      </c>
      <c r="D26" s="292" t="s">
        <v>616</v>
      </c>
      <c r="E26" s="339" t="s">
        <v>942</v>
      </c>
      <c r="F26" s="1113"/>
      <c r="G26" s="1239" t="s">
        <v>482</v>
      </c>
      <c r="H26" s="69"/>
      <c r="I26" s="54"/>
      <c r="J26" s="138"/>
      <c r="K26" s="88"/>
      <c r="L26" s="88"/>
      <c r="M26" s="88"/>
      <c r="O26" s="88"/>
      <c r="P26" s="1451"/>
      <c r="Q26" s="1451"/>
      <c r="R26" s="1451"/>
    </row>
    <row r="27" spans="2:25" ht="30" customHeight="1" x14ac:dyDescent="0.25">
      <c r="B27" s="59"/>
      <c r="C27" s="1518"/>
      <c r="D27" s="1518"/>
      <c r="E27" s="1518"/>
      <c r="F27" s="279"/>
      <c r="G27" s="279"/>
      <c r="H27" s="69"/>
      <c r="I27" s="54"/>
      <c r="N27" s="138"/>
      <c r="O27" s="138"/>
      <c r="P27" s="1451"/>
      <c r="Q27" s="1451"/>
      <c r="R27" s="1451"/>
    </row>
    <row r="28" spans="2:25" ht="30" customHeight="1" x14ac:dyDescent="0.25">
      <c r="B28" s="59"/>
      <c r="C28" s="116" t="s">
        <v>490</v>
      </c>
      <c r="D28" s="115"/>
      <c r="E28" s="115"/>
      <c r="F28" s="115"/>
      <c r="G28" s="115"/>
      <c r="H28" s="69"/>
      <c r="I28" s="54"/>
      <c r="J28" s="278"/>
      <c r="K28" s="278"/>
      <c r="L28" s="278"/>
      <c r="N28" s="138"/>
      <c r="O28" s="138"/>
      <c r="P28" s="256"/>
      <c r="Q28" s="256"/>
      <c r="R28" s="256"/>
    </row>
    <row r="29" spans="2:25" ht="15" customHeight="1" x14ac:dyDescent="0.25">
      <c r="B29" s="59"/>
      <c r="C29" s="92"/>
      <c r="D29" s="92"/>
      <c r="E29" s="92"/>
      <c r="F29" s="92"/>
      <c r="G29" s="92"/>
      <c r="H29" s="69"/>
      <c r="I29" s="54"/>
      <c r="J29" s="278"/>
      <c r="K29" s="278"/>
      <c r="L29" s="278"/>
      <c r="N29" s="138"/>
      <c r="O29" s="138"/>
      <c r="P29" s="256"/>
      <c r="Q29" s="256"/>
      <c r="R29" s="256"/>
    </row>
    <row r="30" spans="2:25" ht="24" customHeight="1" x14ac:dyDescent="0.25">
      <c r="B30" s="59"/>
      <c r="C30" s="1504" t="s">
        <v>634</v>
      </c>
      <c r="D30" s="1505"/>
      <c r="E30" s="1505"/>
      <c r="F30" s="1505"/>
      <c r="G30" s="1506"/>
      <c r="H30" s="69"/>
      <c r="I30" s="54"/>
      <c r="J30" s="278"/>
      <c r="K30" s="278"/>
      <c r="L30" s="278"/>
      <c r="N30" s="138"/>
      <c r="O30" s="138"/>
      <c r="P30" s="256"/>
      <c r="Q30" s="256"/>
      <c r="R30" s="256"/>
    </row>
    <row r="31" spans="2:25" ht="34.9" customHeight="1" x14ac:dyDescent="0.25">
      <c r="B31" s="59"/>
      <c r="C31" s="1531" t="s">
        <v>621</v>
      </c>
      <c r="D31" s="1465" t="s">
        <v>900</v>
      </c>
      <c r="E31" s="1465"/>
      <c r="F31" s="1465"/>
      <c r="G31" s="1534"/>
      <c r="H31" s="69"/>
      <c r="I31" s="54"/>
      <c r="J31" s="278"/>
      <c r="K31" s="278"/>
      <c r="L31" s="278"/>
      <c r="N31" s="138"/>
      <c r="O31" s="138"/>
      <c r="P31" s="256"/>
      <c r="Q31" s="256"/>
      <c r="R31" s="256"/>
    </row>
    <row r="32" spans="2:25" ht="40.15" customHeight="1" x14ac:dyDescent="0.25">
      <c r="B32" s="59"/>
      <c r="C32" s="1532"/>
      <c r="D32" s="1447" t="s">
        <v>955</v>
      </c>
      <c r="E32" s="1448"/>
      <c r="F32" s="1448"/>
      <c r="G32" s="1483"/>
      <c r="H32" s="69"/>
      <c r="I32" s="54"/>
      <c r="J32" s="278"/>
      <c r="K32" s="278"/>
      <c r="L32" s="278"/>
      <c r="N32" s="138"/>
      <c r="O32" s="138"/>
      <c r="P32" s="256"/>
      <c r="Q32" s="256"/>
      <c r="R32" s="256"/>
    </row>
    <row r="33" spans="2:18" ht="40.15" customHeight="1" x14ac:dyDescent="0.25">
      <c r="B33" s="59"/>
      <c r="C33" s="1532"/>
      <c r="D33" s="1447" t="s">
        <v>899</v>
      </c>
      <c r="E33" s="1448"/>
      <c r="F33" s="1448"/>
      <c r="G33" s="1483"/>
      <c r="H33" s="69"/>
      <c r="I33" s="54"/>
      <c r="J33" s="278"/>
      <c r="K33" s="278"/>
      <c r="L33" s="278"/>
      <c r="N33" s="138"/>
      <c r="O33" s="138"/>
      <c r="P33" s="256"/>
      <c r="Q33" s="256"/>
      <c r="R33" s="256"/>
    </row>
    <row r="34" spans="2:18" ht="116.45" customHeight="1" x14ac:dyDescent="0.25">
      <c r="B34" s="59"/>
      <c r="C34" s="1533"/>
      <c r="D34" s="1535" t="s">
        <v>947</v>
      </c>
      <c r="E34" s="1536"/>
      <c r="F34" s="1536"/>
      <c r="G34" s="1537"/>
      <c r="H34" s="69"/>
      <c r="I34" s="54"/>
      <c r="J34" s="278"/>
      <c r="K34" s="278"/>
      <c r="L34" s="278"/>
      <c r="N34" s="138"/>
      <c r="O34" s="138"/>
      <c r="P34" s="256"/>
      <c r="Q34" s="256"/>
      <c r="R34" s="256"/>
    </row>
    <row r="35" spans="2:18" ht="15" customHeight="1" x14ac:dyDescent="0.25">
      <c r="B35" s="59"/>
      <c r="C35" s="92"/>
      <c r="D35" s="92"/>
      <c r="E35" s="92"/>
      <c r="F35" s="92"/>
      <c r="G35" s="92"/>
      <c r="H35" s="69"/>
      <c r="I35" s="54"/>
      <c r="J35" s="565"/>
      <c r="K35" s="565"/>
      <c r="L35" s="445"/>
      <c r="N35" s="138"/>
      <c r="O35" s="138"/>
      <c r="P35" s="256"/>
      <c r="Q35" s="256"/>
      <c r="R35" s="256"/>
    </row>
    <row r="36" spans="2:18" ht="15" customHeight="1" x14ac:dyDescent="0.25">
      <c r="B36" s="59"/>
      <c r="C36" s="92"/>
      <c r="D36" s="92"/>
      <c r="E36" s="92"/>
      <c r="F36" s="92"/>
      <c r="G36" s="92"/>
      <c r="H36" s="69"/>
      <c r="I36" s="54"/>
      <c r="J36" s="565"/>
      <c r="K36" s="565"/>
      <c r="L36" s="445"/>
      <c r="N36" s="138"/>
      <c r="O36" s="138"/>
      <c r="P36" s="256"/>
      <c r="Q36" s="256"/>
      <c r="R36" s="256"/>
    </row>
    <row r="37" spans="2:18" ht="15" customHeight="1" x14ac:dyDescent="0.25">
      <c r="B37" s="59"/>
      <c r="C37" s="92"/>
      <c r="D37" s="92"/>
      <c r="E37" s="92"/>
      <c r="F37" s="92"/>
      <c r="G37" s="92"/>
      <c r="H37" s="69"/>
      <c r="I37" s="54"/>
      <c r="J37" s="565"/>
      <c r="K37" s="565"/>
      <c r="L37" s="445"/>
      <c r="N37" s="138"/>
      <c r="O37" s="138"/>
      <c r="P37" s="256"/>
      <c r="Q37" s="256"/>
      <c r="R37" s="256"/>
    </row>
    <row r="38" spans="2:18" ht="30" customHeight="1" x14ac:dyDescent="0.25">
      <c r="B38" s="59"/>
      <c r="C38" s="571" t="s">
        <v>612</v>
      </c>
      <c r="D38" s="573" t="s">
        <v>3</v>
      </c>
      <c r="E38" s="572" t="s">
        <v>86</v>
      </c>
      <c r="F38" s="1416" t="s">
        <v>126</v>
      </c>
      <c r="G38" s="1417"/>
      <c r="H38" s="69"/>
      <c r="I38" s="54"/>
      <c r="J38" s="565"/>
      <c r="K38" s="565"/>
      <c r="L38" s="445"/>
      <c r="N38" s="138"/>
      <c r="O38" s="138"/>
      <c r="P38" s="256"/>
      <c r="Q38" s="256"/>
      <c r="R38" s="256"/>
    </row>
    <row r="39" spans="2:18" ht="49.9" customHeight="1" x14ac:dyDescent="0.25">
      <c r="B39" s="59"/>
      <c r="C39" s="294" t="s">
        <v>716</v>
      </c>
      <c r="D39" s="309" t="s">
        <v>119</v>
      </c>
      <c r="E39" s="1105"/>
      <c r="F39" s="1519" t="s">
        <v>160</v>
      </c>
      <c r="G39" s="1511"/>
      <c r="H39" s="69"/>
      <c r="I39" s="54"/>
      <c r="J39" s="565"/>
      <c r="K39" s="565"/>
      <c r="L39" s="445"/>
      <c r="N39" s="138"/>
      <c r="O39" s="138"/>
      <c r="P39" s="256"/>
      <c r="Q39" s="256"/>
      <c r="R39" s="256"/>
    </row>
    <row r="40" spans="2:18" ht="30" customHeight="1" x14ac:dyDescent="0.25">
      <c r="B40" s="59"/>
      <c r="C40" s="575" t="s">
        <v>944</v>
      </c>
      <c r="D40" s="573" t="s">
        <v>3</v>
      </c>
      <c r="E40" s="572" t="s">
        <v>86</v>
      </c>
      <c r="F40" s="1520" t="s">
        <v>126</v>
      </c>
      <c r="G40" s="1473"/>
      <c r="H40" s="760"/>
      <c r="I40" s="54"/>
      <c r="M40" s="88"/>
    </row>
    <row r="41" spans="2:18" ht="70.150000000000006" customHeight="1" x14ac:dyDescent="0.25">
      <c r="B41" s="59"/>
      <c r="C41" s="293" t="s">
        <v>898</v>
      </c>
      <c r="D41" s="292" t="s">
        <v>487</v>
      </c>
      <c r="E41" s="1105"/>
      <c r="F41" s="1418" t="s">
        <v>160</v>
      </c>
      <c r="G41" s="1419"/>
      <c r="H41" s="69"/>
      <c r="I41" s="54"/>
      <c r="J41" s="1514"/>
      <c r="K41" s="1514"/>
      <c r="L41" s="1509"/>
      <c r="M41" s="1509"/>
    </row>
    <row r="42" spans="2:18" ht="70.150000000000006" customHeight="1" x14ac:dyDescent="0.25">
      <c r="B42" s="59"/>
      <c r="C42" s="293" t="s">
        <v>945</v>
      </c>
      <c r="D42" s="292" t="s">
        <v>943</v>
      </c>
      <c r="E42" s="1105"/>
      <c r="F42" s="1525" t="s">
        <v>160</v>
      </c>
      <c r="G42" s="1418"/>
      <c r="H42" s="69"/>
      <c r="I42" s="54"/>
      <c r="J42" s="1514"/>
      <c r="K42" s="1514"/>
      <c r="L42" s="1509"/>
      <c r="M42" s="1509"/>
    </row>
    <row r="43" spans="2:18" ht="30" customHeight="1" x14ac:dyDescent="0.25">
      <c r="B43" s="59"/>
      <c r="C43" s="575" t="s">
        <v>946</v>
      </c>
      <c r="D43" s="573" t="s">
        <v>3</v>
      </c>
      <c r="E43" s="572" t="s">
        <v>86</v>
      </c>
      <c r="F43" s="1521" t="s">
        <v>126</v>
      </c>
      <c r="G43" s="1416"/>
      <c r="H43" s="1522"/>
      <c r="I43" s="54"/>
      <c r="J43" s="1514"/>
      <c r="K43" s="1514"/>
      <c r="L43" s="1509"/>
      <c r="M43" s="1509"/>
    </row>
    <row r="44" spans="2:18" ht="70.150000000000006" customHeight="1" x14ac:dyDescent="0.25">
      <c r="B44" s="59"/>
      <c r="C44" s="293" t="s">
        <v>898</v>
      </c>
      <c r="D44" s="292" t="s">
        <v>487</v>
      </c>
      <c r="E44" s="1105"/>
      <c r="F44" s="1418" t="s">
        <v>160</v>
      </c>
      <c r="G44" s="1419"/>
      <c r="H44" s="69"/>
      <c r="I44" s="54"/>
      <c r="J44" s="1514"/>
      <c r="K44" s="1514"/>
      <c r="L44" s="1509"/>
      <c r="M44" s="1509"/>
    </row>
    <row r="45" spans="2:18" ht="70.150000000000006" customHeight="1" x14ac:dyDescent="0.25">
      <c r="B45" s="59"/>
      <c r="C45" s="293" t="s">
        <v>945</v>
      </c>
      <c r="D45" s="292" t="s">
        <v>943</v>
      </c>
      <c r="E45" s="1105"/>
      <c r="F45" s="1525" t="s">
        <v>160</v>
      </c>
      <c r="G45" s="1418"/>
      <c r="H45" s="69"/>
      <c r="I45" s="54"/>
      <c r="J45" s="1514"/>
      <c r="K45" s="1514"/>
      <c r="L45" s="1509"/>
      <c r="M45" s="1509"/>
    </row>
    <row r="46" spans="2:18" ht="15" customHeight="1" x14ac:dyDescent="0.25">
      <c r="B46" s="61"/>
      <c r="C46" s="75"/>
      <c r="D46" s="76"/>
      <c r="E46" s="76"/>
      <c r="F46" s="76"/>
      <c r="G46" s="76"/>
      <c r="H46" s="70"/>
      <c r="I46" s="54"/>
      <c r="J46" s="54"/>
      <c r="K46" s="54"/>
      <c r="L46" s="54"/>
    </row>
    <row r="47" spans="2:18" ht="24" customHeight="1" x14ac:dyDescent="0.25">
      <c r="C47" s="64"/>
      <c r="D47" s="54"/>
      <c r="E47" s="54"/>
      <c r="F47" s="54"/>
      <c r="G47" s="54"/>
      <c r="H47" s="54"/>
      <c r="I47" s="54"/>
      <c r="J47" s="54"/>
      <c r="K47" s="54"/>
      <c r="L47" s="54"/>
    </row>
    <row r="50" spans="2:14" ht="40.15" customHeight="1" x14ac:dyDescent="0.25">
      <c r="B50" s="66"/>
      <c r="C50" s="66" t="s">
        <v>492</v>
      </c>
      <c r="D50" s="57"/>
      <c r="E50" s="57"/>
      <c r="F50" s="57"/>
      <c r="G50" s="57"/>
      <c r="H50" s="58"/>
      <c r="I50" s="56"/>
      <c r="J50" s="56"/>
    </row>
    <row r="51" spans="2:14" ht="24" customHeight="1" x14ac:dyDescent="0.25">
      <c r="B51" s="59"/>
      <c r="H51" s="60"/>
      <c r="I51" s="65"/>
      <c r="J51" s="65"/>
    </row>
    <row r="52" spans="2:14" ht="24" customHeight="1" x14ac:dyDescent="0.25">
      <c r="B52" s="59"/>
      <c r="C52" s="1411" t="s">
        <v>493</v>
      </c>
      <c r="D52" s="1410"/>
      <c r="E52" s="1410"/>
      <c r="F52" s="1410"/>
      <c r="G52" s="115"/>
      <c r="H52" s="60"/>
      <c r="I52" s="65"/>
      <c r="J52" s="65"/>
    </row>
    <row r="53" spans="2:14" ht="24" customHeight="1" x14ac:dyDescent="0.25">
      <c r="B53" s="59"/>
      <c r="C53" s="92"/>
      <c r="D53" s="92"/>
      <c r="E53" s="92"/>
      <c r="F53" s="92"/>
      <c r="G53" s="92"/>
      <c r="H53" s="60"/>
      <c r="I53" s="65"/>
      <c r="J53" s="65"/>
    </row>
    <row r="54" spans="2:14" ht="24" customHeight="1" x14ac:dyDescent="0.25">
      <c r="B54" s="59"/>
      <c r="C54" s="1504" t="s">
        <v>634</v>
      </c>
      <c r="D54" s="1505"/>
      <c r="E54" s="1505"/>
      <c r="F54" s="1505"/>
      <c r="G54" s="1506"/>
      <c r="H54" s="60"/>
      <c r="I54" s="65"/>
      <c r="J54" s="65"/>
    </row>
    <row r="55" spans="2:14" ht="24" customHeight="1" x14ac:dyDescent="0.25">
      <c r="B55" s="59"/>
      <c r="C55" s="703" t="s">
        <v>641</v>
      </c>
      <c r="D55" s="1465" t="s">
        <v>1218</v>
      </c>
      <c r="E55" s="1465"/>
      <c r="F55" s="1465"/>
      <c r="G55" s="1465"/>
      <c r="H55" s="60"/>
      <c r="I55" s="65"/>
      <c r="J55" s="65"/>
    </row>
    <row r="56" spans="2:14" ht="24" customHeight="1" x14ac:dyDescent="0.25">
      <c r="B56" s="59"/>
      <c r="C56" s="703" t="s">
        <v>676</v>
      </c>
      <c r="D56" s="1465" t="s">
        <v>1229</v>
      </c>
      <c r="E56" s="1465"/>
      <c r="F56" s="1465"/>
      <c r="G56" s="1465"/>
      <c r="H56" s="60"/>
      <c r="I56" s="65"/>
      <c r="J56" s="65"/>
    </row>
    <row r="57" spans="2:14" ht="60" customHeight="1" x14ac:dyDescent="0.25">
      <c r="B57" s="59"/>
      <c r="C57" s="704" t="s">
        <v>642</v>
      </c>
      <c r="D57" s="1465" t="s">
        <v>1172</v>
      </c>
      <c r="E57" s="1465"/>
      <c r="F57" s="1465"/>
      <c r="G57" s="1465"/>
      <c r="H57" s="60"/>
      <c r="I57" s="65"/>
      <c r="J57" s="65"/>
    </row>
    <row r="58" spans="2:14" ht="24" customHeight="1" x14ac:dyDescent="0.25">
      <c r="B58" s="59"/>
      <c r="C58" s="1412"/>
      <c r="D58" s="1412"/>
      <c r="E58" s="1412"/>
      <c r="F58" s="1412"/>
      <c r="G58" s="95"/>
      <c r="H58" s="68"/>
      <c r="I58" s="53"/>
      <c r="J58" s="96"/>
      <c r="K58" s="96"/>
      <c r="L58" s="96"/>
      <c r="M58" s="96"/>
    </row>
    <row r="59" spans="2:14" ht="46.9" customHeight="1" x14ac:dyDescent="0.25">
      <c r="B59" s="59"/>
      <c r="C59" s="575" t="s">
        <v>944</v>
      </c>
      <c r="D59" s="574" t="s">
        <v>3</v>
      </c>
      <c r="E59" s="574" t="s">
        <v>751</v>
      </c>
      <c r="F59" s="1495" t="s">
        <v>640</v>
      </c>
      <c r="G59" s="1496"/>
      <c r="H59" s="68"/>
      <c r="I59" s="53"/>
      <c r="J59" s="96"/>
      <c r="K59" s="96"/>
      <c r="L59" s="96"/>
      <c r="M59" s="96"/>
    </row>
    <row r="60" spans="2:14" ht="45" customHeight="1" x14ac:dyDescent="0.3">
      <c r="B60" s="59"/>
      <c r="C60" s="575"/>
      <c r="D60" s="758"/>
      <c r="E60" s="510" t="str">
        <f>IFERROR(IF(SUM(E61:E64)=0, "",IF(SUM(E61:E64)&gt;100, "  A soma das TM é superior a 100%. Por favor, reveja.", IF(SUM(E61:E64)&lt;100, " A soma das TM é inferior a 100%. Por favor, reveja.", ""))),"")</f>
        <v/>
      </c>
      <c r="F60" s="226"/>
      <c r="G60" s="220"/>
      <c r="H60" s="68"/>
      <c r="I60" s="53"/>
      <c r="J60" s="94"/>
      <c r="K60" s="93"/>
    </row>
    <row r="61" spans="2:14" ht="70.150000000000006" customHeight="1" x14ac:dyDescent="0.25">
      <c r="B61" s="59"/>
      <c r="C61" s="293" t="s">
        <v>419</v>
      </c>
      <c r="D61" s="292" t="s">
        <v>77</v>
      </c>
      <c r="E61" s="1105"/>
      <c r="F61" s="1418" t="s">
        <v>160</v>
      </c>
      <c r="G61" s="1419"/>
      <c r="H61" s="69"/>
      <c r="I61" s="54"/>
      <c r="K61" s="90"/>
    </row>
    <row r="62" spans="2:14" ht="70.150000000000006" customHeight="1" x14ac:dyDescent="0.25">
      <c r="B62" s="59"/>
      <c r="C62" s="293" t="s">
        <v>417</v>
      </c>
      <c r="D62" s="292" t="s">
        <v>77</v>
      </c>
      <c r="E62" s="1105"/>
      <c r="F62" s="1418" t="s">
        <v>160</v>
      </c>
      <c r="G62" s="1419"/>
      <c r="H62" s="69"/>
      <c r="I62" s="54"/>
      <c r="K62" s="90"/>
    </row>
    <row r="63" spans="2:14" ht="70.150000000000006" customHeight="1" x14ac:dyDescent="0.25">
      <c r="B63" s="59"/>
      <c r="C63" s="293" t="s">
        <v>418</v>
      </c>
      <c r="D63" s="292" t="s">
        <v>77</v>
      </c>
      <c r="E63" s="1105"/>
      <c r="F63" s="1418" t="s">
        <v>160</v>
      </c>
      <c r="G63" s="1419"/>
      <c r="H63" s="69"/>
      <c r="I63" s="54"/>
      <c r="K63" s="90"/>
    </row>
    <row r="64" spans="2:14" ht="70.150000000000006" customHeight="1" x14ac:dyDescent="0.25">
      <c r="B64" s="59"/>
      <c r="C64" s="293" t="s">
        <v>948</v>
      </c>
      <c r="D64" s="292" t="s">
        <v>77</v>
      </c>
      <c r="E64" s="1105"/>
      <c r="F64" s="1418" t="s">
        <v>160</v>
      </c>
      <c r="G64" s="1419"/>
      <c r="H64" s="69"/>
      <c r="I64" s="54"/>
      <c r="J64" s="761"/>
      <c r="K64" s="646"/>
      <c r="L64" s="646"/>
      <c r="M64" s="1523"/>
      <c r="N64" s="1523"/>
    </row>
    <row r="65" spans="2:19" ht="70.150000000000006" customHeight="1" x14ac:dyDescent="0.25">
      <c r="B65" s="59"/>
      <c r="C65" s="575" t="s">
        <v>946</v>
      </c>
      <c r="D65" s="574" t="s">
        <v>3</v>
      </c>
      <c r="E65" s="574" t="s">
        <v>751</v>
      </c>
      <c r="F65" s="1495" t="s">
        <v>640</v>
      </c>
      <c r="G65" s="1496"/>
      <c r="H65" s="69"/>
      <c r="I65" s="54"/>
      <c r="J65" s="761"/>
      <c r="K65" s="646"/>
      <c r="L65" s="646"/>
      <c r="M65" s="646"/>
      <c r="N65" s="646"/>
    </row>
    <row r="66" spans="2:19" ht="45" customHeight="1" x14ac:dyDescent="0.25">
      <c r="B66" s="59"/>
      <c r="C66" s="575"/>
      <c r="D66" s="758"/>
      <c r="E66" s="510" t="str">
        <f>IFERROR(IF(SUM(E67:E70)=0, "",IF(SUM(E67:E70)&gt;100, "  A soma das TM é superior a 100%. Por favor, reveja.", IF(SUM(E67:E70)&lt;100, " A soma das TM é inferior a 100%. Por favor, reveja.",""))),"")</f>
        <v/>
      </c>
      <c r="F66" s="226"/>
      <c r="G66" s="220"/>
      <c r="H66" s="69"/>
      <c r="I66" s="54"/>
      <c r="J66" s="761"/>
      <c r="K66" s="761"/>
      <c r="L66" s="762"/>
      <c r="M66" s="763"/>
      <c r="N66" s="764"/>
    </row>
    <row r="67" spans="2:19" ht="70.150000000000006" customHeight="1" x14ac:dyDescent="0.25">
      <c r="B67" s="59"/>
      <c r="C67" s="293" t="s">
        <v>1209</v>
      </c>
      <c r="D67" s="292" t="s">
        <v>77</v>
      </c>
      <c r="E67" s="1105"/>
      <c r="F67" s="1418" t="s">
        <v>160</v>
      </c>
      <c r="G67" s="1419"/>
      <c r="H67" s="69"/>
      <c r="I67" s="54"/>
      <c r="J67" s="291"/>
      <c r="K67" s="307"/>
      <c r="L67" s="307"/>
      <c r="M67" s="1524"/>
      <c r="N67" s="1524"/>
    </row>
    <row r="68" spans="2:19" ht="70.150000000000006" customHeight="1" x14ac:dyDescent="0.25">
      <c r="B68" s="59"/>
      <c r="C68" s="293" t="s">
        <v>1210</v>
      </c>
      <c r="D68" s="292" t="s">
        <v>77</v>
      </c>
      <c r="E68" s="1105"/>
      <c r="F68" s="1418" t="s">
        <v>160</v>
      </c>
      <c r="G68" s="1419"/>
      <c r="H68" s="69"/>
      <c r="I68" s="54"/>
      <c r="J68" s="291"/>
      <c r="K68" s="307"/>
      <c r="L68" s="307"/>
      <c r="M68" s="1524"/>
      <c r="N68" s="1524"/>
    </row>
    <row r="69" spans="2:19" ht="70.150000000000006" customHeight="1" x14ac:dyDescent="0.25">
      <c r="B69" s="59"/>
      <c r="C69" s="293" t="s">
        <v>1211</v>
      </c>
      <c r="D69" s="292" t="s">
        <v>77</v>
      </c>
      <c r="E69" s="1105"/>
      <c r="F69" s="1418" t="s">
        <v>160</v>
      </c>
      <c r="G69" s="1419"/>
      <c r="H69" s="69"/>
      <c r="I69" s="54"/>
      <c r="J69" s="291"/>
      <c r="K69" s="307"/>
      <c r="L69" s="307"/>
      <c r="M69" s="1524"/>
      <c r="N69" s="1524"/>
    </row>
    <row r="70" spans="2:19" ht="70.150000000000006" customHeight="1" x14ac:dyDescent="0.25">
      <c r="B70" s="59"/>
      <c r="C70" s="293" t="s">
        <v>1212</v>
      </c>
      <c r="D70" s="292" t="s">
        <v>77</v>
      </c>
      <c r="E70" s="1105"/>
      <c r="F70" s="1418" t="s">
        <v>160</v>
      </c>
      <c r="G70" s="1419"/>
      <c r="H70" s="69"/>
      <c r="I70" s="54"/>
      <c r="J70" s="291"/>
      <c r="K70" s="307"/>
      <c r="L70" s="307"/>
      <c r="M70" s="1524"/>
      <c r="N70" s="1524"/>
    </row>
    <row r="71" spans="2:19" ht="15" customHeight="1" x14ac:dyDescent="0.25">
      <c r="B71" s="61"/>
      <c r="C71" s="75"/>
      <c r="D71" s="76"/>
      <c r="E71" s="76"/>
      <c r="F71" s="76"/>
      <c r="G71" s="76"/>
      <c r="H71" s="70"/>
      <c r="I71" s="54"/>
      <c r="J71" s="54"/>
      <c r="K71" s="54"/>
      <c r="L71" s="54"/>
    </row>
    <row r="75" spans="2:19" ht="40.15" customHeight="1" x14ac:dyDescent="0.25">
      <c r="B75" s="66"/>
      <c r="C75" s="66" t="s">
        <v>494</v>
      </c>
      <c r="D75" s="57"/>
      <c r="E75" s="57"/>
      <c r="F75" s="57"/>
      <c r="G75" s="57"/>
      <c r="H75" s="58"/>
    </row>
    <row r="76" spans="2:19" ht="24" customHeight="1" x14ac:dyDescent="0.25">
      <c r="B76" s="59"/>
      <c r="H76" s="60"/>
    </row>
    <row r="77" spans="2:19" ht="24" customHeight="1" x14ac:dyDescent="0.25">
      <c r="B77" s="59"/>
      <c r="C77" s="1411" t="s">
        <v>495</v>
      </c>
      <c r="D77" s="1410"/>
      <c r="E77" s="1410"/>
      <c r="F77" s="1410"/>
      <c r="G77" s="115"/>
      <c r="H77" s="60"/>
      <c r="J77" s="55"/>
      <c r="K77" s="48"/>
      <c r="R77" s="55"/>
      <c r="S77" s="48"/>
    </row>
    <row r="78" spans="2:19" ht="40.15" customHeight="1" x14ac:dyDescent="0.25">
      <c r="B78" s="59"/>
      <c r="C78" s="592" t="s">
        <v>114</v>
      </c>
      <c r="D78" s="593" t="s">
        <v>3</v>
      </c>
      <c r="E78" s="593" t="s">
        <v>671</v>
      </c>
      <c r="F78" s="593" t="s">
        <v>673</v>
      </c>
      <c r="G78" s="212"/>
      <c r="H78" s="60"/>
      <c r="J78" s="55"/>
      <c r="K78" s="48"/>
      <c r="R78" s="55"/>
      <c r="S78" s="48"/>
    </row>
    <row r="79" spans="2:19" ht="40.15" customHeight="1" x14ac:dyDescent="0.25">
      <c r="B79" s="59"/>
      <c r="C79" s="311" t="s">
        <v>866</v>
      </c>
      <c r="D79" s="312" t="s">
        <v>681</v>
      </c>
      <c r="E79" s="794">
        <f>IFERROR(E80-E81,"")</f>
        <v>0</v>
      </c>
      <c r="F79" s="795">
        <f>IFERROR(F80-F81,"")</f>
        <v>0</v>
      </c>
      <c r="G79" s="213"/>
      <c r="H79" s="60"/>
      <c r="J79" s="55"/>
      <c r="K79" s="48"/>
      <c r="R79" s="55"/>
      <c r="S79" s="48"/>
    </row>
    <row r="80" spans="2:19" ht="40.15" customHeight="1" x14ac:dyDescent="0.25">
      <c r="B80" s="59"/>
      <c r="C80" s="313" t="s">
        <v>867</v>
      </c>
      <c r="D80" s="314" t="s">
        <v>681</v>
      </c>
      <c r="E80" s="796">
        <f>IFERROR('FACalc_vias navegáveis int.'!L14,"")</f>
        <v>0</v>
      </c>
      <c r="F80" s="797">
        <f>IFERROR('FACalc_vias navegáveis int.'!O14,"")</f>
        <v>0</v>
      </c>
      <c r="G80" s="604" t="str">
        <f>IF(F21= "", "!Preencher Fator de Emissão de eletricidade", " " )</f>
        <v>!Preencher Fator de Emissão de eletricidade</v>
      </c>
      <c r="H80" s="60"/>
      <c r="J80" s="55"/>
      <c r="K80" s="48"/>
      <c r="R80" s="55"/>
      <c r="S80" s="48"/>
    </row>
    <row r="81" spans="2:19" ht="40.15" customHeight="1" x14ac:dyDescent="0.25">
      <c r="B81" s="59"/>
      <c r="C81" s="316" t="s">
        <v>868</v>
      </c>
      <c r="D81" s="317" t="s">
        <v>681</v>
      </c>
      <c r="E81" s="798">
        <f>IFERROR('FACalc_vias navegáveis int.'!D60,"")</f>
        <v>0</v>
      </c>
      <c r="F81" s="799">
        <f>IFERROR('FACalc_vias navegáveis int.'!C63,"")</f>
        <v>0</v>
      </c>
      <c r="G81" s="213"/>
      <c r="H81" s="60"/>
      <c r="J81" s="55"/>
      <c r="K81" s="48"/>
      <c r="R81" s="55"/>
      <c r="S81" s="48"/>
    </row>
    <row r="82" spans="2:19" ht="40.15" customHeight="1" x14ac:dyDescent="0.25">
      <c r="B82" s="59"/>
      <c r="C82" s="790" t="s">
        <v>869</v>
      </c>
      <c r="D82" s="791" t="s">
        <v>681</v>
      </c>
      <c r="E82" s="800">
        <f>IFERROR(-E79,"")</f>
        <v>0</v>
      </c>
      <c r="F82" s="801">
        <f>IFERROR(-F79,"")</f>
        <v>0</v>
      </c>
      <c r="G82" s="213"/>
      <c r="H82" s="60"/>
      <c r="J82" s="55"/>
      <c r="K82" s="48"/>
      <c r="R82" s="55"/>
      <c r="S82" s="48"/>
    </row>
    <row r="83" spans="2:19" ht="48" customHeight="1" x14ac:dyDescent="0.25">
      <c r="B83" s="59"/>
      <c r="C83" s="709" t="s">
        <v>870</v>
      </c>
      <c r="D83" s="1238" t="s">
        <v>1303</v>
      </c>
      <c r="E83" s="528" t="str">
        <f>IFERROR(E79*'FACalc_vias navegáveis int.'!$Y$10,"")</f>
        <v/>
      </c>
      <c r="F83" s="803" t="str">
        <f>IFERROR(F79*'FACalc_vias navegáveis int.'!$Y$10,"")</f>
        <v/>
      </c>
      <c r="G83" s="682" t="str">
        <f>IF(E83="","!Preencher Ano de início da exploração (ID_Identificação do Projeto)","" )</f>
        <v>!Preencher Ano de início da exploração (ID_Identificação do Projeto)</v>
      </c>
      <c r="H83" s="60"/>
      <c r="J83" s="55"/>
      <c r="K83" s="48"/>
      <c r="R83" s="55"/>
      <c r="S83" s="48"/>
    </row>
    <row r="84" spans="2:19" ht="46.9" customHeight="1" x14ac:dyDescent="0.25">
      <c r="B84" s="59"/>
      <c r="C84" s="603"/>
      <c r="D84" s="307"/>
      <c r="E84" s="602"/>
      <c r="F84" s="602"/>
      <c r="G84" s="811"/>
      <c r="H84" s="60"/>
      <c r="J84" s="55"/>
      <c r="K84" s="48"/>
      <c r="R84" s="55"/>
      <c r="S84" s="48"/>
    </row>
    <row r="85" spans="2:19" x14ac:dyDescent="0.25">
      <c r="B85" s="59"/>
      <c r="C85" s="1410" t="s">
        <v>682</v>
      </c>
      <c r="D85" s="1410"/>
      <c r="E85" s="1410"/>
      <c r="F85" s="1410"/>
      <c r="G85" s="115"/>
      <c r="H85" s="60"/>
      <c r="J85" s="55"/>
      <c r="K85" s="48"/>
      <c r="R85" s="55"/>
      <c r="S85" s="48"/>
    </row>
    <row r="86" spans="2:19" ht="40.15" customHeight="1" x14ac:dyDescent="0.25">
      <c r="B86" s="59"/>
      <c r="C86" s="575" t="s">
        <v>944</v>
      </c>
      <c r="D86" s="591" t="s">
        <v>3</v>
      </c>
      <c r="E86" s="591" t="s">
        <v>671</v>
      </c>
      <c r="F86" s="591" t="s">
        <v>673</v>
      </c>
      <c r="G86" s="214"/>
      <c r="H86" s="60"/>
      <c r="J86" s="55"/>
      <c r="K86" s="48"/>
      <c r="R86" s="55"/>
      <c r="S86" s="48"/>
    </row>
    <row r="87" spans="2:19" ht="40.15" customHeight="1" x14ac:dyDescent="0.25">
      <c r="B87" s="59"/>
      <c r="C87" s="329" t="s">
        <v>504</v>
      </c>
      <c r="D87" s="330" t="s">
        <v>681</v>
      </c>
      <c r="E87" s="520">
        <f>IFERROR(E88-E89," ")</f>
        <v>0</v>
      </c>
      <c r="F87" s="521">
        <f>IFERROR(F88-F89,"")</f>
        <v>0</v>
      </c>
      <c r="G87" s="213"/>
      <c r="H87" s="60"/>
      <c r="J87" s="55"/>
      <c r="K87" s="48"/>
      <c r="R87" s="55"/>
      <c r="S87" s="48"/>
    </row>
    <row r="88" spans="2:19" ht="40.15" customHeight="1" x14ac:dyDescent="0.25">
      <c r="B88" s="59"/>
      <c r="C88" s="331" t="s">
        <v>334</v>
      </c>
      <c r="D88" s="332" t="s">
        <v>681</v>
      </c>
      <c r="E88" s="449">
        <f>IFERROR('FACalc_vias navegáveis int.'!L11,"")</f>
        <v>0</v>
      </c>
      <c r="F88" s="450">
        <f>IFERROR('FACalc_vias navegáveis int.'!O11,"")</f>
        <v>0</v>
      </c>
      <c r="G88" s="213"/>
      <c r="H88" s="60"/>
      <c r="J88" s="55"/>
      <c r="K88" s="48"/>
      <c r="R88" s="55"/>
      <c r="S88" s="48"/>
    </row>
    <row r="89" spans="2:19" ht="40.15" customHeight="1" x14ac:dyDescent="0.25">
      <c r="B89" s="59"/>
      <c r="C89" s="333" t="s">
        <v>360</v>
      </c>
      <c r="D89" s="334" t="s">
        <v>681</v>
      </c>
      <c r="E89" s="318">
        <f>IFERROR('FACalc_vias navegáveis int.'!D59,"")</f>
        <v>0</v>
      </c>
      <c r="F89" s="319">
        <f>IFERROR(E89+'FACalc_vias navegáveis int.'!D82,"")</f>
        <v>0</v>
      </c>
      <c r="G89" s="213"/>
      <c r="H89" s="60"/>
      <c r="J89" s="55"/>
      <c r="K89" s="48"/>
      <c r="R89" s="55"/>
      <c r="S89" s="48"/>
    </row>
    <row r="90" spans="2:19" ht="40.15" customHeight="1" x14ac:dyDescent="0.25">
      <c r="B90" s="59"/>
      <c r="C90" s="575" t="s">
        <v>946</v>
      </c>
      <c r="D90" s="591" t="s">
        <v>3</v>
      </c>
      <c r="E90" s="591" t="s">
        <v>671</v>
      </c>
      <c r="F90" s="591" t="s">
        <v>673</v>
      </c>
      <c r="G90" s="214"/>
      <c r="H90" s="60"/>
      <c r="J90" s="55"/>
      <c r="K90" s="48"/>
      <c r="R90" s="55"/>
      <c r="S90" s="48"/>
    </row>
    <row r="91" spans="2:19" ht="40.15" customHeight="1" x14ac:dyDescent="0.25">
      <c r="B91" s="59"/>
      <c r="C91" s="329" t="s">
        <v>504</v>
      </c>
      <c r="D91" s="330" t="s">
        <v>681</v>
      </c>
      <c r="E91" s="520">
        <f>IFERROR(E92-E93,"")</f>
        <v>0</v>
      </c>
      <c r="F91" s="521">
        <f>IFERROR(F92-F93,"")</f>
        <v>0</v>
      </c>
      <c r="G91" s="213"/>
      <c r="H91" s="60"/>
      <c r="J91" s="55"/>
      <c r="K91" s="48"/>
      <c r="R91" s="55"/>
      <c r="S91" s="48"/>
    </row>
    <row r="92" spans="2:19" ht="40.15" customHeight="1" x14ac:dyDescent="0.25">
      <c r="B92" s="59"/>
      <c r="C92" s="331" t="s">
        <v>334</v>
      </c>
      <c r="D92" s="332" t="s">
        <v>681</v>
      </c>
      <c r="E92" s="449">
        <f>IFERROR('FACalc_vias navegáveis int.'!L12,"")</f>
        <v>0</v>
      </c>
      <c r="F92" s="450">
        <f>IFERROR('FACalc_vias navegáveis int.'!O12,"")</f>
        <v>0</v>
      </c>
      <c r="G92" s="213"/>
      <c r="H92" s="60"/>
      <c r="J92" s="55"/>
      <c r="K92" s="48"/>
      <c r="R92" s="55"/>
      <c r="S92" s="48"/>
    </row>
    <row r="93" spans="2:19" ht="40.15" customHeight="1" x14ac:dyDescent="0.25">
      <c r="B93" s="59"/>
      <c r="C93" s="333" t="s">
        <v>360</v>
      </c>
      <c r="D93" s="334" t="s">
        <v>681</v>
      </c>
      <c r="E93" s="318">
        <f>IFERROR('FACalc_vias navegáveis int.'!E59,"")</f>
        <v>0</v>
      </c>
      <c r="F93" s="319">
        <f>IFERROR(E93+'FACalc_vias navegáveis int.'!E82,"")</f>
        <v>0</v>
      </c>
      <c r="G93" s="213"/>
      <c r="H93" s="60"/>
      <c r="J93" s="55"/>
      <c r="K93" s="48"/>
      <c r="R93" s="55"/>
      <c r="S93" s="48"/>
    </row>
    <row r="94" spans="2:19" ht="40.15" customHeight="1" x14ac:dyDescent="0.25">
      <c r="B94" s="59"/>
      <c r="C94" s="603"/>
      <c r="D94" s="307"/>
      <c r="E94" s="602"/>
      <c r="F94" s="602"/>
      <c r="G94" s="811"/>
      <c r="H94" s="60"/>
      <c r="J94" s="55"/>
      <c r="K94" s="48"/>
      <c r="R94" s="55"/>
      <c r="S94" s="48"/>
    </row>
    <row r="95" spans="2:19" x14ac:dyDescent="0.25">
      <c r="B95" s="59"/>
      <c r="C95" s="1410" t="s">
        <v>972</v>
      </c>
      <c r="D95" s="1410"/>
      <c r="E95" s="1410"/>
      <c r="F95" s="1410"/>
      <c r="G95" s="115"/>
      <c r="H95" s="60"/>
      <c r="J95" s="54"/>
      <c r="K95" s="64"/>
      <c r="R95" s="54"/>
      <c r="S95" s="64"/>
    </row>
    <row r="96" spans="2:19" ht="40.15" customHeight="1" x14ac:dyDescent="0.25">
      <c r="B96" s="59"/>
      <c r="C96" s="301"/>
      <c r="D96" s="301" t="s">
        <v>3</v>
      </c>
      <c r="E96" s="301" t="s">
        <v>1347</v>
      </c>
      <c r="F96" s="212"/>
      <c r="G96" s="212"/>
      <c r="H96" s="60"/>
      <c r="J96" s="54"/>
      <c r="K96" s="64"/>
      <c r="R96" s="54"/>
      <c r="S96" s="64"/>
    </row>
    <row r="97" spans="2:19" s="26" customFormat="1" ht="49.9" customHeight="1" x14ac:dyDescent="0.3">
      <c r="B97" s="305"/>
      <c r="C97" s="804" t="s">
        <v>672</v>
      </c>
      <c r="D97" s="805" t="s">
        <v>889</v>
      </c>
      <c r="E97" s="807" t="str">
        <f>IFERROR((E98/'FACalc_vias navegáveis int.'!C12),"")</f>
        <v/>
      </c>
      <c r="F97" s="378"/>
      <c r="G97" s="378"/>
      <c r="H97" s="379"/>
      <c r="J97" s="307"/>
      <c r="K97" s="307"/>
      <c r="R97" s="307"/>
      <c r="S97" s="307"/>
    </row>
    <row r="98" spans="2:19" s="26" customFormat="1" ht="49.9" customHeight="1" x14ac:dyDescent="0.3">
      <c r="B98" s="305"/>
      <c r="C98" s="1248" t="s">
        <v>1321</v>
      </c>
      <c r="D98" s="805" t="s">
        <v>679</v>
      </c>
      <c r="E98" s="807">
        <f>IFERROR(E88,"")</f>
        <v>0</v>
      </c>
      <c r="F98" s="378"/>
      <c r="G98" s="378"/>
      <c r="H98" s="379"/>
      <c r="J98" s="508"/>
      <c r="K98" s="508"/>
      <c r="L98" s="508"/>
      <c r="R98" s="307"/>
      <c r="S98" s="307"/>
    </row>
    <row r="99" spans="2:19" s="26" customFormat="1" ht="49.9" customHeight="1" x14ac:dyDescent="0.3">
      <c r="B99" s="305"/>
      <c r="C99" s="1248" t="s">
        <v>1339</v>
      </c>
      <c r="D99" s="805" t="s">
        <v>887</v>
      </c>
      <c r="E99" s="807" t="str">
        <f>IFERROR(E98/E42,"")</f>
        <v/>
      </c>
      <c r="F99" s="378"/>
      <c r="G99" s="378"/>
      <c r="H99" s="379"/>
      <c r="J99" s="508"/>
      <c r="K99" s="508"/>
      <c r="L99" s="508"/>
      <c r="R99" s="307"/>
      <c r="S99" s="307"/>
    </row>
    <row r="100" spans="2:19" s="26" customFormat="1" ht="49.9" customHeight="1" x14ac:dyDescent="0.3">
      <c r="B100" s="305"/>
      <c r="C100" s="1248" t="s">
        <v>1346</v>
      </c>
      <c r="D100" s="808" t="s">
        <v>780</v>
      </c>
      <c r="E100" s="807" t="str">
        <f>IFERROR(E98/'FACalc_vias navegáveis int.'!H11,"")</f>
        <v/>
      </c>
      <c r="F100" s="380"/>
      <c r="G100" s="380"/>
      <c r="H100" s="379"/>
      <c r="J100" s="307"/>
      <c r="K100" s="307"/>
      <c r="R100" s="307"/>
      <c r="S100" s="307"/>
    </row>
    <row r="101" spans="2:19" ht="15" customHeight="1" x14ac:dyDescent="0.25">
      <c r="B101" s="61"/>
      <c r="C101" s="75"/>
      <c r="D101" s="76"/>
      <c r="E101" s="76"/>
      <c r="F101" s="76"/>
      <c r="G101" s="76"/>
      <c r="H101" s="70"/>
      <c r="I101" s="54"/>
      <c r="J101" s="54"/>
      <c r="K101" s="54"/>
    </row>
  </sheetData>
  <sheetProtection algorithmName="SHA-512" hashValue="ZEjdPUiC/ZAon/IgHtfmPIXm8Sqiub9mjV7a1t3mj/TC0EslqOJdhX+Nbolkf31tPXRphzVesJ1q7omAz02XMg==" saltValue="XZcUzmwu7gdInscpLDkaag==" spinCount="100000" sheet="1" objects="1" scenarios="1" selectLockedCells="1"/>
  <mergeCells count="68">
    <mergeCell ref="F59:G59"/>
    <mergeCell ref="M70:N70"/>
    <mergeCell ref="C85:F85"/>
    <mergeCell ref="C95:F95"/>
    <mergeCell ref="K4:L4"/>
    <mergeCell ref="J5:L9"/>
    <mergeCell ref="F70:G70"/>
    <mergeCell ref="F65:G65"/>
    <mergeCell ref="F67:G67"/>
    <mergeCell ref="F68:G68"/>
    <mergeCell ref="F69:G69"/>
    <mergeCell ref="F63:G63"/>
    <mergeCell ref="F64:G64"/>
    <mergeCell ref="C54:G54"/>
    <mergeCell ref="D55:G55"/>
    <mergeCell ref="D56:G56"/>
    <mergeCell ref="D57:G57"/>
    <mergeCell ref="C11:C16"/>
    <mergeCell ref="D11:G11"/>
    <mergeCell ref="D12:G12"/>
    <mergeCell ref="D13:G13"/>
    <mergeCell ref="D14:G14"/>
    <mergeCell ref="D15:G15"/>
    <mergeCell ref="D16:F16"/>
    <mergeCell ref="C22:D22"/>
    <mergeCell ref="C24:D24"/>
    <mergeCell ref="C30:G30"/>
    <mergeCell ref="C31:C34"/>
    <mergeCell ref="D31:G31"/>
    <mergeCell ref="D32:G32"/>
    <mergeCell ref="D33:G33"/>
    <mergeCell ref="D34:G34"/>
    <mergeCell ref="C6:G6"/>
    <mergeCell ref="C7:C10"/>
    <mergeCell ref="D7:G7"/>
    <mergeCell ref="D8:G8"/>
    <mergeCell ref="D9:G9"/>
    <mergeCell ref="D10:G10"/>
    <mergeCell ref="U18:U23"/>
    <mergeCell ref="V18:Y18"/>
    <mergeCell ref="V19:Y19"/>
    <mergeCell ref="V20:Y20"/>
    <mergeCell ref="V21:Y21"/>
    <mergeCell ref="V23:X23"/>
    <mergeCell ref="F44:G44"/>
    <mergeCell ref="P23:P27"/>
    <mergeCell ref="Q23:Q27"/>
    <mergeCell ref="M41:M45"/>
    <mergeCell ref="J41:K45"/>
    <mergeCell ref="F41:G41"/>
    <mergeCell ref="F45:G45"/>
    <mergeCell ref="L41:L45"/>
    <mergeCell ref="R23:R27"/>
    <mergeCell ref="C27:E27"/>
    <mergeCell ref="C77:F77"/>
    <mergeCell ref="C52:F52"/>
    <mergeCell ref="C58:F58"/>
    <mergeCell ref="F61:G61"/>
    <mergeCell ref="F62:G62"/>
    <mergeCell ref="F39:G39"/>
    <mergeCell ref="F40:G40"/>
    <mergeCell ref="F43:H43"/>
    <mergeCell ref="M64:N64"/>
    <mergeCell ref="M67:N67"/>
    <mergeCell ref="M68:N68"/>
    <mergeCell ref="M69:N69"/>
    <mergeCell ref="F38:G38"/>
    <mergeCell ref="F42:G42"/>
  </mergeCells>
  <dataValidations count="2">
    <dataValidation errorStyle="warning" allowBlank="1" showInputMessage="1" showErrorMessage="1" error="Não Introduzir valor" sqref="E39 E44:E45 E41:E42 F22:F26" xr:uid="{7D3D6D81-F2E5-4D1F-A1FE-458F538F41E7}"/>
    <dataValidation type="list" allowBlank="1" showInputMessage="1" showErrorMessage="1" sqref="K4:L4" xr:uid="{82053396-CB8F-41B5-A2D3-61433A09EBA9}">
      <formula1>$T$4:$T$6</formula1>
    </dataValidation>
  </dataValidations>
  <hyperlinks>
    <hyperlink ref="G16" location="'Fatores de Emissão'!A1" display="Fatores de Emissão" xr:uid="{FC28C253-28DC-40CB-9426-F76B58064CC1}"/>
    <hyperlink ref="G80" location="'TM4_vias navegáveis interiores'!F21" display="'TM4_vias navegáveis interiores'!F21" xr:uid="{9D2C1504-78A7-46CF-AC7E-4ABC295CE1F2}"/>
  </hyperlink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0DCDE69D-63C3-4F1F-A2CD-4E860E16C187}">
            <xm:f>FACalc_rodovia!$C$11=FAListas!#REF!</xm:f>
            <x14:dxf>
              <fill>
                <patternFill>
                  <bgColor theme="1"/>
                </patternFill>
              </fill>
            </x14:dxf>
          </x14:cfRule>
          <xm:sqref>C79:D84 C94:D94</xm:sqref>
        </x14:conditionalFormatting>
        <x14:conditionalFormatting xmlns:xm="http://schemas.microsoft.com/office/excel/2006/main">
          <x14:cfRule type="expression" priority="4" id="{B019581C-340B-49ED-A638-7E035EBF33A7}">
            <xm:f>FACalc_rodovia!$C$11=FAListas!#REF!</xm:f>
            <x14:dxf>
              <fill>
                <patternFill>
                  <bgColor theme="1"/>
                </patternFill>
              </fill>
            </x14:dxf>
          </x14:cfRule>
          <xm:sqref>C78:F78</xm:sqref>
        </x14:conditionalFormatting>
        <x14:conditionalFormatting xmlns:xm="http://schemas.microsoft.com/office/excel/2006/main">
          <x14:cfRule type="expression" priority="9" id="{2F0EB287-B50F-4A5A-9FDD-6CEE97628C2E}">
            <xm:f>FACalc_ferrovia!$C$10=FAListas!#REF!</xm:f>
            <x14:dxf>
              <fill>
                <patternFill>
                  <bgColor theme="1"/>
                </patternFill>
              </fill>
            </x14:dxf>
          </x14:cfRule>
          <xm:sqref>E39</xm:sqref>
        </x14:conditionalFormatting>
        <x14:conditionalFormatting xmlns:xm="http://schemas.microsoft.com/office/excel/2006/main">
          <x14:cfRule type="expression" priority="889" id="{31407EF7-D1C7-4EC5-A25C-A254DC08170D}">
            <xm:f>#REF!=FAListas!#REF!</xm:f>
            <x14:dxf>
              <fill>
                <patternFill>
                  <bgColor theme="1"/>
                </patternFill>
              </fill>
            </x14:dxf>
          </x14:cfRule>
          <xm:sqref>E61:E64 E67:E70</xm:sqref>
        </x14:conditionalFormatting>
        <x14:conditionalFormatting xmlns:xm="http://schemas.microsoft.com/office/excel/2006/main">
          <x14:cfRule type="expression" priority="890" id="{CE2A7A40-0A0C-484A-9BE9-BCD4533A41B0}">
            <xm:f>IF(#REF!=FAListas!$C$6,TRUE, IF(#REF!=FAListas!#REF!, TRUE,""))</xm:f>
            <x14:dxf>
              <fill>
                <patternFill>
                  <bgColor theme="1"/>
                </patternFill>
              </fill>
            </x14:dxf>
          </x14:cfRule>
          <xm:sqref>E79:F84 E94:F94</xm:sqref>
        </x14:conditionalFormatting>
        <x14:conditionalFormatting xmlns:xm="http://schemas.microsoft.com/office/excel/2006/main">
          <x14:cfRule type="expression" priority="1" id="{6A3B231A-EEC0-4B82-9FB3-A7A5B24636C3}">
            <xm:f>IF(#REF!=FAListas!$C$6,TRUE, IF(#REF!=FAListas!#REF!, TRUE,""))</xm:f>
            <x14:dxf>
              <fill>
                <patternFill>
                  <bgColor theme="1"/>
                </patternFill>
              </fill>
            </x14:dxf>
          </x14:cfRule>
          <xm:sqref>E87:F87 E91:F91</xm:sqref>
        </x14:conditionalFormatting>
        <x14:conditionalFormatting xmlns:xm="http://schemas.microsoft.com/office/excel/2006/main">
          <x14:cfRule type="expression" priority="34" id="{6FC186AC-3728-4E10-8AA0-D75D23990CD2}">
            <xm:f>IF(E28=FAListas!$C$57,TRUE, "")</xm:f>
            <x14:dxf>
              <fill>
                <patternFill patternType="solid">
                  <fgColor rgb="FFFF0000"/>
                  <bgColor theme="1"/>
                </patternFill>
              </fill>
            </x14:dxf>
          </x14:cfRule>
          <xm:sqref>F28:F29</xm:sqref>
        </x14:conditionalFormatting>
        <x14:conditionalFormatting xmlns:xm="http://schemas.microsoft.com/office/excel/2006/main">
          <x14:cfRule type="expression" priority="602" id="{D707F813-FF5C-493C-AC5F-DB3E27FAC84F}">
            <xm:f>#REF!=FAListas!$C$6</xm:f>
            <x14:dxf>
              <fill>
                <patternFill patternType="solid">
                  <fgColor rgb="FFFF0000"/>
                  <bgColor theme="1"/>
                </patternFill>
              </fill>
            </x14:dxf>
          </x14:cfRule>
          <xm:sqref>F41:F42 F44:F45</xm:sqref>
        </x14:conditionalFormatting>
        <x14:conditionalFormatting xmlns:xm="http://schemas.microsoft.com/office/excel/2006/main">
          <x14:cfRule type="expression" priority="10" id="{686385E8-D49E-4813-A2CF-4D1C86682D1A}">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14" id="{5C4AD241-B760-4EDC-BF9A-C86E0EC463FD}">
            <xm:f>$E$23=FAListas!$C$57</xm:f>
            <x14:dxf>
              <fill>
                <patternFill>
                  <bgColor theme="1"/>
                </patternFill>
              </fill>
            </x14:dxf>
          </x14:cfRule>
          <xm:sqref>F23:G23</xm:sqref>
        </x14:conditionalFormatting>
        <x14:conditionalFormatting xmlns:xm="http://schemas.microsoft.com/office/excel/2006/main">
          <x14:cfRule type="expression" priority="6" id="{BF229E75-3458-4358-AACA-DD44B76BF68A}">
            <xm:f>$E$23=FAListas!$C$57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11" id="{76460229-30A2-4086-AB67-629BEEDE5B9A}">
            <xm:f>$E$26=FAListas!$C$57</xm:f>
            <x14:dxf>
              <fill>
                <patternFill>
                  <bgColor theme="1"/>
                </patternFill>
              </fill>
            </x14:dxf>
          </x14:cfRule>
          <xm:sqref>G22</xm:sqref>
        </x14:conditionalFormatting>
        <x14:conditionalFormatting xmlns:xm="http://schemas.microsoft.com/office/excel/2006/main">
          <x14:cfRule type="expression" priority="7" id="{FA506683-99E1-442C-8D68-13352A3F9D7E}">
            <xm:f>$E$26=FAListas!$C$57</xm:f>
            <x14:dxf>
              <fill>
                <patternFill>
                  <bgColor theme="1"/>
                </patternFill>
              </fill>
            </x14:dxf>
          </x14:cfRule>
          <xm:sqref>G24</xm:sqref>
        </x14:conditionalFormatting>
        <x14:conditionalFormatting xmlns:xm="http://schemas.microsoft.com/office/excel/2006/main">
          <x14:cfRule type="expression" priority="16" id="{5C7C13FE-3905-4410-8C5B-4E18EA00BB9C}">
            <xm:f>IF(F25=FAListas!$C$57,TRUE, "")</xm:f>
            <x14:dxf>
              <fill>
                <patternFill patternType="solid">
                  <fgColor rgb="FFFF0000"/>
                  <bgColor theme="1"/>
                </patternFill>
              </fill>
            </x14:dxf>
          </x14:cfRule>
          <xm:sqref>G25:G26</xm:sqref>
        </x14:conditionalFormatting>
        <x14:conditionalFormatting xmlns:xm="http://schemas.microsoft.com/office/excel/2006/main">
          <x14:cfRule type="expression" priority="5" id="{9AF5E3B6-A4D8-4396-AC4E-7028AF790B6E}">
            <xm:f>FACalc_ferrovia!$C$10=FAListas!#REF!</xm:f>
            <x14:dxf>
              <fill>
                <patternFill>
                  <bgColor theme="1"/>
                </patternFill>
              </fill>
            </x14:dxf>
          </x14:cfRule>
          <xm:sqref>G83:G84 G94</xm:sqref>
        </x14:conditionalFormatting>
        <x14:conditionalFormatting xmlns:xm="http://schemas.microsoft.com/office/excel/2006/main">
          <x14:cfRule type="expression" priority="8" id="{E36685CF-1879-414D-80C2-5619B1096FA5}">
            <xm:f>#REF!=FAListas!#REF!</xm:f>
            <x14:dxf>
              <fill>
                <patternFill>
                  <bgColor theme="1"/>
                </patternFill>
              </fill>
            </x14:dxf>
          </x14:cfRule>
          <xm:sqref>L67:L70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067AB17-FF58-4C77-8F60-2D62AC17BC9D}">
          <x14:formula1>
            <xm:f>FAListas!$C$55:$C$57</xm:f>
          </x14:formula1>
          <xm:sqref>E23</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7D1EB-DA38-4BED-88C2-22B36CDFBD68}">
  <dimension ref="A2:Y108"/>
  <sheetViews>
    <sheetView topLeftCell="N11" zoomScale="75" zoomScaleNormal="75" workbookViewId="0">
      <selection activeCell="Y11" sqref="Y11"/>
    </sheetView>
  </sheetViews>
  <sheetFormatPr defaultRowHeight="30" customHeight="1" x14ac:dyDescent="0.25"/>
  <cols>
    <col min="1" max="1" width="11.42578125" bestFit="1" customWidth="1"/>
    <col min="2" max="2" width="31.7109375" customWidth="1"/>
    <col min="3" max="3" width="36.28515625" customWidth="1"/>
    <col min="4" max="4" width="26.7109375" style="1" customWidth="1"/>
    <col min="5" max="5" width="18.7109375" style="1" customWidth="1"/>
    <col min="6" max="6" width="22.7109375" style="1" customWidth="1"/>
    <col min="7" max="8" width="27.7109375" style="1" customWidth="1"/>
    <col min="9" max="9" width="31" style="1" customWidth="1"/>
    <col min="10" max="10" width="20.140625" style="1" customWidth="1"/>
    <col min="11" max="12" width="17.7109375" style="1" customWidth="1"/>
    <col min="13" max="13" width="16.28515625" style="1" customWidth="1"/>
    <col min="14" max="15" width="20.7109375" style="1" customWidth="1"/>
    <col min="16" max="18" width="20.7109375" customWidth="1"/>
    <col min="23" max="23" width="37.5703125" customWidth="1"/>
    <col min="24" max="24" width="51.5703125" customWidth="1"/>
    <col min="25" max="25" width="29.28515625" customWidth="1"/>
  </cols>
  <sheetData>
    <row r="2" spans="1:25" s="121" customFormat="1" ht="30" customHeight="1" x14ac:dyDescent="0.2">
      <c r="A2" s="381" t="s">
        <v>439</v>
      </c>
      <c r="D2" s="122"/>
      <c r="E2" s="122"/>
      <c r="F2" s="122"/>
      <c r="G2" s="122"/>
      <c r="H2" s="122"/>
      <c r="I2" s="122"/>
      <c r="J2" s="122"/>
      <c r="K2" s="122"/>
      <c r="L2" s="122"/>
      <c r="M2" s="122"/>
      <c r="N2" s="122"/>
      <c r="O2" s="122"/>
    </row>
    <row r="3" spans="1:25" s="123" customFormat="1" ht="30" customHeight="1" x14ac:dyDescent="0.2">
      <c r="D3" s="124"/>
      <c r="E3" s="124"/>
      <c r="F3" s="124"/>
      <c r="G3" s="124"/>
      <c r="H3" s="124"/>
      <c r="I3" s="124"/>
      <c r="J3" s="124"/>
      <c r="K3" s="124"/>
      <c r="L3" s="124"/>
      <c r="M3" s="124"/>
      <c r="N3" s="124"/>
      <c r="O3" s="124"/>
    </row>
    <row r="4" spans="1:25" s="125" customFormat="1" ht="30" customHeight="1" x14ac:dyDescent="0.2">
      <c r="B4" s="126" t="s">
        <v>192</v>
      </c>
      <c r="D4" s="127"/>
      <c r="E4" s="127"/>
      <c r="F4" s="127"/>
      <c r="G4" s="127"/>
      <c r="H4" s="127"/>
      <c r="I4" s="127"/>
      <c r="J4" s="127"/>
      <c r="K4" s="127"/>
      <c r="L4" s="127"/>
      <c r="M4" s="127"/>
      <c r="N4" s="127"/>
      <c r="O4" s="127"/>
    </row>
    <row r="5" spans="1:25" s="123" customFormat="1" ht="30" customHeight="1" x14ac:dyDescent="0.2">
      <c r="B5" s="247"/>
      <c r="D5" s="124"/>
      <c r="E5" s="124"/>
      <c r="F5" s="124"/>
      <c r="G5" s="124"/>
      <c r="H5" s="124"/>
      <c r="I5" s="124"/>
      <c r="J5" s="124"/>
      <c r="K5" s="124"/>
      <c r="L5" s="124"/>
      <c r="M5" s="124"/>
      <c r="N5" s="124"/>
      <c r="O5" s="124"/>
    </row>
    <row r="6" spans="1:25" s="123" customFormat="1" ht="30" customHeight="1" x14ac:dyDescent="0.2">
      <c r="B6" s="247"/>
      <c r="D6" s="124"/>
      <c r="E6" s="124"/>
      <c r="F6" s="124"/>
      <c r="G6" s="124" t="s">
        <v>284</v>
      </c>
      <c r="H6" s="124"/>
      <c r="I6" s="124"/>
      <c r="J6" s="124"/>
      <c r="K6" s="124"/>
      <c r="L6" s="124"/>
      <c r="M6" s="124"/>
      <c r="N6" s="124"/>
      <c r="O6" s="124"/>
    </row>
    <row r="7" spans="1:25" s="123" customFormat="1" ht="30" customHeight="1" x14ac:dyDescent="0.2">
      <c r="B7" s="247"/>
      <c r="D7" s="124"/>
      <c r="E7" s="124"/>
      <c r="F7" s="124"/>
      <c r="G7" s="124"/>
      <c r="H7" s="124"/>
      <c r="I7" s="124"/>
      <c r="J7" s="124"/>
      <c r="K7" s="124"/>
      <c r="L7" s="124"/>
      <c r="M7" s="124"/>
      <c r="N7" s="124"/>
      <c r="O7" s="124"/>
    </row>
    <row r="8" spans="1:25" s="123" customFormat="1" ht="30" customHeight="1" x14ac:dyDescent="0.2">
      <c r="B8" s="112" t="s">
        <v>114</v>
      </c>
      <c r="C8" s="111" t="s">
        <v>86</v>
      </c>
      <c r="D8" s="108" t="s">
        <v>126</v>
      </c>
      <c r="E8" s="124"/>
      <c r="F8" s="124"/>
      <c r="G8" s="124"/>
      <c r="H8" s="124"/>
      <c r="I8" s="124"/>
      <c r="J8" s="124"/>
      <c r="K8" s="124"/>
      <c r="L8" s="124"/>
      <c r="M8" s="124"/>
      <c r="N8" s="124"/>
      <c r="O8" s="124"/>
    </row>
    <row r="9" spans="1:25" s="128" customFormat="1" ht="40.15" customHeight="1" x14ac:dyDescent="0.2">
      <c r="B9" s="107" t="s">
        <v>190</v>
      </c>
      <c r="C9" s="109" t="str">
        <f>IFERROR(D9+2,"0")</f>
        <v>0</v>
      </c>
      <c r="D9" s="110" t="str">
        <f>'ID_Identificação do projeto'!C14</f>
        <v>AAAA</v>
      </c>
      <c r="E9" s="101"/>
      <c r="G9" s="621" t="s">
        <v>114</v>
      </c>
      <c r="H9" s="621" t="s">
        <v>950</v>
      </c>
      <c r="I9" s="621" t="s">
        <v>283</v>
      </c>
      <c r="J9" s="621" t="s">
        <v>872</v>
      </c>
      <c r="K9" s="610"/>
      <c r="L9" s="622" t="s">
        <v>957</v>
      </c>
      <c r="M9" s="621" t="s">
        <v>958</v>
      </c>
      <c r="N9" s="610"/>
      <c r="O9" s="622" t="s">
        <v>886</v>
      </c>
      <c r="P9" s="129"/>
      <c r="Q9" s="129"/>
      <c r="R9" s="129"/>
      <c r="S9" s="129"/>
      <c r="T9" s="129"/>
      <c r="U9" s="129" t="s">
        <v>200</v>
      </c>
      <c r="V9" s="129"/>
      <c r="W9" s="117" t="s">
        <v>20</v>
      </c>
      <c r="X9" s="117" t="s">
        <v>201</v>
      </c>
      <c r="Y9" s="117" t="s">
        <v>251</v>
      </c>
    </row>
    <row r="10" spans="1:25" s="128" customFormat="1" ht="40.15" customHeight="1" x14ac:dyDescent="0.2">
      <c r="B10" s="107" t="s">
        <v>293</v>
      </c>
      <c r="C10" s="109" t="str">
        <f>'ID_Identificação do projeto'!$C$16</f>
        <v>Selecionar uma opção</v>
      </c>
      <c r="D10" s="110"/>
      <c r="E10" s="101"/>
      <c r="G10" s="623" t="s">
        <v>612</v>
      </c>
      <c r="H10" s="624">
        <f>D18</f>
        <v>0</v>
      </c>
      <c r="I10" s="625">
        <f>C12</f>
        <v>0</v>
      </c>
      <c r="J10" s="625">
        <v>0</v>
      </c>
      <c r="K10" s="611"/>
      <c r="L10" s="625">
        <f>IFERROR((H10*I10)/1000,"")</f>
        <v>0</v>
      </c>
      <c r="M10" s="626">
        <v>0</v>
      </c>
      <c r="N10" s="614"/>
      <c r="O10" s="627">
        <f>IFERROR(L10+((H10*M10)/1000),"")</f>
        <v>0</v>
      </c>
      <c r="P10" s="129"/>
      <c r="Q10" s="129"/>
      <c r="R10" s="129"/>
      <c r="S10" s="129"/>
      <c r="T10" s="129"/>
      <c r="U10" s="129"/>
      <c r="V10" s="129"/>
      <c r="W10" s="118">
        <v>2025</v>
      </c>
      <c r="X10" s="140">
        <v>165</v>
      </c>
      <c r="Y10" s="106" t="e">
        <f>VLOOKUP(C9,W10:X25,2,FALSE)</f>
        <v>#N/A</v>
      </c>
    </row>
    <row r="11" spans="1:25" s="128" customFormat="1" ht="40.15" customHeight="1" x14ac:dyDescent="0.2">
      <c r="B11" s="259" t="s">
        <v>142</v>
      </c>
      <c r="C11" s="102" t="str">
        <f>'ID_Identificação do projeto'!$C$18</f>
        <v>Selecionar uma opção</v>
      </c>
      <c r="D11" s="106"/>
      <c r="E11" s="101"/>
      <c r="G11" s="628" t="s">
        <v>1224</v>
      </c>
      <c r="H11" s="624">
        <f>IFERROR(D19*D20,"")</f>
        <v>0</v>
      </c>
      <c r="I11" s="625" t="str">
        <f>IFERROR(IF(D13=FAListas!$C$56, C13,"0"),"")</f>
        <v>0</v>
      </c>
      <c r="J11" s="629" t="str">
        <f>IFERROR(IF(D13=FAListas!$C$57,$C$12*'Fatores de Emissão'!F40,"0"),"")</f>
        <v>0</v>
      </c>
      <c r="K11" s="611"/>
      <c r="L11" s="625">
        <f>IFERROR(((H11*I11)+(H11*J11))/1000,"")</f>
        <v>0</v>
      </c>
      <c r="M11" s="626">
        <f>'Fatores de Emissão'!G40</f>
        <v>2.1700000000000004E-2</v>
      </c>
      <c r="N11" s="614"/>
      <c r="O11" s="627">
        <f>IFERROR(L11+((H11*M11)/1000),"")</f>
        <v>0</v>
      </c>
      <c r="P11" s="129"/>
      <c r="Q11" s="129"/>
      <c r="R11" s="129"/>
      <c r="S11" s="129"/>
      <c r="T11" s="129"/>
      <c r="U11" s="129"/>
      <c r="V11" s="129"/>
      <c r="W11" s="118">
        <v>2026</v>
      </c>
      <c r="X11" s="140">
        <v>182</v>
      </c>
    </row>
    <row r="12" spans="1:25" s="128" customFormat="1" ht="40.15" customHeight="1" x14ac:dyDescent="0.2">
      <c r="B12" s="107" t="s">
        <v>319</v>
      </c>
      <c r="C12" s="109">
        <f>'TM4_vias navegáveis interiores'!F21</f>
        <v>0</v>
      </c>
      <c r="D12" s="110"/>
      <c r="E12" s="101"/>
      <c r="F12" s="101"/>
      <c r="G12" s="628" t="s">
        <v>949</v>
      </c>
      <c r="H12" s="624">
        <f>IFERROR(D21*D22,"")</f>
        <v>0</v>
      </c>
      <c r="I12" s="625">
        <f>IFERROR(C14,"")</f>
        <v>0</v>
      </c>
      <c r="J12" s="629">
        <v>0</v>
      </c>
      <c r="K12" s="611"/>
      <c r="L12" s="625">
        <f>IFERROR(((H12*I12)+(H12*J12))/1000,"")</f>
        <v>0</v>
      </c>
      <c r="M12" s="626">
        <f>C15</f>
        <v>0</v>
      </c>
      <c r="N12" s="614"/>
      <c r="O12" s="627">
        <f>IFERROR(L12+((H12*M12)/1000),"")</f>
        <v>0</v>
      </c>
      <c r="P12" s="129"/>
      <c r="Q12" s="129"/>
      <c r="R12" s="129"/>
      <c r="S12" s="129"/>
      <c r="T12" s="129"/>
      <c r="U12" s="129"/>
      <c r="V12" s="129"/>
      <c r="W12" s="118">
        <v>2027</v>
      </c>
      <c r="X12" s="140">
        <v>199</v>
      </c>
    </row>
    <row r="13" spans="1:25" s="128" customFormat="1" ht="40.15" customHeight="1" x14ac:dyDescent="0.2">
      <c r="B13" s="382" t="str">
        <f>'TM4_vias navegáveis interiores'!C23</f>
        <v xml:space="preserve">Fator de emissão de GEE - navios/embarcações </v>
      </c>
      <c r="C13" s="383">
        <f>'TM4_vias navegáveis interiores'!F23</f>
        <v>0</v>
      </c>
      <c r="D13" s="383" t="str">
        <f>'TM4_vias navegáveis interiores'!E23</f>
        <v>Selecionar uma opção</v>
      </c>
      <c r="E13" s="101"/>
      <c r="F13" s="101"/>
      <c r="G13" s="609"/>
      <c r="H13" s="609"/>
      <c r="I13" s="611"/>
      <c r="J13" s="612"/>
      <c r="K13" s="611"/>
      <c r="L13" s="625"/>
      <c r="M13" s="615"/>
      <c r="N13" s="614"/>
      <c r="O13" s="625"/>
      <c r="P13" s="129"/>
      <c r="Q13" s="129"/>
      <c r="R13" s="129"/>
      <c r="S13" s="129"/>
      <c r="T13" s="129"/>
      <c r="U13" s="129"/>
      <c r="V13" s="129"/>
      <c r="W13" s="118">
        <v>2028</v>
      </c>
      <c r="X13" s="140">
        <v>216</v>
      </c>
    </row>
    <row r="14" spans="1:25" s="128" customFormat="1" ht="40.15" customHeight="1" x14ac:dyDescent="0.2">
      <c r="B14" s="387" t="str">
        <f>'TM4_vias navegáveis interiores'!C25</f>
        <v xml:space="preserve">Fator de emissão de GEE - outros navios/ embarcações </v>
      </c>
      <c r="C14" s="102">
        <f>'TM4_vias navegáveis interiores'!F25</f>
        <v>0</v>
      </c>
      <c r="D14" s="102" t="str">
        <f>'TM4_vias navegáveis interiores'!G25</f>
        <v>Completar para o fator de emissão do utilizador</v>
      </c>
      <c r="E14" s="101"/>
      <c r="F14" s="346"/>
      <c r="G14" s="609"/>
      <c r="H14" s="609"/>
      <c r="I14" s="614"/>
      <c r="J14" s="771"/>
      <c r="K14" s="613"/>
      <c r="L14" s="766">
        <f>IFERROR(SUM(L10:L12),"")</f>
        <v>0</v>
      </c>
      <c r="M14" s="767"/>
      <c r="N14" s="613"/>
      <c r="O14" s="766">
        <f>IFERROR(SUM(O10:O12),"")</f>
        <v>0</v>
      </c>
      <c r="P14" s="166" t="s">
        <v>249</v>
      </c>
      <c r="R14" s="129"/>
      <c r="S14" s="129"/>
      <c r="T14" s="129"/>
      <c r="U14" s="129"/>
      <c r="V14" s="129"/>
      <c r="W14" s="118">
        <v>2029</v>
      </c>
      <c r="X14" s="140">
        <v>233</v>
      </c>
    </row>
    <row r="15" spans="1:25" s="128" customFormat="1" ht="40.15" customHeight="1" x14ac:dyDescent="0.2">
      <c r="B15" s="387" t="str">
        <f>'TM4_vias navegáveis interiores'!C26</f>
        <v xml:space="preserve">Fator de emissão de GEE - produção do transporte </v>
      </c>
      <c r="C15" s="102">
        <f>'TM4_vias navegáveis interiores'!F26</f>
        <v>0</v>
      </c>
      <c r="D15" s="102" t="str">
        <f>'TM4_vias navegáveis interiores'!G26</f>
        <v>Completar para o fator de emissão do utilizador</v>
      </c>
      <c r="E15" s="101"/>
      <c r="F15" s="346"/>
      <c r="G15" s="102"/>
      <c r="H15" s="102"/>
      <c r="I15" s="347"/>
      <c r="J15" s="341"/>
      <c r="K15" s="342"/>
      <c r="L15" s="342" t="s">
        <v>5</v>
      </c>
      <c r="M15" s="343"/>
      <c r="N15" s="342"/>
      <c r="O15" s="342"/>
      <c r="P15" s="166"/>
      <c r="R15" s="129"/>
      <c r="S15" s="129"/>
      <c r="T15" s="129"/>
      <c r="U15" s="129"/>
      <c r="V15" s="129"/>
      <c r="W15" s="118">
        <v>2030</v>
      </c>
      <c r="X15" s="140">
        <v>250</v>
      </c>
    </row>
    <row r="16" spans="1:25" s="128" customFormat="1" ht="30" customHeight="1" x14ac:dyDescent="0.2">
      <c r="B16" s="387"/>
      <c r="C16" s="102"/>
      <c r="D16" s="102"/>
      <c r="E16" s="101"/>
      <c r="F16" s="160"/>
      <c r="G16" s="102"/>
      <c r="H16" s="102"/>
      <c r="I16" s="162"/>
      <c r="J16" s="162"/>
      <c r="K16" s="162"/>
      <c r="L16" s="162"/>
      <c r="M16" s="163"/>
      <c r="N16" s="347"/>
      <c r="O16" s="347"/>
      <c r="P16" s="129"/>
      <c r="Q16" s="129"/>
      <c r="R16" s="129"/>
      <c r="S16" s="129"/>
      <c r="T16" s="129"/>
      <c r="U16" s="129"/>
      <c r="V16" s="129"/>
      <c r="W16" s="118">
        <v>2031</v>
      </c>
      <c r="X16" s="140">
        <v>278</v>
      </c>
    </row>
    <row r="17" spans="1:24" s="128" customFormat="1" ht="30" customHeight="1" x14ac:dyDescent="0.2">
      <c r="B17" s="621" t="s">
        <v>114</v>
      </c>
      <c r="C17" s="608"/>
      <c r="D17" s="621" t="s">
        <v>86</v>
      </c>
      <c r="E17" s="101"/>
      <c r="F17" s="160"/>
      <c r="G17" s="102"/>
      <c r="H17" s="102"/>
      <c r="I17" s="161"/>
      <c r="J17" s="341"/>
      <c r="K17" s="342"/>
      <c r="L17" s="342"/>
      <c r="M17" s="343"/>
      <c r="N17" s="342"/>
      <c r="O17" s="342"/>
      <c r="P17" s="166"/>
      <c r="Q17" s="129"/>
      <c r="R17" s="129"/>
      <c r="S17" s="129"/>
      <c r="T17" s="129"/>
      <c r="U17" s="129"/>
      <c r="V17" s="129"/>
      <c r="W17" s="118">
        <v>2032</v>
      </c>
      <c r="X17" s="140">
        <v>306</v>
      </c>
    </row>
    <row r="18" spans="1:24" s="128" customFormat="1" ht="30" customHeight="1" x14ac:dyDescent="0.2">
      <c r="B18" s="768" t="str">
        <f>'TM4_vias navegáveis interiores'!C39</f>
        <v>Consumo anual de eletricidade num ano típico de funcionamento</v>
      </c>
      <c r="C18" s="770"/>
      <c r="D18" s="769">
        <f>'TM4_vias navegáveis interiores'!E39</f>
        <v>0</v>
      </c>
      <c r="E18" s="101"/>
      <c r="F18" s="160"/>
      <c r="G18" s="102"/>
      <c r="H18" s="102"/>
      <c r="I18" s="161"/>
      <c r="J18" s="341"/>
      <c r="K18" s="342"/>
      <c r="L18" s="342"/>
      <c r="M18" s="343"/>
      <c r="N18" s="342"/>
      <c r="O18" s="342"/>
      <c r="P18" s="166"/>
      <c r="Q18" s="129"/>
      <c r="R18" s="129"/>
      <c r="S18" s="129"/>
      <c r="T18" s="129"/>
      <c r="U18" s="129"/>
      <c r="V18" s="129"/>
      <c r="W18" s="118">
        <v>2033</v>
      </c>
      <c r="X18" s="140">
        <v>334</v>
      </c>
    </row>
    <row r="19" spans="1:24" s="128" customFormat="1" ht="60" customHeight="1" x14ac:dyDescent="0.2">
      <c r="A19" s="102" t="s">
        <v>341</v>
      </c>
      <c r="B19" s="768" t="str">
        <f>'TM4_vias navegáveis interiores'!C41</f>
        <v xml:space="preserve">Nº médio de novos passageiros gerados pelo projeto, num ano típico de funcionamento </v>
      </c>
      <c r="C19" s="609"/>
      <c r="D19" s="624">
        <f>'TM4_vias navegáveis interiores'!E41</f>
        <v>0</v>
      </c>
      <c r="E19" s="101"/>
      <c r="F19" s="160"/>
      <c r="G19" s="102"/>
      <c r="H19" s="102"/>
      <c r="I19" s="161"/>
      <c r="J19" s="162"/>
      <c r="K19" s="162"/>
      <c r="L19" s="162"/>
      <c r="M19" s="163"/>
      <c r="N19" s="162"/>
      <c r="O19" s="106"/>
      <c r="P19" s="129"/>
      <c r="Q19" s="129"/>
      <c r="R19" s="129"/>
      <c r="S19" s="129"/>
      <c r="T19" s="129"/>
      <c r="U19" s="129"/>
      <c r="V19" s="129"/>
      <c r="W19" s="118">
        <v>2034</v>
      </c>
      <c r="X19" s="140">
        <v>362</v>
      </c>
    </row>
    <row r="20" spans="1:24" s="128" customFormat="1" ht="60" customHeight="1" x14ac:dyDescent="0.2">
      <c r="A20" s="102" t="s">
        <v>341</v>
      </c>
      <c r="B20" s="768" t="str">
        <f>'TM4_vias navegáveis interiores'!C45</f>
        <v xml:space="preserve">Nº navios/embarcações * Nº de km percorridos por um navio/embarcação, num ano típico de funcionamento  </v>
      </c>
      <c r="C20" s="609"/>
      <c r="D20" s="624">
        <f>'TM4_vias navegáveis interiores'!E42</f>
        <v>0</v>
      </c>
      <c r="E20" s="101"/>
      <c r="F20" s="160"/>
      <c r="G20" s="102"/>
      <c r="H20" s="102"/>
      <c r="I20" s="161"/>
      <c r="J20" s="102"/>
      <c r="K20" s="102"/>
      <c r="L20" s="102"/>
      <c r="M20" s="102"/>
      <c r="N20" s="102"/>
      <c r="O20" s="106"/>
      <c r="P20" s="129"/>
      <c r="Q20" s="129"/>
      <c r="R20" s="129"/>
      <c r="S20" s="129"/>
      <c r="T20" s="129"/>
      <c r="U20" s="129"/>
      <c r="V20" s="129"/>
      <c r="W20" s="118">
        <v>2035</v>
      </c>
      <c r="X20" s="140">
        <v>390</v>
      </c>
    </row>
    <row r="21" spans="1:24" s="128" customFormat="1" ht="60" customHeight="1" x14ac:dyDescent="0.2">
      <c r="A21" s="102" t="s">
        <v>949</v>
      </c>
      <c r="B21" s="768" t="str">
        <f>'TM4_vias navegáveis interiores'!C44</f>
        <v xml:space="preserve">Nº médio de novos passageiros gerados pelo projeto, num ano típico de funcionamento </v>
      </c>
      <c r="C21" s="609"/>
      <c r="D21" s="624">
        <f>'TM4_vias navegáveis interiores'!E44</f>
        <v>0</v>
      </c>
      <c r="E21" s="101"/>
      <c r="F21" s="160"/>
      <c r="G21" s="102"/>
      <c r="H21" s="102"/>
      <c r="I21" s="161"/>
      <c r="J21" s="102"/>
      <c r="K21" s="102"/>
      <c r="L21" s="102"/>
      <c r="M21" s="102"/>
      <c r="N21" s="102"/>
      <c r="O21" s="106"/>
      <c r="P21" s="129"/>
      <c r="Q21" s="129"/>
      <c r="R21" s="129"/>
      <c r="S21" s="129"/>
      <c r="T21" s="129"/>
      <c r="U21" s="129"/>
      <c r="V21" s="129"/>
      <c r="W21" s="118">
        <v>2036</v>
      </c>
      <c r="X21" s="140">
        <v>417</v>
      </c>
    </row>
    <row r="22" spans="1:24" s="128" customFormat="1" ht="60" customHeight="1" x14ac:dyDescent="0.2">
      <c r="A22" s="102" t="s">
        <v>949</v>
      </c>
      <c r="B22" s="768" t="str">
        <f>'TM4_vias navegáveis interiores'!C45</f>
        <v xml:space="preserve">Nº navios/embarcações * Nº de km percorridos por um navio/embarcação, num ano típico de funcionamento  </v>
      </c>
      <c r="C22" s="609"/>
      <c r="D22" s="624">
        <f>'TM4_vias navegáveis interiores'!E45</f>
        <v>0</v>
      </c>
      <c r="E22" s="101"/>
      <c r="F22" s="160"/>
      <c r="G22" s="102"/>
      <c r="H22" s="102"/>
      <c r="I22" s="161"/>
      <c r="J22" s="102"/>
      <c r="K22" s="102"/>
      <c r="L22" s="102"/>
      <c r="M22" s="102"/>
      <c r="N22" s="102"/>
      <c r="O22" s="106"/>
      <c r="P22" s="129"/>
      <c r="Q22" s="129"/>
      <c r="R22" s="129"/>
      <c r="S22" s="129"/>
      <c r="T22" s="129"/>
      <c r="U22" s="129"/>
      <c r="V22" s="129"/>
      <c r="W22" s="118">
        <v>2037</v>
      </c>
      <c r="X22" s="140">
        <v>444</v>
      </c>
    </row>
    <row r="23" spans="1:24" s="123" customFormat="1" ht="30" customHeight="1" x14ac:dyDescent="0.2">
      <c r="D23" s="124"/>
      <c r="E23" s="124"/>
      <c r="F23" s="124"/>
      <c r="G23" s="124"/>
      <c r="H23" s="124"/>
      <c r="I23" s="124"/>
      <c r="J23" s="124"/>
      <c r="K23" s="124"/>
      <c r="L23" s="124"/>
      <c r="M23" s="124"/>
      <c r="N23" s="124"/>
      <c r="O23" s="124"/>
      <c r="W23" s="118">
        <v>2038</v>
      </c>
      <c r="X23" s="140">
        <v>471</v>
      </c>
    </row>
    <row r="24" spans="1:24" s="121" customFormat="1" ht="30" customHeight="1" x14ac:dyDescent="0.2">
      <c r="B24" s="120" t="s">
        <v>959</v>
      </c>
      <c r="D24" s="122"/>
      <c r="E24" s="122"/>
      <c r="F24" s="122"/>
      <c r="G24" s="122"/>
      <c r="H24" s="122"/>
      <c r="I24" s="122"/>
      <c r="J24" s="122"/>
      <c r="K24" s="122"/>
      <c r="L24" s="122"/>
      <c r="M24" s="122"/>
      <c r="N24" s="122"/>
      <c r="O24" s="122"/>
      <c r="W24" s="118">
        <v>2039</v>
      </c>
      <c r="X24" s="140">
        <v>498</v>
      </c>
    </row>
    <row r="25" spans="1:24" s="175" customFormat="1" ht="30" customHeight="1" x14ac:dyDescent="0.2">
      <c r="B25" s="176"/>
      <c r="D25" s="177"/>
      <c r="E25" s="177"/>
      <c r="F25" s="177"/>
      <c r="G25" s="177"/>
      <c r="H25" s="177"/>
      <c r="I25" s="177"/>
      <c r="J25" s="177"/>
      <c r="K25" s="177"/>
      <c r="L25" s="177"/>
      <c r="M25" s="177"/>
      <c r="N25" s="177"/>
      <c r="O25" s="177"/>
      <c r="W25" s="118">
        <v>2040</v>
      </c>
      <c r="X25" s="140">
        <v>325</v>
      </c>
    </row>
    <row r="26" spans="1:24" s="175" customFormat="1" ht="30" customHeight="1" x14ac:dyDescent="0.2">
      <c r="B26" s="176" t="s">
        <v>252</v>
      </c>
      <c r="D26" s="177"/>
      <c r="E26" s="177"/>
      <c r="F26" s="177"/>
      <c r="G26" s="177"/>
      <c r="H26" s="177"/>
      <c r="I26" s="177"/>
      <c r="J26" s="177"/>
      <c r="K26" s="177"/>
      <c r="L26" s="177"/>
      <c r="M26" s="177"/>
      <c r="N26" s="177"/>
      <c r="O26" s="177"/>
    </row>
    <row r="27" spans="1:24" s="175" customFormat="1" ht="30" customHeight="1" x14ac:dyDescent="0.2">
      <c r="B27" s="176"/>
      <c r="D27" s="177"/>
      <c r="E27" s="177"/>
      <c r="F27" s="177"/>
      <c r="G27" s="177"/>
      <c r="H27" s="177"/>
      <c r="I27" s="177"/>
      <c r="J27" s="177"/>
      <c r="K27" s="177"/>
      <c r="L27" s="177"/>
      <c r="M27" s="177"/>
      <c r="N27" s="177"/>
      <c r="O27" s="177"/>
    </row>
    <row r="28" spans="1:24" s="175" customFormat="1" ht="30" customHeight="1" x14ac:dyDescent="0.2">
      <c r="B28" s="120" t="s">
        <v>285</v>
      </c>
      <c r="C28" s="179" t="s">
        <v>77</v>
      </c>
      <c r="D28" s="122" t="s">
        <v>909</v>
      </c>
      <c r="E28" s="122" t="s">
        <v>256</v>
      </c>
      <c r="F28" s="177"/>
      <c r="G28" s="122" t="s">
        <v>286</v>
      </c>
      <c r="H28" s="122" t="s">
        <v>77</v>
      </c>
      <c r="I28" s="122" t="s">
        <v>909</v>
      </c>
      <c r="J28" s="122" t="s">
        <v>256</v>
      </c>
      <c r="K28" s="177"/>
      <c r="L28" s="177"/>
      <c r="M28" s="177"/>
      <c r="N28" s="177"/>
      <c r="O28" s="177"/>
    </row>
    <row r="29" spans="1:24" s="175" customFormat="1" ht="30" customHeight="1" x14ac:dyDescent="0.2">
      <c r="B29" s="176" t="s">
        <v>125</v>
      </c>
      <c r="C29" s="178">
        <v>0.55000000000000004</v>
      </c>
      <c r="D29" s="180">
        <f>'Fatores de Emissão'!E99</f>
        <v>0.12029271250000002</v>
      </c>
      <c r="E29" s="181">
        <f t="shared" ref="E29:E34" si="0">C29*D29</f>
        <v>6.6160991875000019E-2</v>
      </c>
      <c r="F29" s="177"/>
      <c r="G29" s="247" t="s">
        <v>125</v>
      </c>
      <c r="H29" s="388">
        <v>0.84</v>
      </c>
      <c r="I29" s="124">
        <f>'Fatores de Emissão'!E63</f>
        <v>8.29704311418685E-2</v>
      </c>
      <c r="J29" s="389">
        <f>H29*I29</f>
        <v>6.9695162159169544E-2</v>
      </c>
      <c r="K29" s="181"/>
      <c r="L29" s="177"/>
      <c r="M29" s="177"/>
      <c r="N29" s="177"/>
      <c r="O29" s="177"/>
    </row>
    <row r="30" spans="1:24" s="175" customFormat="1" ht="30" customHeight="1" x14ac:dyDescent="0.2">
      <c r="B30" s="176" t="s">
        <v>227</v>
      </c>
      <c r="C30" s="178">
        <v>0.38</v>
      </c>
      <c r="D30" s="180">
        <f>'Fatores de Emissão'!E93</f>
        <v>0.12633856874999999</v>
      </c>
      <c r="E30" s="181">
        <f t="shared" si="0"/>
        <v>4.8008656125E-2</v>
      </c>
      <c r="F30" s="177"/>
      <c r="G30" s="247" t="s">
        <v>89</v>
      </c>
      <c r="H30" s="388">
        <v>0.16</v>
      </c>
      <c r="I30" s="124">
        <f>'Fatores de Emissão'!E68</f>
        <v>9.3486387543252586E-2</v>
      </c>
      <c r="J30" s="389">
        <f>H30*I30</f>
        <v>1.4957822006920415E-2</v>
      </c>
      <c r="K30" s="177"/>
      <c r="L30" s="177"/>
      <c r="M30" s="177"/>
      <c r="N30" s="177"/>
      <c r="O30" s="177"/>
    </row>
    <row r="31" spans="1:24" s="175" customFormat="1" ht="30" customHeight="1" x14ac:dyDescent="0.2">
      <c r="B31" s="176" t="s">
        <v>230</v>
      </c>
      <c r="C31" s="178">
        <v>0.01</v>
      </c>
      <c r="D31" s="180">
        <f>'Fatores de Emissão'!E102</f>
        <v>0.119959</v>
      </c>
      <c r="E31" s="181">
        <f t="shared" si="0"/>
        <v>1.1995899999999999E-3</v>
      </c>
      <c r="F31" s="177"/>
      <c r="G31" s="781" t="s">
        <v>246</v>
      </c>
      <c r="H31" s="782"/>
      <c r="I31" s="783"/>
      <c r="J31" s="784">
        <f>SUM(J25:J30)</f>
        <v>8.4652984166089962E-2</v>
      </c>
      <c r="K31" s="177"/>
      <c r="L31" s="177"/>
      <c r="M31" s="177"/>
      <c r="N31" s="177"/>
      <c r="O31" s="177"/>
    </row>
    <row r="32" spans="1:24" s="175" customFormat="1" ht="30" customHeight="1" x14ac:dyDescent="0.2">
      <c r="B32" s="176" t="s">
        <v>255</v>
      </c>
      <c r="C32" s="178">
        <v>0.02</v>
      </c>
      <c r="D32" s="180">
        <f>'Fatores de Emissão'!E9</f>
        <v>1.3839724576271188E-2</v>
      </c>
      <c r="E32" s="181">
        <f t="shared" si="0"/>
        <v>2.7679449152542379E-4</v>
      </c>
      <c r="F32" s="177"/>
      <c r="G32" s="177"/>
      <c r="H32" s="177"/>
      <c r="I32" s="177"/>
      <c r="J32" s="177"/>
      <c r="K32" s="177"/>
      <c r="L32" s="177"/>
      <c r="M32" s="177"/>
      <c r="N32" s="177"/>
      <c r="O32" s="177"/>
    </row>
    <row r="33" spans="1:18" s="175" customFormat="1" ht="30" customHeight="1" x14ac:dyDescent="0.2">
      <c r="B33" s="176" t="s">
        <v>254</v>
      </c>
      <c r="C33" s="178">
        <v>0.02</v>
      </c>
      <c r="D33" s="180">
        <f>'Fatores de Emissão'!E96</f>
        <v>8.0156249999999998E-2</v>
      </c>
      <c r="E33" s="181">
        <f t="shared" si="0"/>
        <v>1.6031249999999999E-3</v>
      </c>
      <c r="F33" s="177"/>
      <c r="G33" s="177"/>
      <c r="H33" s="177"/>
      <c r="I33" s="177"/>
      <c r="J33" s="177"/>
      <c r="K33" s="177"/>
      <c r="L33" s="177"/>
      <c r="M33" s="177"/>
      <c r="N33" s="177"/>
      <c r="O33" s="177"/>
    </row>
    <row r="34" spans="1:18" s="175" customFormat="1" ht="30" customHeight="1" x14ac:dyDescent="0.2">
      <c r="B34" s="176" t="s">
        <v>260</v>
      </c>
      <c r="C34" s="178">
        <v>0.02</v>
      </c>
      <c r="D34" s="180">
        <f>'Fatores de Emissão'!E10</f>
        <v>4.4243290960451981E-3</v>
      </c>
      <c r="E34" s="181">
        <f t="shared" si="0"/>
        <v>8.8486581920903967E-5</v>
      </c>
      <c r="F34" s="177"/>
      <c r="G34" s="188" t="s">
        <v>263</v>
      </c>
      <c r="H34" s="186" t="s">
        <v>9</v>
      </c>
      <c r="I34" s="177"/>
      <c r="J34" s="177"/>
      <c r="K34" s="177"/>
      <c r="L34" s="177"/>
      <c r="M34" s="177"/>
      <c r="N34" s="177"/>
      <c r="O34" s="177"/>
    </row>
    <row r="35" spans="1:18" s="175" customFormat="1" ht="30" customHeight="1" x14ac:dyDescent="0.2">
      <c r="B35" s="182" t="s">
        <v>246</v>
      </c>
      <c r="C35" s="183"/>
      <c r="D35" s="184"/>
      <c r="E35" s="185">
        <f>SUM(E29:E34)</f>
        <v>0.11733764407344634</v>
      </c>
      <c r="F35" s="177"/>
      <c r="G35" s="204" t="s">
        <v>205</v>
      </c>
      <c r="H35" s="205" t="e">
        <f>VLOOKUP($C$10,FAListas!$C$20:$D$28,2,FALSE)</f>
        <v>#N/A</v>
      </c>
      <c r="I35" s="177"/>
      <c r="J35" s="177"/>
      <c r="K35" s="177"/>
      <c r="L35" s="177"/>
      <c r="M35" s="177"/>
      <c r="N35" s="177"/>
      <c r="O35" s="177"/>
    </row>
    <row r="36" spans="1:18" s="175" customFormat="1" ht="30" customHeight="1" x14ac:dyDescent="0.2">
      <c r="D36" s="177"/>
      <c r="E36" s="177"/>
      <c r="F36" s="177"/>
      <c r="G36" s="204"/>
      <c r="H36" s="205"/>
      <c r="I36" s="177"/>
      <c r="J36" s="177"/>
      <c r="K36" s="177"/>
      <c r="L36" s="177"/>
      <c r="M36" s="177"/>
      <c r="N36" s="177"/>
      <c r="O36" s="177"/>
    </row>
    <row r="37" spans="1:18" s="175" customFormat="1" ht="30" customHeight="1" x14ac:dyDescent="0.2">
      <c r="D37" s="177"/>
      <c r="E37" s="177"/>
      <c r="F37" s="177"/>
      <c r="G37" s="187" t="s">
        <v>154</v>
      </c>
      <c r="H37" s="177">
        <f>'Fatores de Emissão'!E47</f>
        <v>8.9999999999999993E-3</v>
      </c>
      <c r="I37" s="177"/>
      <c r="J37" s="177"/>
      <c r="K37" s="177"/>
      <c r="L37" s="177"/>
      <c r="M37" s="177"/>
      <c r="N37" s="177"/>
      <c r="O37" s="177"/>
    </row>
    <row r="38" spans="1:18" s="175" customFormat="1" ht="30" customHeight="1" x14ac:dyDescent="0.2">
      <c r="D38" s="177"/>
      <c r="E38" s="177"/>
      <c r="F38" s="177"/>
      <c r="G38" s="187" t="s">
        <v>961</v>
      </c>
      <c r="H38" s="177">
        <v>0</v>
      </c>
      <c r="I38" s="177"/>
      <c r="J38" s="177"/>
      <c r="K38" s="177"/>
      <c r="L38" s="177"/>
      <c r="M38" s="177"/>
      <c r="N38" s="177"/>
      <c r="O38" s="177"/>
    </row>
    <row r="39" spans="1:18" s="175" customFormat="1" ht="30" customHeight="1" x14ac:dyDescent="0.2">
      <c r="D39" s="177"/>
      <c r="E39" s="177"/>
      <c r="F39" s="177"/>
      <c r="G39" s="187"/>
      <c r="H39" s="177"/>
      <c r="I39" s="177"/>
      <c r="J39" s="177"/>
      <c r="K39" s="177"/>
      <c r="L39" s="177"/>
      <c r="M39" s="177"/>
      <c r="N39" s="177"/>
      <c r="O39" s="177"/>
    </row>
    <row r="40" spans="1:18" s="175" customFormat="1" ht="30" customHeight="1" x14ac:dyDescent="0.2">
      <c r="D40" s="177"/>
      <c r="E40" s="177"/>
      <c r="F40" s="177"/>
      <c r="G40" s="187"/>
      <c r="H40" s="177"/>
      <c r="I40" s="177"/>
      <c r="J40" s="177"/>
      <c r="K40" s="177"/>
      <c r="L40" s="177"/>
      <c r="M40" s="177"/>
      <c r="N40" s="177"/>
      <c r="O40" s="177"/>
    </row>
    <row r="41" spans="1:18" s="121" customFormat="1" ht="30" customHeight="1" x14ac:dyDescent="0.2">
      <c r="B41" s="381" t="s">
        <v>960</v>
      </c>
      <c r="D41" s="122"/>
      <c r="E41" s="122"/>
      <c r="F41" s="122"/>
      <c r="G41" s="122"/>
      <c r="H41" s="122"/>
      <c r="I41" s="122"/>
      <c r="J41" s="122"/>
      <c r="K41" s="122"/>
      <c r="L41" s="122"/>
      <c r="M41" s="122"/>
      <c r="N41" s="122"/>
      <c r="O41" s="122"/>
    </row>
    <row r="42" spans="1:18" s="123" customFormat="1" ht="30" customHeight="1" x14ac:dyDescent="0.2">
      <c r="D42" s="1538" t="s">
        <v>963</v>
      </c>
      <c r="E42" s="1538"/>
      <c r="F42" s="124"/>
      <c r="G42" s="124"/>
      <c r="H42" s="124"/>
      <c r="N42" s="209"/>
      <c r="O42" s="124"/>
      <c r="P42" s="124"/>
      <c r="Q42" s="124"/>
      <c r="R42" s="124"/>
    </row>
    <row r="43" spans="1:18" s="123" customFormat="1" ht="49.9" customHeight="1" x14ac:dyDescent="0.2">
      <c r="A43" s="348"/>
      <c r="B43" s="775" t="s">
        <v>264</v>
      </c>
      <c r="C43" s="610"/>
      <c r="D43" s="775" t="s">
        <v>341</v>
      </c>
      <c r="E43" s="775" t="s">
        <v>739</v>
      </c>
      <c r="F43" s="101"/>
      <c r="G43" s="101"/>
      <c r="H43" s="101"/>
      <c r="I43" s="101"/>
      <c r="J43" s="101"/>
      <c r="K43" s="101"/>
      <c r="L43" s="101"/>
      <c r="M43" s="101"/>
      <c r="N43" s="101"/>
      <c r="O43" s="101"/>
      <c r="P43" s="101"/>
      <c r="Q43" s="101"/>
      <c r="R43" s="101"/>
    </row>
    <row r="44" spans="1:18" s="123" customFormat="1" ht="30" customHeight="1" x14ac:dyDescent="0.2">
      <c r="A44" s="349"/>
      <c r="B44" s="776" t="s">
        <v>262</v>
      </c>
      <c r="C44" s="777"/>
      <c r="D44" s="778">
        <f>IFERROR('TM4_vias navegáveis interiores'!E61/100,"0")</f>
        <v>0</v>
      </c>
      <c r="E44" s="778">
        <f>IFERROR('TM4_vias navegáveis interiores'!E67/100,"0")</f>
        <v>0</v>
      </c>
      <c r="F44" s="157"/>
      <c r="G44" s="157"/>
      <c r="H44" s="157"/>
      <c r="I44" s="157"/>
      <c r="J44" s="157"/>
      <c r="K44" s="157"/>
      <c r="L44" s="157"/>
      <c r="M44" s="157"/>
      <c r="N44" s="157"/>
      <c r="O44" s="157"/>
      <c r="P44" s="349"/>
      <c r="Q44" s="349"/>
      <c r="R44" s="349"/>
    </row>
    <row r="45" spans="1:18" s="123" customFormat="1" ht="30" customHeight="1" x14ac:dyDescent="0.2">
      <c r="A45" s="349"/>
      <c r="B45" s="776" t="s">
        <v>171</v>
      </c>
      <c r="C45" s="777"/>
      <c r="D45" s="778">
        <f>IFERROR('TM4_vias navegáveis interiores'!E62/100,"0")</f>
        <v>0</v>
      </c>
      <c r="E45" s="778">
        <f>IFERROR('TM4_vias navegáveis interiores'!E68/100,"0")</f>
        <v>0</v>
      </c>
      <c r="F45" s="157"/>
      <c r="G45" s="157"/>
      <c r="H45" s="157"/>
      <c r="I45" s="157"/>
      <c r="J45" s="157"/>
      <c r="K45" s="157"/>
      <c r="L45" s="157"/>
      <c r="M45" s="157"/>
      <c r="N45" s="157"/>
      <c r="O45" s="157"/>
      <c r="P45" s="349"/>
      <c r="Q45" s="349"/>
      <c r="R45" s="349"/>
    </row>
    <row r="46" spans="1:18" s="123" customFormat="1" ht="30" customHeight="1" x14ac:dyDescent="0.2">
      <c r="A46" s="349"/>
      <c r="B46" s="776" t="s">
        <v>154</v>
      </c>
      <c r="C46" s="777"/>
      <c r="D46" s="778">
        <f>IFERROR('TM4_vias navegáveis interiores'!E63/100,"0")</f>
        <v>0</v>
      </c>
      <c r="E46" s="778">
        <f>IFERROR('TM4_vias navegáveis interiores'!E69/100,"0")</f>
        <v>0</v>
      </c>
      <c r="F46" s="157"/>
      <c r="G46" s="157"/>
      <c r="H46" s="157"/>
      <c r="I46" s="157"/>
      <c r="J46" s="392"/>
      <c r="K46" s="157"/>
      <c r="L46" s="157"/>
      <c r="M46" s="157"/>
      <c r="N46" s="157"/>
      <c r="O46" s="157"/>
      <c r="P46" s="349"/>
      <c r="Q46" s="349"/>
      <c r="R46" s="349"/>
    </row>
    <row r="47" spans="1:18" s="123" customFormat="1" ht="30" customHeight="1" x14ac:dyDescent="0.2">
      <c r="A47" s="349"/>
      <c r="B47" s="779" t="s">
        <v>962</v>
      </c>
      <c r="C47" s="780"/>
      <c r="D47" s="778">
        <f>IFERROR('TM4_vias navegáveis interiores'!E64/100,"0")</f>
        <v>0</v>
      </c>
      <c r="E47" s="778">
        <f>IFERROR('TM4_vias navegáveis interiores'!E70/100,"0")</f>
        <v>0</v>
      </c>
      <c r="F47" s="157"/>
      <c r="G47" s="157"/>
      <c r="H47" s="157"/>
      <c r="I47" s="157"/>
      <c r="J47" s="392"/>
      <c r="K47" s="157"/>
      <c r="L47" s="157"/>
      <c r="M47" s="157"/>
      <c r="N47" s="157"/>
      <c r="O47" s="157"/>
      <c r="P47" s="349"/>
      <c r="Q47" s="349"/>
      <c r="R47" s="349"/>
    </row>
    <row r="48" spans="1:18" s="123" customFormat="1" ht="30" customHeight="1" x14ac:dyDescent="0.2">
      <c r="B48" s="772"/>
      <c r="C48" s="773"/>
      <c r="D48" s="774"/>
      <c r="E48" s="157"/>
      <c r="F48" s="157"/>
      <c r="G48" s="157"/>
      <c r="H48" s="157"/>
      <c r="I48" s="141"/>
      <c r="J48" s="141"/>
      <c r="K48" s="141"/>
      <c r="L48" s="141"/>
      <c r="M48" s="141"/>
      <c r="N48" s="124"/>
      <c r="O48" s="124"/>
    </row>
    <row r="49" spans="2:15" s="123" customFormat="1" ht="68.45" customHeight="1" x14ac:dyDescent="0.2">
      <c r="B49" s="171" t="s">
        <v>1228</v>
      </c>
      <c r="C49" s="172"/>
      <c r="D49" s="350" t="s">
        <v>341</v>
      </c>
      <c r="E49" s="775" t="s">
        <v>739</v>
      </c>
      <c r="F49" s="101"/>
      <c r="G49" s="101"/>
      <c r="H49" s="101"/>
      <c r="I49" s="101"/>
      <c r="J49" s="101"/>
      <c r="K49" s="101"/>
      <c r="L49" s="101"/>
      <c r="M49" s="101"/>
      <c r="N49" s="101"/>
      <c r="O49" s="101"/>
    </row>
    <row r="50" spans="2:15" s="123" customFormat="1" ht="30" customHeight="1" x14ac:dyDescent="0.2">
      <c r="B50" s="144" t="s">
        <v>262</v>
      </c>
      <c r="C50" s="146"/>
      <c r="D50" s="252">
        <f>IFERROR($H$11*D44,"0")</f>
        <v>0</v>
      </c>
      <c r="E50" s="252">
        <f>IFERROR($H$12*E44,"0")</f>
        <v>0</v>
      </c>
      <c r="F50" s="141"/>
      <c r="G50" s="141"/>
      <c r="H50" s="141"/>
      <c r="I50" s="141"/>
      <c r="J50" s="141"/>
      <c r="K50" s="141"/>
      <c r="L50" s="141"/>
      <c r="M50" s="141"/>
      <c r="N50" s="141"/>
      <c r="O50" s="141"/>
    </row>
    <row r="51" spans="2:15" s="123" customFormat="1" ht="30" customHeight="1" x14ac:dyDescent="0.2">
      <c r="B51" s="144" t="s">
        <v>171</v>
      </c>
      <c r="C51" s="391"/>
      <c r="D51" s="252">
        <f>IFERROR($H$11*D45,"0")</f>
        <v>0</v>
      </c>
      <c r="E51" s="252">
        <f>IFERROR($H$12*E45,"0")</f>
        <v>0</v>
      </c>
      <c r="F51" s="141"/>
      <c r="G51" s="141"/>
      <c r="H51" s="141"/>
      <c r="I51" s="141"/>
      <c r="J51" s="141"/>
      <c r="K51" s="141"/>
      <c r="L51" s="141"/>
      <c r="M51" s="141"/>
      <c r="N51" s="141"/>
      <c r="O51" s="141"/>
    </row>
    <row r="52" spans="2:15" s="123" customFormat="1" ht="30" customHeight="1" x14ac:dyDescent="0.2">
      <c r="B52" s="144" t="s">
        <v>154</v>
      </c>
      <c r="C52" s="149"/>
      <c r="D52" s="252">
        <f>IFERROR($H$11*D46,"0")</f>
        <v>0</v>
      </c>
      <c r="E52" s="252">
        <f>IFERROR($H$12*E46,"0")</f>
        <v>0</v>
      </c>
      <c r="F52" s="141"/>
      <c r="G52" s="141"/>
      <c r="H52" s="141"/>
      <c r="I52" s="141"/>
      <c r="J52" s="141"/>
      <c r="K52" s="141"/>
      <c r="L52" s="141"/>
      <c r="M52" s="141"/>
      <c r="N52" s="141"/>
      <c r="O52" s="141"/>
    </row>
    <row r="53" spans="2:15" s="123" customFormat="1" ht="30" customHeight="1" x14ac:dyDescent="0.2">
      <c r="B53" s="144" t="s">
        <v>962</v>
      </c>
      <c r="C53" s="149"/>
      <c r="D53" s="252">
        <f>IFERROR($H$11*D47,"0")</f>
        <v>0</v>
      </c>
      <c r="E53" s="252">
        <f>IFERROR($H$12*E47,"0")</f>
        <v>0</v>
      </c>
      <c r="F53" s="141"/>
      <c r="G53" s="141"/>
      <c r="H53" s="141"/>
      <c r="I53" s="141"/>
      <c r="J53" s="141"/>
      <c r="K53" s="141"/>
      <c r="L53" s="141"/>
      <c r="M53" s="141"/>
      <c r="N53" s="141"/>
      <c r="O53" s="141"/>
    </row>
    <row r="54" spans="2:15" s="123" customFormat="1" ht="30" customHeight="1" x14ac:dyDescent="0.2">
      <c r="B54" s="156"/>
      <c r="C54" s="149"/>
      <c r="D54" s="124"/>
      <c r="E54" s="124"/>
      <c r="F54" s="124"/>
      <c r="G54" s="124"/>
      <c r="H54" s="124"/>
      <c r="I54" s="124"/>
      <c r="J54" s="124"/>
      <c r="K54" s="124"/>
      <c r="L54" s="124"/>
      <c r="M54" s="124"/>
      <c r="N54" s="124"/>
      <c r="O54" s="124"/>
    </row>
    <row r="55" spans="2:15" s="123" customFormat="1" ht="60" customHeight="1" x14ac:dyDescent="0.2">
      <c r="B55" s="154" t="s">
        <v>964</v>
      </c>
      <c r="C55" s="155"/>
      <c r="D55" s="350" t="s">
        <v>341</v>
      </c>
      <c r="E55" s="775" t="s">
        <v>739</v>
      </c>
      <c r="F55" s="101"/>
      <c r="G55" s="101"/>
      <c r="H55" s="101"/>
      <c r="I55" s="101"/>
      <c r="J55" s="101"/>
      <c r="K55" s="101"/>
      <c r="L55" s="101"/>
      <c r="M55" s="101"/>
      <c r="N55" s="101"/>
      <c r="O55" s="101"/>
    </row>
    <row r="56" spans="2:15" s="123" customFormat="1" ht="30" customHeight="1" x14ac:dyDescent="0.2">
      <c r="B56" s="144" t="s">
        <v>262</v>
      </c>
      <c r="C56" s="150"/>
      <c r="D56" s="157">
        <f>(D50*$E$35/1000)</f>
        <v>0</v>
      </c>
      <c r="E56" s="157">
        <f>(E50*$E$35/1000)</f>
        <v>0</v>
      </c>
      <c r="F56" s="157"/>
      <c r="G56" s="157"/>
      <c r="H56" s="157"/>
      <c r="I56" s="157"/>
      <c r="J56" s="157"/>
      <c r="K56" s="157"/>
      <c r="L56" s="157"/>
      <c r="M56" s="157"/>
      <c r="N56" s="157"/>
      <c r="O56" s="157"/>
    </row>
    <row r="57" spans="2:15" s="123" customFormat="1" ht="30" customHeight="1" x14ac:dyDescent="0.2">
      <c r="B57" s="144" t="s">
        <v>171</v>
      </c>
      <c r="C57" s="150"/>
      <c r="D57" s="157">
        <f>(D51*$J$31/1000)</f>
        <v>0</v>
      </c>
      <c r="E57" s="157">
        <f>(E51*$J$31/1000)</f>
        <v>0</v>
      </c>
      <c r="F57" s="157"/>
      <c r="G57" s="157"/>
      <c r="H57" s="157"/>
      <c r="I57" s="157"/>
      <c r="J57" s="157"/>
      <c r="K57" s="157"/>
      <c r="L57" s="157"/>
      <c r="M57" s="157"/>
      <c r="N57" s="157"/>
      <c r="O57" s="157"/>
    </row>
    <row r="58" spans="2:15" s="123" customFormat="1" ht="30" customHeight="1" x14ac:dyDescent="0.2">
      <c r="B58" s="144" t="s">
        <v>154</v>
      </c>
      <c r="C58" s="150"/>
      <c r="D58" s="157">
        <f>(D52*$H$37/1000)</f>
        <v>0</v>
      </c>
      <c r="E58" s="157">
        <f>(E52*$H$37/1000)</f>
        <v>0</v>
      </c>
      <c r="F58" s="157"/>
      <c r="G58" s="157"/>
      <c r="H58" s="157"/>
      <c r="I58" s="157"/>
      <c r="J58" s="157"/>
      <c r="K58" s="157"/>
      <c r="L58" s="157"/>
      <c r="M58" s="157"/>
      <c r="N58" s="157"/>
      <c r="O58" s="157"/>
    </row>
    <row r="59" spans="2:15" ht="49.9" customHeight="1" x14ac:dyDescent="0.25">
      <c r="B59" s="785"/>
      <c r="C59" s="785"/>
      <c r="D59" s="1254">
        <f>SUM(D56:D58)</f>
        <v>0</v>
      </c>
      <c r="E59" s="1254">
        <f>SUM(E56:E58)</f>
        <v>0</v>
      </c>
      <c r="F59" s="189"/>
      <c r="G59" s="189"/>
      <c r="H59" s="189"/>
      <c r="I59" s="189"/>
      <c r="J59" s="189"/>
      <c r="K59" s="189"/>
      <c r="L59" s="189"/>
      <c r="M59" s="189"/>
      <c r="N59" s="189"/>
      <c r="O59" s="189"/>
    </row>
    <row r="60" spans="2:15" ht="48" customHeight="1" x14ac:dyDescent="0.25">
      <c r="B60" s="269" t="s">
        <v>965</v>
      </c>
      <c r="C60" s="3"/>
      <c r="D60" s="269">
        <f>IFERROR(SUM(D59:E59),"")</f>
        <v>0</v>
      </c>
      <c r="E60" s="189"/>
      <c r="F60" s="360"/>
      <c r="G60" s="361"/>
      <c r="H60" s="124"/>
      <c r="I60" s="189"/>
      <c r="J60" s="189"/>
      <c r="K60" s="1516"/>
      <c r="L60" s="1516"/>
      <c r="M60" s="361"/>
    </row>
    <row r="61" spans="2:15" ht="30" customHeight="1" x14ac:dyDescent="0.25">
      <c r="B61" s="3"/>
      <c r="C61" s="3"/>
      <c r="D61" s="361"/>
      <c r="E61" s="189"/>
      <c r="F61" s="189"/>
      <c r="G61" s="189"/>
      <c r="H61" s="124"/>
      <c r="I61" s="189"/>
      <c r="J61" s="189"/>
      <c r="K61" s="189"/>
      <c r="L61" s="189"/>
      <c r="M61" s="189"/>
    </row>
    <row r="62" spans="2:15" ht="30" customHeight="1" x14ac:dyDescent="0.25">
      <c r="B62" s="3"/>
      <c r="C62" s="3"/>
      <c r="D62" s="189"/>
      <c r="E62" s="189"/>
      <c r="F62" s="189"/>
      <c r="G62" s="189"/>
      <c r="H62" s="124"/>
      <c r="I62" s="189"/>
      <c r="J62" s="189"/>
      <c r="K62" s="189"/>
      <c r="L62" s="189"/>
      <c r="M62" s="189"/>
    </row>
    <row r="63" spans="2:15" s="190" customFormat="1" ht="70.150000000000006" customHeight="1" x14ac:dyDescent="0.35">
      <c r="B63" s="193" t="s">
        <v>968</v>
      </c>
      <c r="C63" s="191">
        <f>IFERROR(D60+D83,"")</f>
        <v>0</v>
      </c>
      <c r="D63" s="191"/>
      <c r="E63" s="191"/>
      <c r="F63" s="191"/>
      <c r="G63" s="1515"/>
      <c r="H63" s="1515"/>
      <c r="I63" s="191"/>
      <c r="J63" s="191"/>
      <c r="K63" s="191"/>
      <c r="L63" s="191"/>
      <c r="M63" s="191"/>
      <c r="N63" s="192"/>
      <c r="O63" s="197"/>
    </row>
    <row r="64" spans="2:15" s="194" customFormat="1" ht="30" customHeight="1" x14ac:dyDescent="0.35">
      <c r="B64" s="195"/>
      <c r="C64" s="196"/>
      <c r="D64" s="196"/>
      <c r="E64" s="196"/>
      <c r="F64" s="196"/>
      <c r="G64" s="196"/>
      <c r="H64" s="197"/>
      <c r="I64" s="196"/>
      <c r="J64" s="196"/>
      <c r="K64" s="196"/>
      <c r="L64" s="196"/>
      <c r="M64" s="196"/>
      <c r="N64" s="197"/>
      <c r="O64" s="197"/>
    </row>
    <row r="65" spans="1:25" s="198" customFormat="1" ht="30" customHeight="1" x14ac:dyDescent="0.25">
      <c r="B65" s="202" t="s">
        <v>966</v>
      </c>
      <c r="C65" s="199"/>
      <c r="D65" s="200"/>
      <c r="E65" s="200"/>
      <c r="F65" s="200"/>
      <c r="G65" s="200"/>
      <c r="H65" s="201"/>
      <c r="I65" s="200"/>
      <c r="J65" s="200"/>
      <c r="K65" s="200"/>
      <c r="L65" s="200"/>
      <c r="M65" s="200"/>
      <c r="N65" s="201"/>
      <c r="O65" s="1"/>
    </row>
    <row r="66" spans="1:25" s="1" customFormat="1" ht="30" customHeight="1" x14ac:dyDescent="0.25">
      <c r="A66"/>
      <c r="B66" s="3"/>
      <c r="C66" s="3"/>
      <c r="D66" s="189"/>
      <c r="E66" s="189"/>
      <c r="F66" s="189"/>
      <c r="G66" s="189"/>
      <c r="I66" s="189"/>
      <c r="J66" s="189"/>
      <c r="K66" s="189"/>
      <c r="L66" s="189"/>
      <c r="M66" s="189"/>
      <c r="P66"/>
      <c r="Q66"/>
      <c r="R66"/>
      <c r="S66"/>
      <c r="T66"/>
      <c r="U66"/>
      <c r="V66"/>
      <c r="W66"/>
      <c r="X66"/>
      <c r="Y66"/>
    </row>
    <row r="67" spans="1:25" s="1" customFormat="1" ht="30" customHeight="1" x14ac:dyDescent="0.25">
      <c r="A67"/>
      <c r="B67" s="176" t="s">
        <v>252</v>
      </c>
      <c r="C67" s="175"/>
      <c r="D67" s="177"/>
      <c r="E67" s="177"/>
      <c r="F67" s="177"/>
      <c r="G67" s="177"/>
      <c r="H67" s="177"/>
      <c r="I67" s="177"/>
      <c r="J67" s="177"/>
      <c r="K67" s="189"/>
      <c r="L67" s="189"/>
      <c r="M67" s="189"/>
      <c r="P67"/>
      <c r="Q67"/>
      <c r="R67"/>
      <c r="S67"/>
      <c r="T67"/>
      <c r="U67"/>
      <c r="V67"/>
      <c r="W67"/>
      <c r="X67"/>
      <c r="Y67"/>
    </row>
    <row r="68" spans="1:25" s="1" customFormat="1" ht="30" customHeight="1" x14ac:dyDescent="0.25">
      <c r="A68"/>
      <c r="B68" s="176"/>
      <c r="C68" s="175"/>
      <c r="D68" s="177"/>
      <c r="E68" s="177"/>
      <c r="F68" s="177"/>
      <c r="G68" s="177"/>
      <c r="H68" s="177"/>
      <c r="I68" s="177"/>
      <c r="J68" s="177"/>
      <c r="K68" s="189"/>
      <c r="L68" s="189"/>
      <c r="M68" s="189"/>
      <c r="P68"/>
      <c r="Q68"/>
      <c r="R68"/>
      <c r="S68"/>
      <c r="T68"/>
      <c r="U68"/>
      <c r="V68"/>
      <c r="W68"/>
      <c r="X68"/>
      <c r="Y68"/>
    </row>
    <row r="69" spans="1:25" s="1" customFormat="1" ht="30" customHeight="1" x14ac:dyDescent="0.25">
      <c r="A69"/>
      <c r="B69" s="120" t="s">
        <v>253</v>
      </c>
      <c r="C69" s="179" t="s">
        <v>77</v>
      </c>
      <c r="D69" s="122" t="s">
        <v>879</v>
      </c>
      <c r="E69" s="122" t="s">
        <v>256</v>
      </c>
      <c r="F69" s="177"/>
      <c r="G69" s="247" t="s">
        <v>258</v>
      </c>
      <c r="H69" s="388" t="s">
        <v>77</v>
      </c>
      <c r="I69" s="124" t="s">
        <v>880</v>
      </c>
      <c r="J69" s="124" t="s">
        <v>256</v>
      </c>
      <c r="K69" s="189"/>
      <c r="L69" s="189"/>
      <c r="M69" s="189"/>
      <c r="P69"/>
      <c r="Q69"/>
      <c r="R69"/>
      <c r="S69"/>
      <c r="T69"/>
      <c r="U69"/>
      <c r="V69"/>
      <c r="W69"/>
      <c r="X69"/>
      <c r="Y69"/>
    </row>
    <row r="70" spans="1:25" s="1" customFormat="1" ht="30" customHeight="1" x14ac:dyDescent="0.25">
      <c r="A70"/>
      <c r="B70" s="176" t="s">
        <v>125</v>
      </c>
      <c r="C70" s="178">
        <v>0.55000000000000004</v>
      </c>
      <c r="D70" s="180">
        <f>'Fatores de Emissão'!I99</f>
        <v>3.0562499999999999E-2</v>
      </c>
      <c r="E70" s="181">
        <f t="shared" ref="E70:E75" si="1">C70*D70</f>
        <v>1.6809375000000001E-2</v>
      </c>
      <c r="F70" s="177"/>
      <c r="G70" s="247" t="s">
        <v>125</v>
      </c>
      <c r="H70" s="388">
        <v>0.84</v>
      </c>
      <c r="I70" s="124">
        <f>'Fatores de Emissão'!I63</f>
        <v>6.4276816608996538E-3</v>
      </c>
      <c r="J70" s="389">
        <f>H70*I70</f>
        <v>5.3992525951557088E-3</v>
      </c>
      <c r="K70" s="189"/>
      <c r="L70" s="189"/>
      <c r="M70" s="189"/>
      <c r="P70"/>
      <c r="Q70"/>
      <c r="R70"/>
      <c r="S70"/>
      <c r="T70"/>
      <c r="U70"/>
      <c r="V70"/>
      <c r="W70"/>
      <c r="X70"/>
      <c r="Y70"/>
    </row>
    <row r="71" spans="1:25" s="1" customFormat="1" ht="30" customHeight="1" x14ac:dyDescent="0.25">
      <c r="A71"/>
      <c r="B71" s="176" t="s">
        <v>227</v>
      </c>
      <c r="C71" s="178">
        <v>0.38</v>
      </c>
      <c r="D71" s="180">
        <f>'Fatores de Emissão'!I93</f>
        <v>3.0562499999999999E-2</v>
      </c>
      <c r="E71" s="181">
        <f t="shared" si="1"/>
        <v>1.1613749999999999E-2</v>
      </c>
      <c r="F71" s="177"/>
      <c r="G71" s="247" t="s">
        <v>89</v>
      </c>
      <c r="H71" s="388">
        <v>0.16</v>
      </c>
      <c r="I71" s="124">
        <f>'Fatores de Emissão'!I68</f>
        <v>6.2449826989619374E-3</v>
      </c>
      <c r="J71" s="389">
        <f>H71*I71</f>
        <v>9.9919723183390999E-4</v>
      </c>
      <c r="K71" s="189"/>
      <c r="L71" s="189"/>
      <c r="M71" s="189"/>
      <c r="P71"/>
      <c r="Q71"/>
      <c r="R71"/>
      <c r="S71"/>
      <c r="T71"/>
      <c r="U71"/>
      <c r="V71"/>
      <c r="W71"/>
      <c r="X71"/>
      <c r="Y71"/>
    </row>
    <row r="72" spans="1:25" s="1" customFormat="1" ht="30" customHeight="1" x14ac:dyDescent="0.25">
      <c r="A72"/>
      <c r="B72" s="176" t="s">
        <v>230</v>
      </c>
      <c r="C72" s="178">
        <v>0.01</v>
      </c>
      <c r="D72" s="180">
        <f>'Fatores de Emissão'!I102</f>
        <v>3.0562499999999999E-2</v>
      </c>
      <c r="E72" s="181">
        <f t="shared" si="1"/>
        <v>3.0562500000000002E-4</v>
      </c>
      <c r="F72" s="177"/>
      <c r="G72" s="781" t="s">
        <v>246</v>
      </c>
      <c r="H72" s="782"/>
      <c r="I72" s="783"/>
      <c r="J72" s="786">
        <f>SUM(J66:J71)</f>
        <v>6.3984498269896188E-3</v>
      </c>
      <c r="K72" s="189"/>
      <c r="L72" s="189"/>
      <c r="M72" s="189"/>
      <c r="P72"/>
      <c r="Q72"/>
      <c r="R72"/>
      <c r="S72"/>
      <c r="T72"/>
      <c r="U72"/>
      <c r="V72"/>
      <c r="W72"/>
      <c r="X72"/>
      <c r="Y72"/>
    </row>
    <row r="73" spans="1:25" s="1" customFormat="1" ht="30" customHeight="1" x14ac:dyDescent="0.25">
      <c r="A73"/>
      <c r="B73" s="176" t="s">
        <v>255</v>
      </c>
      <c r="C73" s="178">
        <v>0.02</v>
      </c>
      <c r="D73" s="180">
        <f>'Fatores de Emissão'!G9</f>
        <v>8.712499999999998E-2</v>
      </c>
      <c r="E73" s="181">
        <f t="shared" si="1"/>
        <v>1.7424999999999997E-3</v>
      </c>
      <c r="F73" s="177"/>
      <c r="G73" s="177"/>
      <c r="H73" s="177"/>
      <c r="I73" s="177"/>
      <c r="J73" s="177"/>
      <c r="K73" s="189"/>
      <c r="L73" s="189"/>
      <c r="M73" s="189"/>
      <c r="P73"/>
      <c r="Q73"/>
      <c r="R73"/>
      <c r="S73"/>
      <c r="T73"/>
      <c r="U73"/>
      <c r="V73"/>
      <c r="W73"/>
      <c r="X73"/>
      <c r="Y73"/>
    </row>
    <row r="74" spans="1:25" s="1" customFormat="1" ht="30" customHeight="1" x14ac:dyDescent="0.25">
      <c r="A74"/>
      <c r="B74" s="176" t="s">
        <v>254</v>
      </c>
      <c r="C74" s="178">
        <v>0.02</v>
      </c>
      <c r="D74" s="180">
        <f>'Fatores de Emissão'!I96</f>
        <v>3.0562499999999999E-2</v>
      </c>
      <c r="E74" s="181">
        <f t="shared" si="1"/>
        <v>6.1125000000000003E-4</v>
      </c>
      <c r="F74" s="177"/>
      <c r="G74" s="177"/>
      <c r="H74" s="177"/>
      <c r="I74" s="177"/>
      <c r="J74" s="177"/>
      <c r="K74" s="189"/>
      <c r="L74" s="189"/>
      <c r="M74" s="189"/>
      <c r="P74"/>
      <c r="Q74"/>
      <c r="R74"/>
      <c r="S74"/>
      <c r="T74"/>
      <c r="U74"/>
      <c r="V74"/>
      <c r="W74"/>
      <c r="X74"/>
      <c r="Y74"/>
    </row>
    <row r="75" spans="1:25" s="1" customFormat="1" ht="30" customHeight="1" x14ac:dyDescent="0.25">
      <c r="A75"/>
      <c r="B75" s="176" t="s">
        <v>967</v>
      </c>
      <c r="C75" s="178">
        <v>0.02</v>
      </c>
      <c r="D75" s="180">
        <f>'Fatores de Emissão'!G10</f>
        <v>4.5937499999999992E-2</v>
      </c>
      <c r="E75" s="181">
        <f t="shared" si="1"/>
        <v>9.1874999999999986E-4</v>
      </c>
      <c r="F75" s="177"/>
      <c r="G75" s="188" t="s">
        <v>263</v>
      </c>
      <c r="H75" s="186" t="s">
        <v>9</v>
      </c>
      <c r="I75" s="177"/>
      <c r="J75" s="177"/>
      <c r="K75" s="189"/>
      <c r="L75" s="189"/>
      <c r="M75" s="189"/>
      <c r="P75"/>
      <c r="Q75"/>
      <c r="R75"/>
      <c r="S75"/>
      <c r="T75"/>
      <c r="U75"/>
      <c r="V75"/>
      <c r="W75"/>
      <c r="X75"/>
      <c r="Y75"/>
    </row>
    <row r="76" spans="1:25" s="1" customFormat="1" ht="30" customHeight="1" x14ac:dyDescent="0.25">
      <c r="A76"/>
      <c r="B76" s="182" t="s">
        <v>246</v>
      </c>
      <c r="C76" s="183">
        <f>SUM(C70:C75)</f>
        <v>1</v>
      </c>
      <c r="D76" s="184"/>
      <c r="E76" s="185">
        <f>SUM(E70:E75)</f>
        <v>3.2001250000000002E-2</v>
      </c>
      <c r="F76" s="177"/>
      <c r="G76" s="204" t="s">
        <v>275</v>
      </c>
      <c r="H76" s="205">
        <f>'Fatores de Emissão'!G50</f>
        <v>2E-3</v>
      </c>
      <c r="I76" s="177"/>
      <c r="J76" s="177"/>
      <c r="K76" s="189"/>
      <c r="L76" s="189"/>
      <c r="M76" s="189"/>
      <c r="P76"/>
      <c r="Q76"/>
      <c r="R76"/>
      <c r="S76"/>
      <c r="T76"/>
      <c r="U76"/>
      <c r="V76"/>
      <c r="W76"/>
      <c r="X76"/>
      <c r="Y76"/>
    </row>
    <row r="77" spans="1:25" s="1" customFormat="1" ht="30" customHeight="1" x14ac:dyDescent="0.25">
      <c r="A77"/>
      <c r="B77" s="175"/>
      <c r="C77" s="175"/>
      <c r="D77" s="177"/>
      <c r="E77" s="177"/>
      <c r="F77" s="177"/>
      <c r="G77" s="204"/>
      <c r="H77" s="205"/>
      <c r="I77" s="177"/>
      <c r="J77" s="177"/>
      <c r="K77" s="189"/>
      <c r="L77" s="189"/>
      <c r="M77" s="189"/>
      <c r="P77"/>
      <c r="Q77"/>
      <c r="R77"/>
      <c r="S77"/>
      <c r="T77"/>
      <c r="U77"/>
      <c r="V77"/>
      <c r="W77"/>
      <c r="X77"/>
      <c r="Y77"/>
    </row>
    <row r="78" spans="1:25" ht="49.9" customHeight="1" x14ac:dyDescent="0.25">
      <c r="B78" s="154" t="s">
        <v>971</v>
      </c>
      <c r="C78" s="155"/>
      <c r="D78" s="393" t="s">
        <v>341</v>
      </c>
      <c r="E78" s="775" t="s">
        <v>739</v>
      </c>
      <c r="F78" s="101"/>
      <c r="G78" s="187" t="s">
        <v>154</v>
      </c>
      <c r="H78" s="177">
        <f>'Fatores de Emissão'!G47</f>
        <v>2E-3</v>
      </c>
      <c r="I78" s="101"/>
      <c r="J78" s="101"/>
      <c r="K78" s="101"/>
      <c r="L78" s="101"/>
      <c r="M78" s="101"/>
      <c r="N78" s="101"/>
      <c r="O78" s="101"/>
    </row>
    <row r="79" spans="1:25" ht="49.9" customHeight="1" x14ac:dyDescent="0.25">
      <c r="B79" s="144" t="s">
        <v>262</v>
      </c>
      <c r="C79" s="150"/>
      <c r="D79" s="157">
        <f>(D50*$E$76/1000)</f>
        <v>0</v>
      </c>
      <c r="E79" s="157">
        <f>(E50*$E$76/1000)</f>
        <v>0</v>
      </c>
      <c r="F79" s="157"/>
      <c r="G79" s="187"/>
      <c r="H79" s="177"/>
      <c r="I79" s="157"/>
      <c r="J79" s="157"/>
      <c r="K79" s="157"/>
      <c r="L79" s="157"/>
      <c r="M79" s="157"/>
      <c r="N79" s="157"/>
      <c r="O79" s="157"/>
    </row>
    <row r="80" spans="1:25" ht="49.9" customHeight="1" x14ac:dyDescent="0.25">
      <c r="B80" s="144" t="s">
        <v>171</v>
      </c>
      <c r="C80" s="150"/>
      <c r="D80" s="157">
        <f>(D51*$J$72/1000)</f>
        <v>0</v>
      </c>
      <c r="E80" s="157">
        <f>(E51*$J$72/1000)</f>
        <v>0</v>
      </c>
      <c r="F80" s="157"/>
      <c r="G80" s="157"/>
      <c r="H80" s="157"/>
      <c r="I80" s="157"/>
      <c r="J80" s="157"/>
      <c r="K80" s="157"/>
      <c r="L80" s="157"/>
      <c r="M80" s="157"/>
      <c r="N80" s="157"/>
      <c r="O80" s="157"/>
    </row>
    <row r="81" spans="1:25" ht="49.9" customHeight="1" x14ac:dyDescent="0.25">
      <c r="A81" s="101"/>
      <c r="B81" s="144" t="s">
        <v>154</v>
      </c>
      <c r="C81" s="150"/>
      <c r="D81" s="157">
        <f>(D52*H78/1000)</f>
        <v>0</v>
      </c>
      <c r="E81" s="157">
        <f>(E52*H78/1000)</f>
        <v>0</v>
      </c>
      <c r="F81" s="157"/>
      <c r="G81" s="157"/>
      <c r="H81" s="157"/>
      <c r="I81" s="157"/>
      <c r="J81" s="392"/>
      <c r="K81" s="157"/>
      <c r="L81" s="157"/>
      <c r="M81" s="157"/>
      <c r="N81" s="157"/>
      <c r="O81" s="157"/>
    </row>
    <row r="82" spans="1:25" ht="49.9" customHeight="1" x14ac:dyDescent="0.25">
      <c r="A82" s="349"/>
      <c r="B82" s="250" t="s">
        <v>5</v>
      </c>
      <c r="C82" s="173"/>
      <c r="D82" s="174">
        <f>IFERROR(SUM(D79:D81),"")</f>
        <v>0</v>
      </c>
      <c r="E82" s="174">
        <f>IFERROR(SUM(E79:E81),"")</f>
        <v>0</v>
      </c>
      <c r="F82" s="189"/>
      <c r="G82" s="189"/>
      <c r="H82" s="189"/>
      <c r="I82" s="189"/>
      <c r="J82" s="189"/>
      <c r="K82" s="189"/>
      <c r="L82" s="189"/>
      <c r="M82" s="189"/>
      <c r="N82" s="189"/>
      <c r="O82" s="189"/>
    </row>
    <row r="83" spans="1:25" ht="49.9" customHeight="1" x14ac:dyDescent="0.25">
      <c r="A83" s="349"/>
      <c r="B83" s="788" t="s">
        <v>970</v>
      </c>
      <c r="C83" s="787"/>
      <c r="D83" s="268">
        <f>IFERROR(SUM(D82:E82),"")</f>
        <v>0</v>
      </c>
      <c r="E83" s="189"/>
      <c r="F83" s="360"/>
      <c r="G83" s="361"/>
      <c r="H83" s="124"/>
      <c r="I83" s="189"/>
      <c r="J83" s="189"/>
      <c r="K83" s="189"/>
      <c r="L83" s="360"/>
      <c r="M83" s="361"/>
    </row>
    <row r="84" spans="1:25" ht="30" customHeight="1" x14ac:dyDescent="0.25">
      <c r="A84" s="349"/>
      <c r="B84" s="141"/>
      <c r="C84" s="356"/>
      <c r="D84" s="157"/>
      <c r="E84" s="157"/>
      <c r="F84" s="157"/>
      <c r="G84" s="157"/>
      <c r="H84" s="157"/>
      <c r="I84" s="349"/>
      <c r="J84" s="349"/>
      <c r="K84" s="349"/>
      <c r="L84" s="349"/>
      <c r="M84" s="349"/>
    </row>
    <row r="85" spans="1:25" ht="30" customHeight="1" x14ac:dyDescent="0.25">
      <c r="A85" s="349"/>
      <c r="B85" s="141"/>
      <c r="C85" s="356"/>
      <c r="D85" s="157"/>
      <c r="E85" s="157"/>
      <c r="F85" s="157"/>
      <c r="G85" s="157"/>
      <c r="H85" s="157"/>
      <c r="I85" s="349"/>
      <c r="J85" s="349"/>
      <c r="K85" s="349"/>
      <c r="L85" s="349"/>
      <c r="M85" s="349"/>
    </row>
    <row r="86" spans="1:25" ht="30" customHeight="1" x14ac:dyDescent="0.25">
      <c r="A86" s="349"/>
      <c r="B86" s="141"/>
      <c r="C86" s="356"/>
      <c r="D86" s="157"/>
      <c r="E86" s="157"/>
      <c r="F86" s="157"/>
      <c r="G86" s="157"/>
      <c r="H86" s="157"/>
      <c r="I86" s="349"/>
      <c r="J86" s="349"/>
      <c r="K86" s="349"/>
      <c r="L86" s="349"/>
      <c r="M86" s="349"/>
    </row>
    <row r="87" spans="1:25" ht="30" customHeight="1" x14ac:dyDescent="0.25">
      <c r="A87" s="123"/>
      <c r="B87" s="141"/>
      <c r="C87" s="356"/>
      <c r="D87" s="157"/>
      <c r="E87" s="157"/>
      <c r="F87" s="157"/>
      <c r="G87" s="157"/>
      <c r="H87" s="157"/>
      <c r="I87" s="141"/>
      <c r="J87" s="141"/>
      <c r="K87" s="141"/>
      <c r="L87" s="141"/>
      <c r="M87" s="141"/>
    </row>
    <row r="88" spans="1:25" ht="30" customHeight="1" x14ac:dyDescent="0.25">
      <c r="A88" s="123"/>
      <c r="B88" s="357"/>
      <c r="C88" s="357"/>
      <c r="D88" s="101"/>
      <c r="E88" s="101"/>
      <c r="F88" s="101"/>
      <c r="G88" s="101"/>
      <c r="H88" s="101"/>
      <c r="I88" s="101"/>
      <c r="J88" s="101"/>
      <c r="K88" s="101"/>
      <c r="L88" s="101"/>
      <c r="M88" s="101"/>
    </row>
    <row r="89" spans="1:25" ht="30" customHeight="1" x14ac:dyDescent="0.25">
      <c r="A89" s="123"/>
      <c r="B89" s="141"/>
      <c r="C89" s="141"/>
      <c r="D89" s="141"/>
      <c r="E89" s="141"/>
      <c r="F89" s="141"/>
      <c r="G89" s="141"/>
      <c r="H89" s="141"/>
      <c r="I89" s="157"/>
      <c r="J89" s="157"/>
      <c r="K89" s="141"/>
      <c r="L89" s="141"/>
      <c r="M89" s="141"/>
    </row>
    <row r="90" spans="1:25" ht="30" customHeight="1" x14ac:dyDescent="0.25">
      <c r="A90" s="123"/>
      <c r="B90" s="141"/>
      <c r="C90" s="141"/>
      <c r="D90" s="141"/>
      <c r="E90" s="141"/>
      <c r="F90" s="141"/>
      <c r="G90" s="141"/>
      <c r="H90" s="141"/>
      <c r="I90" s="157"/>
      <c r="J90" s="157"/>
      <c r="K90" s="141"/>
      <c r="L90" s="141"/>
      <c r="M90" s="141"/>
    </row>
    <row r="91" spans="1:25" s="1" customFormat="1" ht="30" customHeight="1" x14ac:dyDescent="0.25">
      <c r="A91" s="123"/>
      <c r="B91" s="141"/>
      <c r="C91" s="141"/>
      <c r="D91" s="141"/>
      <c r="E91" s="141"/>
      <c r="F91" s="141"/>
      <c r="G91" s="141"/>
      <c r="H91" s="141"/>
      <c r="I91" s="157"/>
      <c r="J91" s="157"/>
      <c r="K91" s="141"/>
      <c r="L91" s="141"/>
      <c r="M91" s="141"/>
      <c r="P91"/>
      <c r="Q91"/>
      <c r="R91"/>
      <c r="S91"/>
      <c r="T91"/>
      <c r="U91"/>
      <c r="V91"/>
      <c r="W91"/>
      <c r="X91"/>
      <c r="Y91"/>
    </row>
    <row r="92" spans="1:25" s="1" customFormat="1" ht="30" customHeight="1" x14ac:dyDescent="0.25">
      <c r="A92" s="123"/>
      <c r="B92" s="141"/>
      <c r="C92" s="141"/>
      <c r="D92" s="141"/>
      <c r="E92" s="141"/>
      <c r="F92" s="141"/>
      <c r="G92" s="141"/>
      <c r="H92" s="141"/>
      <c r="I92" s="157"/>
      <c r="J92" s="157"/>
      <c r="K92" s="141"/>
      <c r="L92" s="141"/>
      <c r="M92" s="141"/>
      <c r="P92"/>
      <c r="Q92"/>
      <c r="R92"/>
      <c r="S92"/>
      <c r="T92"/>
      <c r="U92"/>
      <c r="V92"/>
      <c r="W92"/>
      <c r="X92"/>
      <c r="Y92"/>
    </row>
    <row r="93" spans="1:25" s="1" customFormat="1" ht="30" customHeight="1" x14ac:dyDescent="0.25">
      <c r="A93" s="123"/>
      <c r="B93" s="358"/>
      <c r="C93" s="141"/>
      <c r="D93" s="141"/>
      <c r="E93" s="141"/>
      <c r="F93" s="141"/>
      <c r="G93" s="141"/>
      <c r="H93" s="141"/>
      <c r="I93" s="157"/>
      <c r="J93" s="157"/>
      <c r="K93" s="141"/>
      <c r="L93" s="141"/>
      <c r="M93" s="141"/>
      <c r="P93"/>
      <c r="Q93"/>
      <c r="R93"/>
      <c r="S93"/>
      <c r="T93"/>
      <c r="U93"/>
      <c r="V93"/>
      <c r="W93"/>
      <c r="X93"/>
      <c r="Y93"/>
    </row>
    <row r="94" spans="1:25" s="1" customFormat="1" ht="30" customHeight="1" x14ac:dyDescent="0.25">
      <c r="A94" s="123"/>
      <c r="B94" s="358"/>
      <c r="C94" s="141"/>
      <c r="D94" s="124"/>
      <c r="E94" s="124"/>
      <c r="F94" s="124"/>
      <c r="G94" s="124"/>
      <c r="H94" s="124"/>
      <c r="I94" s="124"/>
      <c r="J94" s="124"/>
      <c r="K94" s="124"/>
      <c r="L94" s="124"/>
      <c r="M94" s="124"/>
      <c r="P94"/>
      <c r="Q94"/>
      <c r="R94"/>
      <c r="S94"/>
      <c r="T94"/>
      <c r="U94"/>
      <c r="V94"/>
      <c r="W94"/>
      <c r="X94"/>
      <c r="Y94"/>
    </row>
    <row r="95" spans="1:25" s="1" customFormat="1" ht="30" customHeight="1" x14ac:dyDescent="0.25">
      <c r="A95" s="123"/>
      <c r="B95" s="359"/>
      <c r="C95" s="358"/>
      <c r="D95" s="101"/>
      <c r="E95" s="101"/>
      <c r="F95" s="101"/>
      <c r="G95" s="101"/>
      <c r="H95" s="101"/>
      <c r="I95" s="101"/>
      <c r="J95" s="101"/>
      <c r="K95" s="101"/>
      <c r="L95" s="101"/>
      <c r="M95" s="101"/>
      <c r="P95"/>
      <c r="Q95"/>
      <c r="R95"/>
      <c r="S95"/>
      <c r="T95"/>
      <c r="U95"/>
      <c r="V95"/>
      <c r="W95"/>
      <c r="X95"/>
      <c r="Y95"/>
    </row>
    <row r="96" spans="1:25" s="1" customFormat="1" ht="30" customHeight="1" x14ac:dyDescent="0.25">
      <c r="A96" s="123"/>
      <c r="B96" s="141"/>
      <c r="C96" s="358"/>
      <c r="D96" s="157"/>
      <c r="E96" s="157"/>
      <c r="F96" s="157"/>
      <c r="G96" s="157"/>
      <c r="H96" s="157"/>
      <c r="I96" s="157"/>
      <c r="J96" s="157"/>
      <c r="K96" s="157"/>
      <c r="L96" s="157"/>
      <c r="M96" s="157"/>
      <c r="P96"/>
      <c r="Q96"/>
      <c r="R96"/>
      <c r="S96"/>
      <c r="T96"/>
      <c r="U96"/>
      <c r="V96"/>
      <c r="W96"/>
      <c r="X96"/>
      <c r="Y96"/>
    </row>
    <row r="97" spans="1:25" s="1" customFormat="1" ht="30" customHeight="1" x14ac:dyDescent="0.25">
      <c r="A97" s="123"/>
      <c r="B97" s="141"/>
      <c r="C97" s="358"/>
      <c r="D97" s="157"/>
      <c r="E97" s="157"/>
      <c r="F97" s="157"/>
      <c r="G97" s="157"/>
      <c r="H97" s="157"/>
      <c r="I97" s="157"/>
      <c r="J97" s="157"/>
      <c r="K97" s="157"/>
      <c r="L97" s="157"/>
      <c r="M97" s="157"/>
      <c r="P97"/>
      <c r="Q97"/>
      <c r="R97"/>
      <c r="S97"/>
      <c r="T97"/>
      <c r="U97"/>
      <c r="V97"/>
      <c r="W97"/>
      <c r="X97"/>
      <c r="Y97"/>
    </row>
    <row r="98" spans="1:25" s="1" customFormat="1" ht="30" customHeight="1" x14ac:dyDescent="0.25">
      <c r="A98" s="158"/>
      <c r="B98" s="141"/>
      <c r="C98" s="358"/>
      <c r="D98" s="157"/>
      <c r="E98" s="157"/>
      <c r="F98" s="157"/>
      <c r="G98" s="157"/>
      <c r="H98" s="157"/>
      <c r="I98" s="157"/>
      <c r="J98" s="157"/>
      <c r="K98" s="157"/>
      <c r="L98" s="157"/>
      <c r="M98" s="157"/>
      <c r="P98"/>
      <c r="Q98"/>
      <c r="R98"/>
      <c r="S98"/>
      <c r="T98"/>
      <c r="U98"/>
      <c r="V98"/>
      <c r="W98"/>
      <c r="X98"/>
      <c r="Y98"/>
    </row>
    <row r="99" spans="1:25" s="1" customFormat="1" ht="30" customHeight="1" x14ac:dyDescent="0.25">
      <c r="A99" s="123"/>
      <c r="B99" s="141"/>
      <c r="C99" s="358"/>
      <c r="D99" s="157"/>
      <c r="E99" s="157"/>
      <c r="F99" s="157"/>
      <c r="G99" s="157"/>
      <c r="H99" s="157"/>
      <c r="I99" s="157"/>
      <c r="J99" s="157"/>
      <c r="K99" s="157"/>
      <c r="L99" s="157"/>
      <c r="M99" s="157"/>
      <c r="P99"/>
      <c r="Q99"/>
      <c r="R99"/>
      <c r="S99"/>
      <c r="T99"/>
      <c r="U99"/>
      <c r="V99"/>
      <c r="W99"/>
      <c r="X99"/>
      <c r="Y99"/>
    </row>
    <row r="100" spans="1:25" s="1" customFormat="1" ht="30" customHeight="1" x14ac:dyDescent="0.25">
      <c r="A100" s="123"/>
      <c r="B100" s="358"/>
      <c r="C100" s="358"/>
      <c r="D100" s="157"/>
      <c r="E100" s="157"/>
      <c r="F100" s="157"/>
      <c r="G100" s="157"/>
      <c r="H100" s="157"/>
      <c r="I100" s="157"/>
      <c r="J100" s="157"/>
      <c r="K100" s="157"/>
      <c r="L100" s="157"/>
      <c r="M100" s="157"/>
      <c r="P100"/>
      <c r="Q100"/>
      <c r="R100"/>
      <c r="S100"/>
      <c r="T100"/>
      <c r="U100"/>
      <c r="V100"/>
      <c r="W100"/>
      <c r="X100"/>
      <c r="Y100"/>
    </row>
    <row r="101" spans="1:25" s="1" customFormat="1" ht="30" customHeight="1" x14ac:dyDescent="0.25">
      <c r="A101"/>
      <c r="B101" s="100"/>
      <c r="C101" s="3"/>
      <c r="D101" s="189"/>
      <c r="E101" s="189"/>
      <c r="F101" s="189"/>
      <c r="G101" s="189"/>
      <c r="H101" s="189"/>
      <c r="I101" s="189"/>
      <c r="J101" s="189"/>
      <c r="K101" s="189"/>
      <c r="L101" s="189"/>
      <c r="M101" s="189"/>
      <c r="P101"/>
      <c r="Q101"/>
      <c r="R101"/>
      <c r="S101"/>
      <c r="T101"/>
      <c r="U101"/>
      <c r="V101"/>
      <c r="W101"/>
      <c r="X101"/>
      <c r="Y101"/>
    </row>
    <row r="102" spans="1:25" s="1" customFormat="1" ht="30" customHeight="1" x14ac:dyDescent="0.25">
      <c r="A102"/>
      <c r="B102" s="3"/>
      <c r="C102" s="3"/>
      <c r="D102" s="189"/>
      <c r="E102" s="189"/>
      <c r="F102" s="360"/>
      <c r="G102" s="361"/>
      <c r="H102" s="124"/>
      <c r="I102" s="189"/>
      <c r="J102" s="189"/>
      <c r="K102" s="189"/>
      <c r="L102" s="360"/>
      <c r="M102" s="361"/>
      <c r="P102"/>
      <c r="Q102"/>
      <c r="R102"/>
      <c r="S102"/>
      <c r="T102"/>
      <c r="U102"/>
      <c r="V102"/>
      <c r="W102"/>
      <c r="X102"/>
      <c r="Y102"/>
    </row>
    <row r="108" spans="1:25" s="1" customFormat="1" ht="30" customHeight="1" x14ac:dyDescent="0.25">
      <c r="A108"/>
      <c r="B108" s="193" t="s">
        <v>271</v>
      </c>
      <c r="C108" s="191">
        <f>(H101+M101)+C63</f>
        <v>0</v>
      </c>
      <c r="D108" s="191"/>
      <c r="E108" s="191"/>
      <c r="F108" s="191"/>
      <c r="G108" s="191"/>
      <c r="H108" s="192"/>
      <c r="I108" s="191"/>
      <c r="J108" s="191"/>
      <c r="K108" s="191"/>
      <c r="L108" s="191"/>
      <c r="M108" s="191"/>
      <c r="P108"/>
      <c r="Q108"/>
      <c r="R108"/>
      <c r="S108"/>
      <c r="T108"/>
      <c r="U108"/>
      <c r="V108"/>
      <c r="W108"/>
      <c r="X108"/>
      <c r="Y108"/>
    </row>
  </sheetData>
  <mergeCells count="3">
    <mergeCell ref="K60:L60"/>
    <mergeCell ref="G63:H63"/>
    <mergeCell ref="D42:E42"/>
  </mergeCell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5EBD-70AE-4C53-AD00-598CDCA09944}">
  <sheetPr>
    <tabColor rgb="FF02A39C"/>
  </sheetPr>
  <dimension ref="A2:W179"/>
  <sheetViews>
    <sheetView showGridLines="0" zoomScale="66" zoomScaleNormal="66" workbookViewId="0">
      <pane ySplit="2" topLeftCell="A3" activePane="bottomLeft" state="frozen"/>
      <selection activeCell="D13" sqref="D13"/>
      <selection pane="bottomLeft" activeCell="K5" sqref="K5:L5"/>
    </sheetView>
  </sheetViews>
  <sheetFormatPr defaultRowHeight="15" x14ac:dyDescent="0.25"/>
  <cols>
    <col min="1" max="1" width="3.7109375" customWidth="1"/>
    <col min="2" max="2" width="2.7109375" customWidth="1"/>
    <col min="3" max="3" width="48" customWidth="1"/>
    <col min="4" max="4" width="16.28515625" customWidth="1"/>
    <col min="5" max="5" width="38.42578125" customWidth="1"/>
    <col min="6" max="7" width="37.7109375" customWidth="1"/>
    <col min="8" max="8" width="3.7109375" customWidth="1"/>
    <col min="9" max="9" width="9.28515625" customWidth="1"/>
    <col min="10" max="10" width="37.42578125" customWidth="1"/>
    <col min="11" max="11" width="22.28515625" customWidth="1"/>
    <col min="12" max="12" width="30.7109375" customWidth="1"/>
    <col min="13" max="13" width="21.7109375" customWidth="1"/>
    <col min="15" max="18" width="15.7109375" customWidth="1"/>
    <col min="20" max="21" width="40.7109375" hidden="1" customWidth="1"/>
  </cols>
  <sheetData>
    <row r="2" spans="1:23" s="4" customFormat="1" ht="70.150000000000006" customHeight="1" x14ac:dyDescent="0.25">
      <c r="A2" s="297"/>
      <c r="C2" s="373" t="s">
        <v>794</v>
      </c>
      <c r="D2" s="52"/>
      <c r="E2" s="52"/>
      <c r="F2" s="52"/>
      <c r="G2" s="52"/>
      <c r="H2" s="52"/>
      <c r="I2" s="52"/>
      <c r="J2" s="52"/>
      <c r="K2" s="52"/>
      <c r="L2" s="52"/>
      <c r="M2" s="52"/>
      <c r="N2" s="52"/>
      <c r="O2" s="52"/>
      <c r="P2" s="52"/>
      <c r="Q2" s="52"/>
      <c r="R2" s="52"/>
      <c r="S2" s="52"/>
      <c r="T2" s="52"/>
      <c r="U2" s="52"/>
      <c r="V2" s="52"/>
      <c r="W2" s="52"/>
    </row>
    <row r="4" spans="1:23" ht="15.75" thickBot="1" x14ac:dyDescent="0.3"/>
    <row r="5" spans="1:23" ht="40.15" customHeight="1" thickBot="1" x14ac:dyDescent="0.3">
      <c r="B5" s="66"/>
      <c r="C5" s="66" t="s">
        <v>497</v>
      </c>
      <c r="D5" s="57"/>
      <c r="E5" s="57"/>
      <c r="F5" s="57"/>
      <c r="G5" s="57"/>
      <c r="H5" s="58"/>
      <c r="I5" s="56"/>
      <c r="J5" s="562" t="s">
        <v>608</v>
      </c>
      <c r="K5" s="1452" t="s">
        <v>603</v>
      </c>
      <c r="L5" s="1453"/>
      <c r="T5" s="560" t="s">
        <v>603</v>
      </c>
      <c r="U5" s="554" t="s">
        <v>979</v>
      </c>
    </row>
    <row r="6" spans="1:23" ht="15" customHeight="1" x14ac:dyDescent="0.25">
      <c r="B6" s="512"/>
      <c r="C6" s="56"/>
      <c r="D6" s="56"/>
      <c r="E6" s="56"/>
      <c r="F6" s="56"/>
      <c r="G6" s="56"/>
      <c r="H6" s="511"/>
      <c r="I6" s="56"/>
      <c r="J6" s="1454" t="str">
        <f>IF(K5="","",VLOOKUP(K5,T5:U7,2,FALSE))</f>
        <v>Cálculo das emissões absolutas (Ab), das emissões emissões de referência (Be) e das emissões relativas (Re= Ab - Be)  de projetos relacionados com parques de estacionamento associados a interfaces modais que impliquem transferência modal.</v>
      </c>
      <c r="K6" s="1455"/>
      <c r="L6" s="1456"/>
      <c r="T6" s="560" t="s">
        <v>606</v>
      </c>
      <c r="U6" s="553" t="s">
        <v>1276</v>
      </c>
    </row>
    <row r="7" spans="1:23" ht="24" customHeight="1" x14ac:dyDescent="0.25">
      <c r="B7" s="59"/>
      <c r="C7" s="116" t="s">
        <v>489</v>
      </c>
      <c r="D7" s="115"/>
      <c r="E7" s="115"/>
      <c r="F7" s="115"/>
      <c r="G7" s="115"/>
      <c r="H7" s="69"/>
      <c r="I7" s="54"/>
      <c r="J7" s="1457"/>
      <c r="K7" s="1458"/>
      <c r="L7" s="1459"/>
      <c r="T7" s="560"/>
      <c r="U7" s="561" t="s">
        <v>978</v>
      </c>
    </row>
    <row r="8" spans="1:23" ht="24" customHeight="1" x14ac:dyDescent="0.25">
      <c r="B8" s="59"/>
      <c r="C8" s="92"/>
      <c r="D8" s="92"/>
      <c r="E8" s="92"/>
      <c r="F8" s="92"/>
      <c r="G8" s="92"/>
      <c r="H8" s="69"/>
      <c r="I8" s="54"/>
      <c r="J8" s="1457"/>
      <c r="K8" s="1458"/>
      <c r="L8" s="1459"/>
    </row>
    <row r="9" spans="1:23" ht="24" customHeight="1" thickBot="1" x14ac:dyDescent="0.3">
      <c r="B9" s="59"/>
      <c r="C9" s="686" t="s">
        <v>634</v>
      </c>
      <c r="D9" s="687"/>
      <c r="E9" s="687"/>
      <c r="F9" s="687"/>
      <c r="G9" s="687"/>
      <c r="H9" s="69"/>
      <c r="I9" s="54"/>
      <c r="J9" s="1460"/>
      <c r="K9" s="1461"/>
      <c r="L9" s="1462"/>
    </row>
    <row r="10" spans="1:23" ht="43.15" customHeight="1" x14ac:dyDescent="0.25">
      <c r="B10" s="59"/>
      <c r="C10" s="564" t="s">
        <v>611</v>
      </c>
      <c r="D10" s="1424" t="s">
        <v>622</v>
      </c>
      <c r="E10" s="1425"/>
      <c r="F10" s="1425"/>
      <c r="G10" s="1426"/>
      <c r="H10" s="69"/>
      <c r="I10" s="54"/>
      <c r="J10" s="55"/>
      <c r="K10" s="48"/>
      <c r="T10" s="560"/>
    </row>
    <row r="11" spans="1:23" ht="24" customHeight="1" x14ac:dyDescent="0.25">
      <c r="B11" s="59"/>
      <c r="C11" s="684"/>
      <c r="D11" s="1427" t="s">
        <v>635</v>
      </c>
      <c r="E11" s="1428"/>
      <c r="F11" s="1428"/>
      <c r="G11" s="1429"/>
      <c r="H11" s="69"/>
      <c r="I11" s="54"/>
      <c r="J11" s="55"/>
      <c r="K11" s="48"/>
    </row>
    <row r="12" spans="1:23" ht="24" customHeight="1" x14ac:dyDescent="0.25">
      <c r="B12" s="59"/>
      <c r="C12" s="684"/>
      <c r="D12" s="1430" t="s">
        <v>636</v>
      </c>
      <c r="E12" s="1431"/>
      <c r="F12" s="1431"/>
      <c r="G12" s="1432"/>
      <c r="H12" s="69"/>
      <c r="I12" s="54"/>
      <c r="J12" s="55"/>
      <c r="K12" s="48"/>
    </row>
    <row r="13" spans="1:23" ht="79.900000000000006" customHeight="1" x14ac:dyDescent="0.25">
      <c r="B13" s="59"/>
      <c r="C13" s="685"/>
      <c r="D13" s="1424" t="s">
        <v>836</v>
      </c>
      <c r="E13" s="1425"/>
      <c r="F13" s="1425"/>
      <c r="G13" s="1426"/>
      <c r="H13" s="69"/>
      <c r="I13" s="54"/>
      <c r="J13" s="55"/>
      <c r="K13" s="48"/>
    </row>
    <row r="14" spans="1:23" ht="40.15" customHeight="1" x14ac:dyDescent="0.25">
      <c r="B14" s="59"/>
      <c r="C14" s="1433" t="s">
        <v>609</v>
      </c>
      <c r="D14" s="1427" t="s">
        <v>1147</v>
      </c>
      <c r="E14" s="1428"/>
      <c r="F14" s="1428"/>
      <c r="G14" s="1429"/>
      <c r="H14" s="69"/>
      <c r="I14" s="54"/>
      <c r="J14" s="55"/>
      <c r="K14" s="48"/>
    </row>
    <row r="15" spans="1:23" ht="24" customHeight="1" x14ac:dyDescent="0.25">
      <c r="B15" s="59"/>
      <c r="C15" s="1434"/>
      <c r="D15" s="1436" t="s">
        <v>610</v>
      </c>
      <c r="E15" s="1437"/>
      <c r="F15" s="1437"/>
      <c r="G15" s="1438"/>
      <c r="H15" s="69"/>
      <c r="I15" s="54"/>
      <c r="J15" s="55"/>
      <c r="K15" s="48"/>
    </row>
    <row r="16" spans="1:23" ht="24" customHeight="1" x14ac:dyDescent="0.25">
      <c r="B16" s="59"/>
      <c r="C16" s="1434"/>
      <c r="D16" s="1439" t="s">
        <v>837</v>
      </c>
      <c r="E16" s="1440"/>
      <c r="F16" s="1440"/>
      <c r="G16" s="1441"/>
      <c r="H16" s="69"/>
      <c r="I16" s="54"/>
      <c r="J16" s="55"/>
      <c r="K16" s="48"/>
    </row>
    <row r="17" spans="2:21" ht="40.9" customHeight="1" x14ac:dyDescent="0.25">
      <c r="B17" s="59"/>
      <c r="C17" s="1434"/>
      <c r="D17" s="1442" t="s">
        <v>1156</v>
      </c>
      <c r="E17" s="1334"/>
      <c r="F17" s="1334"/>
      <c r="G17" s="1443"/>
      <c r="H17" s="69"/>
      <c r="I17" s="54"/>
      <c r="J17" s="55"/>
    </row>
    <row r="18" spans="2:21" ht="40.9" customHeight="1" x14ac:dyDescent="0.25">
      <c r="B18" s="59"/>
      <c r="C18" s="1435"/>
      <c r="D18" s="1444" t="s">
        <v>726</v>
      </c>
      <c r="E18" s="1445"/>
      <c r="F18" s="1445"/>
      <c r="G18" s="1446"/>
      <c r="H18" s="69"/>
      <c r="I18" s="54"/>
      <c r="J18" s="55"/>
    </row>
    <row r="19" spans="2:21" ht="24" customHeight="1" thickBot="1" x14ac:dyDescent="0.3">
      <c r="B19" s="59"/>
      <c r="C19" s="92"/>
      <c r="D19" s="92"/>
      <c r="E19" s="92"/>
      <c r="F19" s="92"/>
      <c r="G19" s="92"/>
      <c r="H19" s="69"/>
      <c r="I19" s="54"/>
      <c r="J19" s="55"/>
    </row>
    <row r="20" spans="2:21" ht="45.6" customHeight="1" thickBot="1" x14ac:dyDescent="0.3">
      <c r="B20" s="59"/>
      <c r="C20" s="298" t="s">
        <v>202</v>
      </c>
      <c r="D20" s="218"/>
      <c r="E20" s="219" t="s">
        <v>195</v>
      </c>
      <c r="F20" s="219" t="s">
        <v>157</v>
      </c>
      <c r="G20" s="220" t="s">
        <v>623</v>
      </c>
      <c r="H20" s="69"/>
      <c r="I20" s="54"/>
      <c r="J20" s="562" t="s">
        <v>608</v>
      </c>
      <c r="K20" s="1452" t="s">
        <v>614</v>
      </c>
      <c r="L20" s="1453"/>
      <c r="M20" s="88"/>
      <c r="O20" s="50"/>
    </row>
    <row r="21" spans="2:21" ht="70.150000000000006" customHeight="1" x14ac:dyDescent="0.25">
      <c r="B21" s="59"/>
      <c r="C21" s="291" t="s">
        <v>319</v>
      </c>
      <c r="D21" s="1235" t="s">
        <v>617</v>
      </c>
      <c r="E21" s="339" t="s">
        <v>288</v>
      </c>
      <c r="F21" s="1104"/>
      <c r="G21" s="1239" t="s">
        <v>482</v>
      </c>
      <c r="H21" s="69"/>
      <c r="I21" s="54"/>
      <c r="J21" s="1454" t="str">
        <f>IF(K20="","",VLOOKUP(K20,T21:U22,2,FALSE))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electricidade (kWh/km) especifico do transporte e o Número médio de passageiros por autocarro. Os fatores de emissão resultantes (campos a verde)  devem ser introduzidos na coluna "Valor" a azul do respectivo tipo de transporte.</v>
      </c>
      <c r="K21" s="1455"/>
      <c r="L21" s="1456"/>
      <c r="M21" s="444"/>
      <c r="O21" s="1450"/>
      <c r="P21" s="1450"/>
      <c r="Q21" s="1450"/>
      <c r="R21" s="1450"/>
      <c r="T21" s="41" t="s">
        <v>614</v>
      </c>
      <c r="U21" s="46" t="s">
        <v>699</v>
      </c>
    </row>
    <row r="22" spans="2:21" ht="30" customHeight="1" x14ac:dyDescent="0.25">
      <c r="B22" s="59"/>
      <c r="C22" s="298" t="s">
        <v>1003</v>
      </c>
      <c r="D22" s="218"/>
      <c r="E22" s="219" t="s">
        <v>195</v>
      </c>
      <c r="F22" s="219" t="s">
        <v>157</v>
      </c>
      <c r="G22" s="220" t="s">
        <v>623</v>
      </c>
      <c r="H22" s="69"/>
      <c r="I22" s="54"/>
      <c r="J22" s="1457"/>
      <c r="K22" s="1458"/>
      <c r="L22" s="1459"/>
      <c r="M22" s="100"/>
      <c r="O22" s="254"/>
      <c r="P22" s="100"/>
      <c r="Q22" s="100"/>
      <c r="R22" s="100"/>
      <c r="T22" s="554" t="s">
        <v>693</v>
      </c>
      <c r="U22" s="41" t="s">
        <v>697</v>
      </c>
    </row>
    <row r="23" spans="2:21" ht="70.150000000000006" customHeight="1" thickBot="1" x14ac:dyDescent="0.3">
      <c r="B23" s="59"/>
      <c r="C23" s="293" t="s">
        <v>993</v>
      </c>
      <c r="D23" s="292" t="s">
        <v>616</v>
      </c>
      <c r="E23" s="1105" t="s">
        <v>146</v>
      </c>
      <c r="F23" s="1105"/>
      <c r="G23" s="1239" t="s">
        <v>482</v>
      </c>
      <c r="H23" s="69"/>
      <c r="I23" s="54"/>
      <c r="J23" s="1460"/>
      <c r="K23" s="1461"/>
      <c r="L23" s="1462"/>
      <c r="M23" s="88"/>
      <c r="O23" s="1451"/>
      <c r="P23" s="1451"/>
      <c r="Q23" s="1451"/>
      <c r="R23" s="1451"/>
    </row>
    <row r="24" spans="2:21" ht="70.150000000000006" customHeight="1" x14ac:dyDescent="0.25">
      <c r="B24" s="59"/>
      <c r="C24" s="293" t="s">
        <v>992</v>
      </c>
      <c r="D24" s="292" t="s">
        <v>616</v>
      </c>
      <c r="E24" s="1105" t="s">
        <v>146</v>
      </c>
      <c r="F24" s="1105"/>
      <c r="G24" s="1239" t="s">
        <v>482</v>
      </c>
      <c r="H24" s="69"/>
      <c r="I24" s="54"/>
      <c r="J24" s="291"/>
      <c r="K24" s="291"/>
      <c r="L24" s="291"/>
      <c r="M24" s="88"/>
      <c r="O24" s="1451"/>
      <c r="P24" s="1451"/>
      <c r="Q24" s="1451"/>
      <c r="R24" s="1451"/>
    </row>
    <row r="25" spans="2:21" ht="70.150000000000006" customHeight="1" x14ac:dyDescent="0.25">
      <c r="B25" s="59"/>
      <c r="C25" s="293" t="s">
        <v>1034</v>
      </c>
      <c r="D25" s="292" t="s">
        <v>616</v>
      </c>
      <c r="E25" s="1105" t="s">
        <v>146</v>
      </c>
      <c r="F25" s="1105"/>
      <c r="G25" s="1239" t="s">
        <v>482</v>
      </c>
      <c r="H25" s="69"/>
      <c r="I25" s="54"/>
      <c r="J25" s="291"/>
      <c r="K25" s="291"/>
      <c r="L25" s="291"/>
      <c r="M25" s="88"/>
      <c r="O25" s="1451"/>
      <c r="P25" s="1451"/>
      <c r="Q25" s="1451"/>
      <c r="R25" s="1451"/>
    </row>
    <row r="26" spans="2:21" ht="30" customHeight="1" x14ac:dyDescent="0.25">
      <c r="B26" s="59"/>
      <c r="C26" s="298" t="s">
        <v>1033</v>
      </c>
      <c r="D26" s="218"/>
      <c r="E26" s="219" t="s">
        <v>195</v>
      </c>
      <c r="F26" s="219" t="s">
        <v>157</v>
      </c>
      <c r="G26" s="220" t="s">
        <v>623</v>
      </c>
      <c r="H26" s="69"/>
      <c r="I26" s="54"/>
      <c r="J26" s="565"/>
      <c r="K26" s="566"/>
      <c r="L26" s="445"/>
      <c r="M26" s="444"/>
      <c r="O26" s="1451"/>
      <c r="P26" s="1451"/>
      <c r="Q26" s="1451"/>
      <c r="R26" s="1451"/>
    </row>
    <row r="27" spans="2:21" ht="70.150000000000006" customHeight="1" x14ac:dyDescent="0.25">
      <c r="B27" s="59"/>
      <c r="C27" s="293" t="s">
        <v>991</v>
      </c>
      <c r="D27" s="292" t="s">
        <v>616</v>
      </c>
      <c r="E27" s="1105" t="s">
        <v>146</v>
      </c>
      <c r="F27" s="1105"/>
      <c r="G27" s="1239" t="s">
        <v>482</v>
      </c>
      <c r="H27" s="69"/>
      <c r="I27" s="54"/>
      <c r="J27" s="1458"/>
      <c r="K27" s="1458"/>
      <c r="L27" s="1451"/>
      <c r="M27" s="445"/>
      <c r="O27" s="255"/>
      <c r="P27" s="256"/>
      <c r="Q27" s="256"/>
      <c r="R27" s="256"/>
    </row>
    <row r="28" spans="2:21" ht="70.150000000000006" customHeight="1" x14ac:dyDescent="0.25">
      <c r="B28" s="59"/>
      <c r="C28" s="293" t="s">
        <v>990</v>
      </c>
      <c r="D28" s="292" t="s">
        <v>616</v>
      </c>
      <c r="E28" s="1105" t="s">
        <v>146</v>
      </c>
      <c r="F28" s="1105"/>
      <c r="G28" s="1239" t="s">
        <v>482</v>
      </c>
      <c r="H28" s="69"/>
      <c r="I28" s="54"/>
      <c r="J28" s="1458"/>
      <c r="K28" s="1458"/>
      <c r="L28" s="1451"/>
      <c r="M28" s="445"/>
      <c r="O28" s="255"/>
      <c r="P28" s="256"/>
      <c r="Q28" s="256"/>
      <c r="R28" s="256"/>
    </row>
    <row r="29" spans="2:21" ht="70.150000000000006" customHeight="1" x14ac:dyDescent="0.25">
      <c r="B29" s="59"/>
      <c r="C29" s="291" t="s">
        <v>989</v>
      </c>
      <c r="D29" s="309" t="s">
        <v>616</v>
      </c>
      <c r="E29" s="1262" t="s">
        <v>146</v>
      </c>
      <c r="F29" s="1105"/>
      <c r="G29" s="1239" t="s">
        <v>482</v>
      </c>
      <c r="H29" s="69"/>
      <c r="I29" s="54"/>
      <c r="J29" s="1458"/>
      <c r="K29" s="1458"/>
      <c r="L29" s="1451"/>
      <c r="M29" s="445"/>
      <c r="O29" s="255"/>
      <c r="P29" s="256"/>
      <c r="Q29" s="256"/>
      <c r="R29" s="256"/>
    </row>
    <row r="30" spans="2:21" ht="30" customHeight="1" x14ac:dyDescent="0.25">
      <c r="B30" s="59"/>
      <c r="C30" s="298" t="s">
        <v>985</v>
      </c>
      <c r="D30" s="218"/>
      <c r="E30" s="219" t="s">
        <v>195</v>
      </c>
      <c r="F30" s="219" t="s">
        <v>157</v>
      </c>
      <c r="G30" s="220" t="s">
        <v>623</v>
      </c>
      <c r="H30" s="69"/>
      <c r="J30" s="1458"/>
      <c r="K30" s="1458"/>
      <c r="L30" s="1451"/>
      <c r="M30" s="307"/>
    </row>
    <row r="31" spans="2:21" ht="60" customHeight="1" x14ac:dyDescent="0.25">
      <c r="B31" s="59"/>
      <c r="C31" s="293" t="s">
        <v>988</v>
      </c>
      <c r="D31" s="292" t="s">
        <v>616</v>
      </c>
      <c r="E31" s="339" t="s">
        <v>442</v>
      </c>
      <c r="F31" s="1236"/>
      <c r="G31" s="1239" t="s">
        <v>482</v>
      </c>
      <c r="H31" s="69"/>
      <c r="J31" s="1398"/>
      <c r="K31" s="1398"/>
      <c r="L31" s="256"/>
      <c r="M31" s="394"/>
    </row>
    <row r="32" spans="2:21" ht="70.150000000000006" customHeight="1" x14ac:dyDescent="0.25">
      <c r="B32" s="59"/>
      <c r="C32" s="293" t="s">
        <v>1012</v>
      </c>
      <c r="D32" s="309" t="s">
        <v>616</v>
      </c>
      <c r="E32" s="339" t="s">
        <v>442</v>
      </c>
      <c r="F32" s="1105"/>
      <c r="G32" s="1239" t="s">
        <v>482</v>
      </c>
      <c r="H32" s="69"/>
      <c r="I32" s="54"/>
      <c r="J32" s="705"/>
      <c r="K32" s="705"/>
      <c r="L32" s="55"/>
    </row>
    <row r="33" spans="1:13" ht="19.899999999999999" customHeight="1" x14ac:dyDescent="0.25">
      <c r="B33" s="59"/>
      <c r="C33" s="87"/>
      <c r="D33" s="88"/>
      <c r="E33" s="88"/>
      <c r="F33" s="88"/>
      <c r="G33" s="88"/>
      <c r="H33" s="69"/>
      <c r="I33" s="54"/>
    </row>
    <row r="34" spans="1:13" ht="24" customHeight="1" x14ac:dyDescent="0.25">
      <c r="B34" s="59"/>
      <c r="C34" s="116" t="s">
        <v>490</v>
      </c>
      <c r="D34" s="115"/>
      <c r="E34" s="115"/>
      <c r="F34" s="115"/>
      <c r="G34" s="115"/>
      <c r="H34" s="69"/>
      <c r="I34" s="54"/>
      <c r="J34" s="255"/>
      <c r="K34" s="256"/>
      <c r="L34" s="256"/>
      <c r="M34" s="256"/>
    </row>
    <row r="35" spans="1:13" ht="24" customHeight="1" x14ac:dyDescent="0.25">
      <c r="B35" s="59"/>
      <c r="C35" s="92"/>
      <c r="D35" s="92"/>
      <c r="E35" s="92"/>
      <c r="F35" s="92"/>
      <c r="G35" s="92"/>
      <c r="H35" s="69"/>
      <c r="I35" s="54"/>
    </row>
    <row r="36" spans="1:13" ht="24" customHeight="1" x14ac:dyDescent="0.25">
      <c r="B36" s="59"/>
      <c r="C36" s="1463" t="s">
        <v>634</v>
      </c>
      <c r="D36" s="1464"/>
      <c r="E36" s="1464"/>
      <c r="F36" s="1464"/>
      <c r="G36" s="1464"/>
      <c r="H36" s="69"/>
      <c r="I36" s="54"/>
    </row>
    <row r="37" spans="1:13" ht="27.6" customHeight="1" x14ac:dyDescent="0.25">
      <c r="B37" s="59"/>
      <c r="C37" s="1433" t="s">
        <v>621</v>
      </c>
      <c r="D37" s="1465" t="s">
        <v>863</v>
      </c>
      <c r="E37" s="1465"/>
      <c r="F37" s="1465"/>
      <c r="G37" s="1465"/>
      <c r="H37" s="69"/>
      <c r="I37" s="54"/>
      <c r="J37" s="55"/>
      <c r="K37" s="48"/>
    </row>
    <row r="38" spans="1:13" ht="60" customHeight="1" x14ac:dyDescent="0.25">
      <c r="B38" s="59"/>
      <c r="C38" s="1434"/>
      <c r="D38" s="1447" t="s">
        <v>1349</v>
      </c>
      <c r="E38" s="1448"/>
      <c r="F38" s="1448"/>
      <c r="G38" s="1449"/>
      <c r="H38" s="69"/>
      <c r="I38" s="54"/>
      <c r="J38" s="55"/>
      <c r="K38" s="48"/>
    </row>
    <row r="39" spans="1:13" ht="36.6" customHeight="1" x14ac:dyDescent="0.25">
      <c r="B39" s="59"/>
      <c r="C39" s="1434"/>
      <c r="D39" s="1447" t="s">
        <v>995</v>
      </c>
      <c r="E39" s="1448"/>
      <c r="F39" s="1448"/>
      <c r="G39" s="1449"/>
      <c r="H39" s="69"/>
      <c r="I39" s="54"/>
      <c r="J39" s="55"/>
      <c r="K39" s="48"/>
    </row>
    <row r="40" spans="1:13" ht="19.899999999999999" customHeight="1" x14ac:dyDescent="0.25">
      <c r="B40" s="59"/>
      <c r="C40" s="1435"/>
      <c r="D40" s="1447" t="s">
        <v>1173</v>
      </c>
      <c r="E40" s="1448"/>
      <c r="F40" s="1448"/>
      <c r="G40" s="1449"/>
      <c r="H40" s="69"/>
      <c r="I40" s="54"/>
      <c r="J40" s="55"/>
      <c r="K40" s="48"/>
    </row>
    <row r="41" spans="1:13" ht="117.6" customHeight="1" x14ac:dyDescent="0.25">
      <c r="B41" s="59"/>
      <c r="C41" s="684" t="s">
        <v>1176</v>
      </c>
      <c r="D41" s="1447" t="s">
        <v>1352</v>
      </c>
      <c r="E41" s="1448"/>
      <c r="F41" s="1448"/>
      <c r="G41" s="1449"/>
      <c r="H41" s="69"/>
      <c r="I41" s="54"/>
      <c r="J41" s="55"/>
      <c r="K41" s="48"/>
    </row>
    <row r="42" spans="1:13" ht="56.45" customHeight="1" x14ac:dyDescent="0.25">
      <c r="B42" s="59"/>
      <c r="C42" s="684"/>
      <c r="D42" s="1447" t="s">
        <v>1174</v>
      </c>
      <c r="E42" s="1448"/>
      <c r="F42" s="1448"/>
      <c r="G42" s="1449"/>
      <c r="H42" s="69"/>
      <c r="I42" s="54"/>
      <c r="J42" s="55"/>
      <c r="K42" s="48"/>
    </row>
    <row r="43" spans="1:13" ht="18" customHeight="1" x14ac:dyDescent="0.25">
      <c r="B43" s="59"/>
      <c r="C43" s="1433" t="s">
        <v>620</v>
      </c>
      <c r="D43" s="1407" t="s">
        <v>996</v>
      </c>
      <c r="E43" s="1408"/>
      <c r="F43" s="1408"/>
      <c r="G43" s="1409"/>
      <c r="H43" s="69"/>
      <c r="I43" s="54"/>
      <c r="J43" s="55"/>
      <c r="K43" s="48"/>
    </row>
    <row r="44" spans="1:13" ht="18" customHeight="1" x14ac:dyDescent="0.25">
      <c r="B44" s="59"/>
      <c r="C44" s="1434"/>
      <c r="D44" s="1407" t="s">
        <v>994</v>
      </c>
      <c r="E44" s="1408"/>
      <c r="F44" s="1408"/>
      <c r="G44" s="1409"/>
      <c r="H44" s="69"/>
      <c r="I44" s="54"/>
      <c r="J44" s="55"/>
      <c r="K44" s="48"/>
    </row>
    <row r="45" spans="1:13" ht="18.75" x14ac:dyDescent="0.25">
      <c r="B45" s="59"/>
      <c r="C45" s="1435"/>
      <c r="D45" s="570" t="s">
        <v>111</v>
      </c>
      <c r="E45" s="1466" t="s">
        <v>619</v>
      </c>
      <c r="F45" s="1466"/>
      <c r="G45" s="1467"/>
      <c r="H45" s="69"/>
      <c r="I45" s="54"/>
      <c r="J45" s="55"/>
      <c r="K45" s="48"/>
    </row>
    <row r="46" spans="1:13" ht="24" customHeight="1" x14ac:dyDescent="0.25">
      <c r="B46" s="59"/>
      <c r="C46" s="92"/>
      <c r="D46" s="92"/>
      <c r="E46" s="92"/>
      <c r="F46" s="92"/>
      <c r="G46" s="92"/>
      <c r="H46" s="69"/>
      <c r="I46" s="54"/>
      <c r="J46" s="55"/>
      <c r="K46" s="48"/>
    </row>
    <row r="47" spans="1:13" ht="45" customHeight="1" x14ac:dyDescent="0.25">
      <c r="B47" s="59"/>
      <c r="C47" s="818" t="s">
        <v>1009</v>
      </c>
      <c r="D47" s="573" t="s">
        <v>3</v>
      </c>
      <c r="E47" s="572" t="s">
        <v>797</v>
      </c>
      <c r="F47" s="1416" t="s">
        <v>126</v>
      </c>
      <c r="G47" s="1417"/>
      <c r="H47" s="69"/>
      <c r="I47" s="54"/>
      <c r="J47" s="55"/>
      <c r="K47" s="48"/>
    </row>
    <row r="48" spans="1:13" ht="60" customHeight="1" x14ac:dyDescent="0.25">
      <c r="A48" s="50"/>
      <c r="B48" s="59"/>
      <c r="C48" s="294" t="s">
        <v>503</v>
      </c>
      <c r="D48" s="309" t="s">
        <v>119</v>
      </c>
      <c r="E48" s="1107"/>
      <c r="F48" s="1540" t="s">
        <v>160</v>
      </c>
      <c r="G48" s="1541"/>
      <c r="H48" s="69"/>
      <c r="I48" s="54"/>
      <c r="J48" s="55"/>
      <c r="K48" s="64"/>
    </row>
    <row r="49" spans="1:13" ht="30" customHeight="1" x14ac:dyDescent="0.25">
      <c r="B49" s="59"/>
      <c r="C49" s="575" t="s">
        <v>1010</v>
      </c>
      <c r="D49" s="573" t="s">
        <v>3</v>
      </c>
      <c r="E49" s="572" t="s">
        <v>797</v>
      </c>
      <c r="F49" s="1416" t="s">
        <v>126</v>
      </c>
      <c r="G49" s="1417"/>
      <c r="H49" s="69"/>
      <c r="I49" s="54"/>
      <c r="J49" s="55"/>
      <c r="K49" s="64"/>
    </row>
    <row r="50" spans="1:13" ht="79.900000000000006" customHeight="1" x14ac:dyDescent="0.25">
      <c r="A50" t="s">
        <v>112</v>
      </c>
      <c r="B50" s="59"/>
      <c r="C50" s="293" t="s">
        <v>982</v>
      </c>
      <c r="D50" s="292" t="s">
        <v>842</v>
      </c>
      <c r="E50" s="1107"/>
      <c r="F50" s="1489" t="s">
        <v>160</v>
      </c>
      <c r="G50" s="1490"/>
      <c r="H50" s="69"/>
      <c r="I50" s="54"/>
      <c r="J50" s="54"/>
      <c r="K50" s="54"/>
      <c r="L50" s="54"/>
      <c r="M50" s="50"/>
    </row>
    <row r="51" spans="1:13" ht="30" customHeight="1" x14ac:dyDescent="0.25">
      <c r="B51" s="59"/>
      <c r="C51" s="575" t="s">
        <v>1023</v>
      </c>
      <c r="D51" s="573" t="s">
        <v>3</v>
      </c>
      <c r="E51" s="572" t="s">
        <v>797</v>
      </c>
      <c r="F51" s="1416" t="s">
        <v>126</v>
      </c>
      <c r="G51" s="1417"/>
      <c r="H51" s="69"/>
      <c r="I51" s="54"/>
      <c r="J51" s="54"/>
      <c r="K51" s="54"/>
      <c r="L51" s="54"/>
      <c r="M51" s="50"/>
    </row>
    <row r="52" spans="1:13" ht="60" customHeight="1" x14ac:dyDescent="0.25">
      <c r="B52" s="59"/>
      <c r="C52" s="293" t="s">
        <v>983</v>
      </c>
      <c r="D52" s="292" t="s">
        <v>842</v>
      </c>
      <c r="E52" s="1107"/>
      <c r="F52" s="1489" t="s">
        <v>160</v>
      </c>
      <c r="G52" s="1490"/>
      <c r="H52" s="69"/>
      <c r="I52" s="54"/>
      <c r="J52" s="54"/>
      <c r="K52" s="54"/>
      <c r="L52" s="54"/>
      <c r="M52" s="50"/>
    </row>
    <row r="53" spans="1:13" ht="30" customHeight="1" x14ac:dyDescent="0.25">
      <c r="B53" s="59"/>
      <c r="C53" s="1513" t="s">
        <v>1175</v>
      </c>
      <c r="D53" s="1513"/>
      <c r="E53" s="1513"/>
      <c r="F53" s="1416"/>
      <c r="G53" s="1417"/>
      <c r="H53" s="69"/>
      <c r="I53" s="54"/>
      <c r="J53" s="54"/>
      <c r="K53" s="54"/>
      <c r="L53" s="54"/>
    </row>
    <row r="54" spans="1:13" ht="49.9" customHeight="1" x14ac:dyDescent="0.25">
      <c r="B54" s="59"/>
      <c r="C54" s="1422" t="s">
        <v>1022</v>
      </c>
      <c r="D54" s="1423"/>
      <c r="E54" s="1107" t="s">
        <v>146</v>
      </c>
      <c r="F54" s="1542" t="str">
        <f>IF(F31&gt;0,"! Selecionar Opção I- % tipologia automóvel (utilizador) ",IF(E54=FAListas!C63,"Seguir para o ponto 2. Dados relativos às transferências modais",""))</f>
        <v/>
      </c>
      <c r="G54" s="1543"/>
      <c r="H54" s="69"/>
      <c r="I54" s="54"/>
      <c r="J54" s="54"/>
      <c r="K54" s="54"/>
      <c r="L54" s="54"/>
    </row>
    <row r="55" spans="1:13" ht="43.9" customHeight="1" x14ac:dyDescent="0.25">
      <c r="B55" s="59"/>
      <c r="C55" s="821" t="s">
        <v>1011</v>
      </c>
      <c r="D55" s="822" t="s">
        <v>3</v>
      </c>
      <c r="E55" s="823" t="s">
        <v>86</v>
      </c>
      <c r="F55" s="1544" t="s">
        <v>126</v>
      </c>
      <c r="G55" s="1545"/>
      <c r="H55" s="69"/>
      <c r="I55" s="54"/>
      <c r="J55" s="54"/>
      <c r="K55" s="54"/>
      <c r="L55" s="54"/>
    </row>
    <row r="56" spans="1:13" ht="60" customHeight="1" x14ac:dyDescent="0.25">
      <c r="B56" s="59"/>
      <c r="C56" s="819" t="s">
        <v>1036</v>
      </c>
      <c r="D56" s="820" t="s">
        <v>77</v>
      </c>
      <c r="E56" s="1114"/>
      <c r="F56" s="1539" t="s">
        <v>160</v>
      </c>
      <c r="G56" s="1539"/>
      <c r="H56" s="69"/>
      <c r="I56" s="54"/>
      <c r="J56" s="54"/>
      <c r="K56" s="54"/>
      <c r="L56" s="54"/>
    </row>
    <row r="57" spans="1:13" ht="60" customHeight="1" x14ac:dyDescent="0.25">
      <c r="B57" s="59"/>
      <c r="C57" s="819" t="s">
        <v>984</v>
      </c>
      <c r="D57" s="820" t="s">
        <v>77</v>
      </c>
      <c r="E57" s="1114"/>
      <c r="F57" s="1539" t="s">
        <v>160</v>
      </c>
      <c r="G57" s="1539"/>
      <c r="H57" s="69"/>
      <c r="I57" s="54"/>
      <c r="J57" s="54"/>
      <c r="K57" s="54"/>
      <c r="L57" s="54"/>
    </row>
    <row r="58" spans="1:13" ht="60" customHeight="1" x14ac:dyDescent="0.25">
      <c r="B58" s="59"/>
      <c r="C58" s="819" t="s">
        <v>986</v>
      </c>
      <c r="D58" s="820" t="s">
        <v>77</v>
      </c>
      <c r="E58" s="1114"/>
      <c r="F58" s="1539" t="s">
        <v>160</v>
      </c>
      <c r="G58" s="1539"/>
      <c r="H58" s="69"/>
      <c r="I58" s="54"/>
      <c r="J58" s="54"/>
      <c r="K58" s="54"/>
      <c r="L58" s="54"/>
    </row>
    <row r="59" spans="1:13" ht="60" customHeight="1" x14ac:dyDescent="0.25">
      <c r="B59" s="59"/>
      <c r="C59" s="819" t="s">
        <v>1004</v>
      </c>
      <c r="D59" s="820" t="s">
        <v>77</v>
      </c>
      <c r="E59" s="1114"/>
      <c r="F59" s="1539" t="s">
        <v>160</v>
      </c>
      <c r="G59" s="1539"/>
      <c r="H59" s="69"/>
      <c r="I59" s="54"/>
      <c r="J59" s="54"/>
      <c r="K59" s="54"/>
      <c r="L59" s="54"/>
    </row>
    <row r="60" spans="1:13" ht="60" customHeight="1" x14ac:dyDescent="0.25">
      <c r="B60" s="59"/>
      <c r="C60" s="819" t="s">
        <v>987</v>
      </c>
      <c r="D60" s="820" t="s">
        <v>77</v>
      </c>
      <c r="E60" s="1114"/>
      <c r="F60" s="1539" t="s">
        <v>160</v>
      </c>
      <c r="G60" s="1539"/>
      <c r="H60" s="69"/>
      <c r="I60" s="54"/>
      <c r="J60" s="54"/>
      <c r="K60" s="54"/>
      <c r="L60" s="54"/>
    </row>
    <row r="61" spans="1:13" ht="60" customHeight="1" x14ac:dyDescent="0.25">
      <c r="B61" s="59"/>
      <c r="C61" s="819" t="s">
        <v>1005</v>
      </c>
      <c r="D61" s="820" t="s">
        <v>77</v>
      </c>
      <c r="E61" s="1114"/>
      <c r="F61" s="1539" t="s">
        <v>160</v>
      </c>
      <c r="G61" s="1539"/>
      <c r="H61" s="69"/>
      <c r="I61" s="54"/>
      <c r="J61" s="54"/>
      <c r="K61" s="54"/>
      <c r="L61" s="54"/>
    </row>
    <row r="62" spans="1:13" ht="60" customHeight="1" x14ac:dyDescent="0.25">
      <c r="B62" s="59"/>
      <c r="C62" s="819" t="s">
        <v>985</v>
      </c>
      <c r="D62" s="820" t="s">
        <v>77</v>
      </c>
      <c r="E62" s="1114"/>
      <c r="F62" s="1539" t="s">
        <v>160</v>
      </c>
      <c r="G62" s="1539"/>
      <c r="H62" s="69"/>
      <c r="I62" s="54"/>
      <c r="J62" s="54"/>
      <c r="K62" s="54"/>
      <c r="L62" s="54"/>
    </row>
    <row r="63" spans="1:13" ht="19.899999999999999" hidden="1" customHeight="1" x14ac:dyDescent="0.25">
      <c r="B63" s="59"/>
      <c r="C63" s="215" t="s">
        <v>323</v>
      </c>
      <c r="D63" s="206" t="s">
        <v>155</v>
      </c>
      <c r="E63" s="221" t="s">
        <v>147</v>
      </c>
      <c r="F63" s="135" t="s">
        <v>146</v>
      </c>
      <c r="G63" s="105"/>
      <c r="H63" s="69"/>
      <c r="I63" s="54"/>
      <c r="J63" s="54"/>
      <c r="K63" s="54"/>
      <c r="L63" s="54"/>
    </row>
    <row r="64" spans="1:13" ht="15" customHeight="1" x14ac:dyDescent="0.25">
      <c r="B64" s="61"/>
      <c r="C64" s="75"/>
      <c r="D64" s="76"/>
      <c r="E64" s="76"/>
      <c r="F64" s="76"/>
      <c r="G64" s="76"/>
      <c r="H64" s="70"/>
      <c r="I64" s="54"/>
      <c r="J64" s="54"/>
      <c r="K64" s="54"/>
      <c r="L64" s="54"/>
    </row>
    <row r="65" spans="2:13" ht="34.9" customHeight="1" x14ac:dyDescent="0.25">
      <c r="C65" s="64"/>
      <c r="D65" s="54"/>
      <c r="E65" s="54"/>
      <c r="F65" s="54"/>
      <c r="G65" s="54"/>
      <c r="H65" s="54"/>
      <c r="I65" s="54"/>
      <c r="J65" s="54"/>
      <c r="K65" s="54"/>
      <c r="L65" s="54"/>
    </row>
    <row r="70" spans="2:13" ht="40.15" customHeight="1" x14ac:dyDescent="0.25">
      <c r="B70" s="66"/>
      <c r="C70" s="66" t="s">
        <v>492</v>
      </c>
      <c r="D70" s="57"/>
      <c r="E70" s="57"/>
      <c r="F70" s="57"/>
      <c r="G70" s="57"/>
      <c r="H70" s="58"/>
      <c r="I70" s="56"/>
      <c r="J70" s="56"/>
    </row>
    <row r="71" spans="2:13" ht="14.45" customHeight="1" x14ac:dyDescent="0.25">
      <c r="B71" s="59"/>
      <c r="H71" s="60"/>
      <c r="I71" s="65"/>
      <c r="J71" s="65"/>
    </row>
    <row r="72" spans="2:13" ht="14.45" customHeight="1" x14ac:dyDescent="0.25">
      <c r="B72" s="59"/>
      <c r="H72" s="60"/>
      <c r="I72" s="65"/>
      <c r="J72" s="65"/>
    </row>
    <row r="73" spans="2:13" ht="24" customHeight="1" x14ac:dyDescent="0.25">
      <c r="B73" s="59"/>
      <c r="C73" s="1411" t="s">
        <v>1043</v>
      </c>
      <c r="D73" s="1410"/>
      <c r="E73" s="1410"/>
      <c r="F73" s="1410"/>
      <c r="G73" s="115"/>
      <c r="H73" s="60"/>
      <c r="I73" s="65"/>
      <c r="J73" s="65"/>
    </row>
    <row r="74" spans="2:13" ht="24" customHeight="1" x14ac:dyDescent="0.25">
      <c r="B74" s="59"/>
      <c r="C74" s="92"/>
      <c r="D74" s="92"/>
      <c r="E74" s="92"/>
      <c r="F74" s="92"/>
      <c r="G74" s="92"/>
      <c r="H74" s="60"/>
      <c r="I74" s="65"/>
      <c r="J74" s="65"/>
    </row>
    <row r="75" spans="2:13" ht="24" customHeight="1" x14ac:dyDescent="0.25">
      <c r="B75" s="59"/>
      <c r="C75" s="1475" t="s">
        <v>634</v>
      </c>
      <c r="D75" s="1476"/>
      <c r="E75" s="1476"/>
      <c r="F75" s="1476"/>
      <c r="G75" s="1477"/>
      <c r="H75" s="60"/>
      <c r="I75" s="65"/>
      <c r="J75" s="65"/>
    </row>
    <row r="76" spans="2:13" ht="40.15" customHeight="1" x14ac:dyDescent="0.25">
      <c r="B76" s="59"/>
      <c r="C76" s="703" t="s">
        <v>641</v>
      </c>
      <c r="D76" s="1465" t="s">
        <v>1219</v>
      </c>
      <c r="E76" s="1465"/>
      <c r="F76" s="1465"/>
      <c r="G76" s="1465"/>
      <c r="H76" s="60"/>
      <c r="I76" s="65"/>
      <c r="J76" s="1527"/>
      <c r="K76" s="1527"/>
      <c r="L76" s="1527"/>
      <c r="M76" s="1527"/>
    </row>
    <row r="77" spans="2:13" ht="19.899999999999999" customHeight="1" x14ac:dyDescent="0.25">
      <c r="B77" s="59"/>
      <c r="C77" s="703" t="s">
        <v>676</v>
      </c>
      <c r="D77" s="1447" t="s">
        <v>1229</v>
      </c>
      <c r="E77" s="1448"/>
      <c r="F77" s="1448"/>
      <c r="G77" s="1483"/>
      <c r="H77" s="60"/>
      <c r="I77" s="65"/>
      <c r="J77" s="65"/>
    </row>
    <row r="78" spans="2:13" ht="80.45" customHeight="1" x14ac:dyDescent="0.25">
      <c r="B78" s="59"/>
      <c r="C78" s="704" t="s">
        <v>642</v>
      </c>
      <c r="D78" s="1535" t="s">
        <v>1177</v>
      </c>
      <c r="E78" s="1536"/>
      <c r="F78" s="1536"/>
      <c r="G78" s="1537"/>
      <c r="H78" s="60"/>
      <c r="I78" s="65"/>
      <c r="J78" s="65"/>
    </row>
    <row r="79" spans="2:13" ht="15.6" customHeight="1" x14ac:dyDescent="0.25">
      <c r="B79" s="59"/>
      <c r="C79" s="92"/>
      <c r="D79" s="707"/>
      <c r="E79" s="92"/>
      <c r="F79" s="92"/>
      <c r="G79" s="92"/>
      <c r="H79" s="60"/>
      <c r="I79" s="65"/>
      <c r="J79" s="65"/>
    </row>
    <row r="80" spans="2:13" ht="40.15" customHeight="1" x14ac:dyDescent="0.3">
      <c r="B80" s="59"/>
      <c r="C80" s="298" t="s">
        <v>156</v>
      </c>
      <c r="D80" s="574" t="s">
        <v>3</v>
      </c>
      <c r="E80" s="572" t="s">
        <v>751</v>
      </c>
      <c r="F80" s="1473" t="s">
        <v>640</v>
      </c>
      <c r="G80" s="1474"/>
      <c r="H80" s="68"/>
      <c r="I80" s="53"/>
      <c r="J80" s="94"/>
      <c r="K80" s="93"/>
    </row>
    <row r="81" spans="2:13" ht="45" customHeight="1" x14ac:dyDescent="0.3">
      <c r="B81" s="59"/>
      <c r="C81" s="395"/>
      <c r="D81" s="574"/>
      <c r="E81" s="580" t="str">
        <f>IFERROR(IF(SUM(E82:E89)=0, "",IF(SUM(E82:E89)&gt;100, "  A soma das TM é superior a 100%. Por favor, reveja.", IF(SUM(E82:E89)&lt;100, " A soma das TM é inferior a 100%. Por favor, reveja.", ""))),"")</f>
        <v/>
      </c>
      <c r="F81" s="300"/>
      <c r="G81" s="300"/>
      <c r="H81" s="68"/>
      <c r="I81" s="53"/>
      <c r="J81" s="94"/>
      <c r="K81" s="93"/>
    </row>
    <row r="82" spans="2:13" ht="60" customHeight="1" x14ac:dyDescent="0.25">
      <c r="B82" s="59"/>
      <c r="C82" s="293" t="s">
        <v>997</v>
      </c>
      <c r="D82" s="292" t="s">
        <v>77</v>
      </c>
      <c r="E82" s="1110"/>
      <c r="F82" s="1418" t="s">
        <v>160</v>
      </c>
      <c r="G82" s="1419"/>
      <c r="H82" s="69"/>
      <c r="I82" s="54"/>
      <c r="K82" s="90"/>
    </row>
    <row r="83" spans="2:13" ht="60" customHeight="1" x14ac:dyDescent="0.4">
      <c r="B83" s="59"/>
      <c r="C83" s="293" t="s">
        <v>998</v>
      </c>
      <c r="D83" s="292" t="s">
        <v>77</v>
      </c>
      <c r="E83" s="1110"/>
      <c r="F83" s="1418" t="s">
        <v>160</v>
      </c>
      <c r="G83" s="1419"/>
      <c r="H83" s="69"/>
      <c r="I83" s="54"/>
      <c r="J83" s="90"/>
      <c r="K83" s="90"/>
      <c r="M83" s="91"/>
    </row>
    <row r="84" spans="2:13" ht="60" customHeight="1" x14ac:dyDescent="0.25">
      <c r="B84" s="59"/>
      <c r="C84" s="293" t="s">
        <v>999</v>
      </c>
      <c r="D84" s="292" t="s">
        <v>77</v>
      </c>
      <c r="E84" s="1110"/>
      <c r="F84" s="1418" t="s">
        <v>160</v>
      </c>
      <c r="G84" s="1419"/>
      <c r="H84" s="69"/>
      <c r="I84" s="54"/>
      <c r="J84" s="90"/>
      <c r="K84" s="90"/>
    </row>
    <row r="85" spans="2:13" ht="60" customHeight="1" x14ac:dyDescent="0.25">
      <c r="B85" s="59"/>
      <c r="C85" s="293" t="s">
        <v>1000</v>
      </c>
      <c r="D85" s="292" t="s">
        <v>77</v>
      </c>
      <c r="E85" s="1110"/>
      <c r="F85" s="1418" t="s">
        <v>160</v>
      </c>
      <c r="G85" s="1419"/>
      <c r="H85" s="69"/>
      <c r="I85" s="54"/>
      <c r="J85" s="90"/>
      <c r="K85" s="90"/>
    </row>
    <row r="86" spans="2:13" ht="60" customHeight="1" x14ac:dyDescent="0.25">
      <c r="B86" s="59"/>
      <c r="C86" s="293" t="s">
        <v>1047</v>
      </c>
      <c r="D86" s="292" t="s">
        <v>77</v>
      </c>
      <c r="E86" s="1110"/>
      <c r="F86" s="1418" t="s">
        <v>160</v>
      </c>
      <c r="G86" s="1419"/>
      <c r="H86" s="69"/>
      <c r="I86" s="54"/>
      <c r="J86" s="90"/>
      <c r="K86" s="90"/>
    </row>
    <row r="87" spans="2:13" ht="60" customHeight="1" x14ac:dyDescent="0.25">
      <c r="B87" s="59"/>
      <c r="C87" s="293" t="s">
        <v>1001</v>
      </c>
      <c r="D87" s="292" t="s">
        <v>77</v>
      </c>
      <c r="E87" s="1110"/>
      <c r="F87" s="1418" t="s">
        <v>160</v>
      </c>
      <c r="G87" s="1419"/>
      <c r="H87" s="69"/>
      <c r="I87" s="54"/>
      <c r="J87" s="90"/>
      <c r="K87" s="90"/>
    </row>
    <row r="88" spans="2:13" ht="60" customHeight="1" x14ac:dyDescent="0.25">
      <c r="B88" s="59"/>
      <c r="C88" s="293" t="s">
        <v>1002</v>
      </c>
      <c r="D88" s="292" t="s">
        <v>77</v>
      </c>
      <c r="E88" s="1110"/>
      <c r="F88" s="1418" t="s">
        <v>160</v>
      </c>
      <c r="G88" s="1419"/>
      <c r="H88" s="69"/>
      <c r="I88" s="54"/>
      <c r="J88" s="90"/>
      <c r="K88" s="90"/>
    </row>
    <row r="89" spans="2:13" ht="60" customHeight="1" x14ac:dyDescent="0.25">
      <c r="B89" s="59"/>
      <c r="C89" s="293" t="s">
        <v>1021</v>
      </c>
      <c r="D89" s="292" t="s">
        <v>77</v>
      </c>
      <c r="E89" s="1110"/>
      <c r="F89" s="1418" t="s">
        <v>160</v>
      </c>
      <c r="G89" s="1419"/>
      <c r="H89" s="69"/>
      <c r="I89" s="54"/>
      <c r="J89" s="90"/>
      <c r="K89" s="90"/>
    </row>
    <row r="90" spans="2:13" ht="40.15" customHeight="1" x14ac:dyDescent="0.25">
      <c r="B90" s="59"/>
      <c r="C90" s="298" t="s">
        <v>1019</v>
      </c>
      <c r="D90" s="574" t="s">
        <v>3</v>
      </c>
      <c r="E90" s="572" t="s">
        <v>751</v>
      </c>
      <c r="F90" s="1473" t="s">
        <v>640</v>
      </c>
      <c r="G90" s="1474"/>
      <c r="H90" s="69"/>
      <c r="I90" s="54"/>
      <c r="J90" s="90"/>
      <c r="K90" s="90"/>
    </row>
    <row r="91" spans="2:13" ht="45" customHeight="1" x14ac:dyDescent="0.25">
      <c r="B91" s="59"/>
      <c r="C91" s="395"/>
      <c r="D91" s="574"/>
      <c r="E91" s="580" t="str">
        <f>IFERROR(IF(SUM(E92:E99)=0, "",IF(SUM(E92:E99)&gt;100, "  A soma das TM é superior a 100%. Por favor, reveja.", IF(SUM(E92:E99)&lt;100, " A soma das TM é inferior a 100%. Por favor, reveja.", ""))),"")</f>
        <v/>
      </c>
      <c r="F91" s="300"/>
      <c r="G91" s="300"/>
      <c r="H91" s="69"/>
      <c r="I91" s="54"/>
      <c r="J91" s="90"/>
      <c r="K91" s="90"/>
    </row>
    <row r="92" spans="2:13" s="446" customFormat="1" ht="60" customHeight="1" x14ac:dyDescent="0.3">
      <c r="B92" s="447"/>
      <c r="C92" s="293" t="s">
        <v>1013</v>
      </c>
      <c r="D92" s="292" t="s">
        <v>77</v>
      </c>
      <c r="E92" s="1105"/>
      <c r="F92" s="1418" t="s">
        <v>160</v>
      </c>
      <c r="G92" s="1419"/>
      <c r="H92" s="306"/>
      <c r="I92" s="307"/>
      <c r="J92" s="308"/>
      <c r="K92" s="308"/>
    </row>
    <row r="93" spans="2:13" s="446" customFormat="1" ht="60" customHeight="1" x14ac:dyDescent="0.3">
      <c r="B93" s="447"/>
      <c r="C93" s="293" t="s">
        <v>1014</v>
      </c>
      <c r="D93" s="292" t="s">
        <v>77</v>
      </c>
      <c r="E93" s="1105"/>
      <c r="F93" s="1418" t="s">
        <v>160</v>
      </c>
      <c r="G93" s="1419"/>
      <c r="H93" s="306"/>
      <c r="I93" s="307"/>
      <c r="J93" s="308"/>
      <c r="K93" s="308"/>
    </row>
    <row r="94" spans="2:13" s="446" customFormat="1" ht="60" customHeight="1" x14ac:dyDescent="0.3">
      <c r="B94" s="447"/>
      <c r="C94" s="293" t="s">
        <v>1015</v>
      </c>
      <c r="D94" s="292" t="s">
        <v>77</v>
      </c>
      <c r="E94" s="1105"/>
      <c r="F94" s="1418" t="s">
        <v>160</v>
      </c>
      <c r="G94" s="1419"/>
      <c r="H94" s="306"/>
      <c r="I94" s="307"/>
      <c r="J94" s="308"/>
      <c r="K94" s="308"/>
    </row>
    <row r="95" spans="2:13" s="446" customFormat="1" ht="60" customHeight="1" x14ac:dyDescent="0.3">
      <c r="B95" s="447"/>
      <c r="C95" s="293" t="s">
        <v>1016</v>
      </c>
      <c r="D95" s="292" t="s">
        <v>77</v>
      </c>
      <c r="E95" s="1105"/>
      <c r="F95" s="1418" t="s">
        <v>160</v>
      </c>
      <c r="G95" s="1419"/>
      <c r="H95" s="306"/>
      <c r="I95" s="307"/>
      <c r="J95" s="308"/>
      <c r="K95" s="308"/>
    </row>
    <row r="96" spans="2:13" s="446" customFormat="1" ht="60" customHeight="1" x14ac:dyDescent="0.3">
      <c r="B96" s="447"/>
      <c r="C96" s="293" t="s">
        <v>1048</v>
      </c>
      <c r="D96" s="292" t="s">
        <v>77</v>
      </c>
      <c r="E96" s="1105"/>
      <c r="F96" s="1418" t="s">
        <v>160</v>
      </c>
      <c r="G96" s="1419"/>
      <c r="H96" s="306"/>
      <c r="I96" s="307"/>
      <c r="J96" s="308"/>
      <c r="K96" s="308"/>
    </row>
    <row r="97" spans="2:11" s="446" customFormat="1" ht="60" customHeight="1" x14ac:dyDescent="0.3">
      <c r="B97" s="447"/>
      <c r="C97" s="293" t="s">
        <v>1017</v>
      </c>
      <c r="D97" s="292" t="s">
        <v>77</v>
      </c>
      <c r="E97" s="1105"/>
      <c r="F97" s="1418" t="s">
        <v>160</v>
      </c>
      <c r="G97" s="1419"/>
      <c r="H97" s="306"/>
      <c r="I97" s="307"/>
      <c r="J97" s="308"/>
      <c r="K97" s="308"/>
    </row>
    <row r="98" spans="2:11" ht="58.15" customHeight="1" x14ac:dyDescent="0.25">
      <c r="B98" s="59"/>
      <c r="C98" s="293" t="s">
        <v>1018</v>
      </c>
      <c r="D98" s="292" t="s">
        <v>77</v>
      </c>
      <c r="E98" s="1105"/>
      <c r="F98" s="1418" t="s">
        <v>160</v>
      </c>
      <c r="G98" s="1419"/>
      <c r="H98" s="69"/>
      <c r="I98" s="54"/>
      <c r="J98" s="90"/>
      <c r="K98" s="90"/>
    </row>
    <row r="99" spans="2:11" ht="54" customHeight="1" x14ac:dyDescent="0.25">
      <c r="B99" s="59"/>
      <c r="C99" s="293" t="s">
        <v>1020</v>
      </c>
      <c r="D99" s="292" t="s">
        <v>77</v>
      </c>
      <c r="E99" s="1105"/>
      <c r="F99" s="1418" t="s">
        <v>160</v>
      </c>
      <c r="G99" s="1419"/>
      <c r="H99" s="69"/>
      <c r="I99" s="54"/>
      <c r="J99" s="90"/>
      <c r="K99" s="90"/>
    </row>
    <row r="100" spans="2:11" ht="19.899999999999999" hidden="1" customHeight="1" x14ac:dyDescent="0.25">
      <c r="B100" s="59"/>
      <c r="C100" s="215" t="s">
        <v>194</v>
      </c>
      <c r="D100" s="215"/>
      <c r="E100" s="135" t="s">
        <v>146</v>
      </c>
      <c r="F100" s="135" t="s">
        <v>160</v>
      </c>
      <c r="G100" s="287" t="s">
        <v>160</v>
      </c>
      <c r="H100" s="69"/>
      <c r="I100" s="54"/>
      <c r="J100" s="55"/>
      <c r="K100" s="48"/>
    </row>
    <row r="101" spans="2:11" ht="19.899999999999999" hidden="1" customHeight="1" x14ac:dyDescent="0.25">
      <c r="B101" s="59"/>
      <c r="C101" s="87"/>
      <c r="D101" s="88"/>
      <c r="E101" s="105"/>
      <c r="F101" s="105"/>
      <c r="G101" s="287" t="s">
        <v>160</v>
      </c>
      <c r="H101" s="69"/>
      <c r="I101" s="54"/>
      <c r="J101" s="55"/>
      <c r="K101" s="48"/>
    </row>
    <row r="102" spans="2:11" ht="19.899999999999999" hidden="1" customHeight="1" x14ac:dyDescent="0.25">
      <c r="B102" s="59"/>
      <c r="C102" s="87"/>
      <c r="D102" s="88"/>
      <c r="E102" s="105"/>
      <c r="F102" s="105"/>
      <c r="G102" s="287" t="s">
        <v>160</v>
      </c>
      <c r="H102" s="69"/>
      <c r="I102" s="54"/>
      <c r="J102" s="55"/>
      <c r="K102" s="48"/>
    </row>
    <row r="103" spans="2:11" ht="19.899999999999999" hidden="1" customHeight="1" x14ac:dyDescent="0.25">
      <c r="B103" s="59"/>
      <c r="C103" s="87"/>
      <c r="D103" s="88"/>
      <c r="E103" s="105"/>
      <c r="F103" s="105"/>
      <c r="G103" s="287" t="s">
        <v>160</v>
      </c>
      <c r="H103" s="69"/>
      <c r="I103" s="54"/>
      <c r="J103" s="55"/>
      <c r="K103" s="48"/>
    </row>
    <row r="104" spans="2:11" ht="19.899999999999999" hidden="1" customHeight="1" x14ac:dyDescent="0.25">
      <c r="B104" s="59"/>
      <c r="C104" s="87"/>
      <c r="D104" s="88"/>
      <c r="E104" s="105"/>
      <c r="F104" s="105"/>
      <c r="G104" s="287" t="s">
        <v>160</v>
      </c>
      <c r="H104" s="69"/>
      <c r="I104" s="54"/>
      <c r="J104" s="55"/>
      <c r="K104" s="48"/>
    </row>
    <row r="105" spans="2:11" ht="19.899999999999999" hidden="1" customHeight="1" x14ac:dyDescent="0.25">
      <c r="B105" s="59"/>
      <c r="C105" s="87"/>
      <c r="D105" s="88"/>
      <c r="E105" s="105"/>
      <c r="F105" s="105"/>
      <c r="G105" s="287" t="s">
        <v>160</v>
      </c>
      <c r="H105" s="69"/>
      <c r="I105" s="54"/>
      <c r="J105" s="55"/>
      <c r="K105" s="48"/>
    </row>
    <row r="106" spans="2:11" ht="19.899999999999999" hidden="1" customHeight="1" x14ac:dyDescent="0.25">
      <c r="B106" s="59"/>
      <c r="C106" s="87"/>
      <c r="D106" s="88"/>
      <c r="E106" s="105"/>
      <c r="F106" s="105"/>
      <c r="G106" s="287" t="s">
        <v>160</v>
      </c>
      <c r="H106" s="69"/>
      <c r="I106" s="54"/>
      <c r="J106" s="55"/>
      <c r="K106" s="48"/>
    </row>
    <row r="107" spans="2:11" ht="19.899999999999999" hidden="1" customHeight="1" x14ac:dyDescent="0.25">
      <c r="B107" s="59"/>
      <c r="C107" s="87"/>
      <c r="D107" s="88"/>
      <c r="E107" s="105"/>
      <c r="F107" s="105"/>
      <c r="G107" s="287" t="s">
        <v>160</v>
      </c>
      <c r="H107" s="69"/>
      <c r="I107" s="54"/>
      <c r="J107" s="55"/>
      <c r="K107" s="48"/>
    </row>
    <row r="108" spans="2:11" ht="19.899999999999999" hidden="1" customHeight="1" x14ac:dyDescent="0.25">
      <c r="B108" s="59"/>
      <c r="C108" s="87"/>
      <c r="D108" s="88"/>
      <c r="E108" s="105"/>
      <c r="F108" s="105"/>
      <c r="G108" s="287" t="s">
        <v>160</v>
      </c>
      <c r="H108" s="69"/>
      <c r="I108" s="54"/>
      <c r="J108" s="55"/>
      <c r="K108" s="48"/>
    </row>
    <row r="109" spans="2:11" ht="19.899999999999999" hidden="1" customHeight="1" x14ac:dyDescent="0.25">
      <c r="B109" s="59"/>
      <c r="C109" s="87"/>
      <c r="D109" s="88"/>
      <c r="E109" s="105"/>
      <c r="F109" s="105"/>
      <c r="G109" s="287" t="s">
        <v>160</v>
      </c>
      <c r="H109" s="69"/>
      <c r="I109" s="54"/>
      <c r="J109" s="55"/>
      <c r="K109" s="48"/>
    </row>
    <row r="110" spans="2:11" ht="19.899999999999999" hidden="1" customHeight="1" x14ac:dyDescent="0.25">
      <c r="B110" s="59"/>
      <c r="C110" s="87"/>
      <c r="D110" s="88"/>
      <c r="E110" s="88"/>
      <c r="F110" s="88"/>
      <c r="G110" s="287" t="s">
        <v>160</v>
      </c>
      <c r="H110" s="69"/>
      <c r="I110" s="54"/>
      <c r="J110" s="55"/>
      <c r="K110" s="48"/>
    </row>
    <row r="111" spans="2:11" ht="19.899999999999999" hidden="1" customHeight="1" x14ac:dyDescent="0.25">
      <c r="B111" s="59"/>
      <c r="C111" s="1411" t="s">
        <v>159</v>
      </c>
      <c r="D111" s="1410"/>
      <c r="E111" s="1410"/>
      <c r="F111" s="1410"/>
      <c r="G111" s="287" t="s">
        <v>160</v>
      </c>
      <c r="H111" s="69"/>
      <c r="I111" s="54"/>
      <c r="J111" s="55"/>
      <c r="K111" s="48"/>
    </row>
    <row r="112" spans="2:11" ht="19.899999999999999" hidden="1" customHeight="1" x14ac:dyDescent="0.25">
      <c r="B112" s="59"/>
      <c r="C112" s="92"/>
      <c r="D112" s="92"/>
      <c r="E112" s="92"/>
      <c r="F112" s="92"/>
      <c r="G112" s="287" t="s">
        <v>160</v>
      </c>
      <c r="H112" s="69"/>
      <c r="I112" s="54"/>
      <c r="J112" s="55"/>
      <c r="K112" s="48"/>
    </row>
    <row r="113" spans="2:12" ht="19.899999999999999" hidden="1" customHeight="1" x14ac:dyDescent="0.25">
      <c r="B113" s="59"/>
      <c r="C113" s="1412"/>
      <c r="D113" s="1412"/>
      <c r="E113" s="1412"/>
      <c r="F113" s="1412"/>
      <c r="G113" s="287" t="s">
        <v>160</v>
      </c>
      <c r="H113" s="69"/>
      <c r="I113" s="54"/>
      <c r="J113" s="55"/>
      <c r="K113" s="48"/>
    </row>
    <row r="114" spans="2:12" ht="19.899999999999999" hidden="1" customHeight="1" x14ac:dyDescent="0.25">
      <c r="B114" s="59"/>
      <c r="C114" s="95"/>
      <c r="D114" s="95"/>
      <c r="E114" s="95"/>
      <c r="F114" s="95"/>
      <c r="G114" s="287" t="s">
        <v>160</v>
      </c>
      <c r="H114" s="69"/>
      <c r="I114" s="54"/>
      <c r="J114" s="55"/>
      <c r="K114" s="48"/>
    </row>
    <row r="115" spans="2:12" ht="19.899999999999999" hidden="1" customHeight="1" x14ac:dyDescent="0.4">
      <c r="B115" s="59"/>
      <c r="C115" s="98" t="s">
        <v>166</v>
      </c>
      <c r="D115" s="84" t="s">
        <v>3</v>
      </c>
      <c r="E115" s="83" t="s">
        <v>157</v>
      </c>
      <c r="F115" s="85" t="s">
        <v>158</v>
      </c>
      <c r="G115" s="287" t="s">
        <v>160</v>
      </c>
      <c r="H115" s="69"/>
      <c r="I115" s="54"/>
      <c r="J115" s="55"/>
      <c r="K115" s="48"/>
    </row>
    <row r="116" spans="2:12" ht="19.899999999999999" hidden="1" customHeight="1" x14ac:dyDescent="0.25">
      <c r="B116" s="59"/>
      <c r="C116" s="1413" t="s">
        <v>156</v>
      </c>
      <c r="D116" s="1413"/>
      <c r="E116" s="1413"/>
      <c r="F116" s="1413"/>
      <c r="G116" s="287" t="s">
        <v>160</v>
      </c>
      <c r="H116" s="69"/>
      <c r="I116" s="54"/>
      <c r="J116" s="55" t="s">
        <v>174</v>
      </c>
      <c r="K116" s="48"/>
    </row>
    <row r="117" spans="2:12" ht="19.899999999999999" hidden="1" customHeight="1" x14ac:dyDescent="0.25">
      <c r="B117" s="59"/>
      <c r="C117" s="97" t="s">
        <v>167</v>
      </c>
      <c r="D117" s="74" t="s">
        <v>155</v>
      </c>
      <c r="E117" s="82" t="s">
        <v>147</v>
      </c>
      <c r="F117" s="86" t="s">
        <v>160</v>
      </c>
      <c r="G117" s="287" t="s">
        <v>160</v>
      </c>
      <c r="H117" s="69"/>
      <c r="I117" s="54"/>
      <c r="J117" s="55" t="s">
        <v>175</v>
      </c>
      <c r="K117" s="48"/>
    </row>
    <row r="118" spans="2:12" ht="19.899999999999999" hidden="1" customHeight="1" x14ac:dyDescent="0.25">
      <c r="B118" s="59"/>
      <c r="C118" s="97" t="s">
        <v>168</v>
      </c>
      <c r="D118" s="74" t="s">
        <v>155</v>
      </c>
      <c r="E118" s="82" t="s">
        <v>147</v>
      </c>
      <c r="F118" s="86" t="s">
        <v>160</v>
      </c>
      <c r="G118" s="287" t="s">
        <v>160</v>
      </c>
      <c r="H118" s="69"/>
      <c r="I118" s="54"/>
      <c r="J118" s="55"/>
      <c r="K118" s="48"/>
    </row>
    <row r="119" spans="2:12" ht="19.899999999999999" hidden="1" customHeight="1" x14ac:dyDescent="0.25">
      <c r="B119" s="59"/>
      <c r="C119" s="1413" t="s">
        <v>129</v>
      </c>
      <c r="D119" s="1413"/>
      <c r="E119" s="1413"/>
      <c r="F119" s="1413"/>
      <c r="G119" s="287" t="s">
        <v>160</v>
      </c>
      <c r="H119" s="69"/>
      <c r="I119" s="54"/>
      <c r="J119" s="55"/>
      <c r="K119" s="48"/>
    </row>
    <row r="120" spans="2:12" ht="19.899999999999999" hidden="1" customHeight="1" x14ac:dyDescent="0.25">
      <c r="B120" s="59"/>
      <c r="C120" s="73" t="s">
        <v>163</v>
      </c>
      <c r="D120" s="74" t="s">
        <v>155</v>
      </c>
      <c r="E120" s="82" t="s">
        <v>147</v>
      </c>
      <c r="F120" s="86" t="s">
        <v>160</v>
      </c>
      <c r="G120" s="287" t="s">
        <v>160</v>
      </c>
      <c r="H120" s="69"/>
      <c r="I120" s="54"/>
      <c r="J120" s="55"/>
      <c r="K120" s="48"/>
    </row>
    <row r="121" spans="2:12" ht="19.899999999999999" hidden="1" customHeight="1" x14ac:dyDescent="0.25">
      <c r="B121" s="59"/>
      <c r="C121" s="73" t="s">
        <v>165</v>
      </c>
      <c r="D121" s="74" t="s">
        <v>155</v>
      </c>
      <c r="E121" s="82" t="s">
        <v>147</v>
      </c>
      <c r="F121" s="86" t="s">
        <v>160</v>
      </c>
      <c r="G121" s="287" t="s">
        <v>160</v>
      </c>
      <c r="H121" s="69"/>
      <c r="I121" s="54"/>
      <c r="J121" s="55"/>
      <c r="K121" s="48"/>
    </row>
    <row r="122" spans="2:12" ht="19.899999999999999" hidden="1" customHeight="1" x14ac:dyDescent="0.25">
      <c r="B122" s="59"/>
      <c r="C122" s="99" t="s">
        <v>16</v>
      </c>
      <c r="D122" s="99"/>
      <c r="E122" s="99"/>
      <c r="F122" s="99"/>
      <c r="G122" s="287" t="s">
        <v>160</v>
      </c>
      <c r="H122" s="69"/>
      <c r="I122" s="54"/>
      <c r="J122" s="55"/>
      <c r="K122" s="48"/>
    </row>
    <row r="123" spans="2:12" ht="19.899999999999999" hidden="1" customHeight="1" x14ac:dyDescent="0.25">
      <c r="B123" s="59"/>
      <c r="C123" s="73" t="s">
        <v>163</v>
      </c>
      <c r="D123" s="74" t="s">
        <v>155</v>
      </c>
      <c r="E123" s="82" t="s">
        <v>147</v>
      </c>
      <c r="F123" s="86" t="s">
        <v>160</v>
      </c>
      <c r="G123" s="287" t="s">
        <v>160</v>
      </c>
      <c r="H123" s="69"/>
      <c r="I123" s="54"/>
      <c r="J123" s="55"/>
      <c r="K123" s="48"/>
    </row>
    <row r="124" spans="2:12" ht="19.899999999999999" hidden="1" customHeight="1" x14ac:dyDescent="0.25">
      <c r="B124" s="59"/>
      <c r="C124" s="73" t="s">
        <v>164</v>
      </c>
      <c r="D124" s="74" t="s">
        <v>155</v>
      </c>
      <c r="E124" s="82" t="s">
        <v>147</v>
      </c>
      <c r="F124" s="86" t="s">
        <v>160</v>
      </c>
      <c r="G124" s="287" t="s">
        <v>160</v>
      </c>
      <c r="H124" s="69"/>
      <c r="I124" s="54"/>
      <c r="J124" s="55"/>
      <c r="K124" s="48"/>
    </row>
    <row r="125" spans="2:12" ht="19.899999999999999" hidden="1" customHeight="1" x14ac:dyDescent="0.25">
      <c r="B125" s="59"/>
      <c r="C125" s="1413" t="s">
        <v>134</v>
      </c>
      <c r="D125" s="1413"/>
      <c r="E125" s="1413"/>
      <c r="F125" s="1413"/>
      <c r="G125" s="287" t="s">
        <v>160</v>
      </c>
      <c r="H125" s="69"/>
      <c r="I125" s="54"/>
      <c r="J125" s="55"/>
      <c r="K125" s="48"/>
    </row>
    <row r="126" spans="2:12" ht="19.899999999999999" hidden="1" customHeight="1" x14ac:dyDescent="0.25">
      <c r="B126" s="59"/>
      <c r="C126" s="73" t="s">
        <v>163</v>
      </c>
      <c r="D126" s="74" t="s">
        <v>155</v>
      </c>
      <c r="E126" s="82" t="s">
        <v>147</v>
      </c>
      <c r="F126" s="86" t="s">
        <v>160</v>
      </c>
      <c r="G126" s="287" t="s">
        <v>160</v>
      </c>
      <c r="H126" s="69"/>
      <c r="I126" s="54"/>
      <c r="J126" s="55"/>
      <c r="K126" s="48"/>
    </row>
    <row r="127" spans="2:12" ht="19.899999999999999" hidden="1" customHeight="1" x14ac:dyDescent="0.25">
      <c r="B127" s="59"/>
      <c r="C127" s="73" t="s">
        <v>164</v>
      </c>
      <c r="D127" s="74" t="s">
        <v>155</v>
      </c>
      <c r="E127" s="82" t="s">
        <v>147</v>
      </c>
      <c r="F127" s="86" t="s">
        <v>160</v>
      </c>
      <c r="G127" s="287" t="s">
        <v>160</v>
      </c>
      <c r="H127" s="69"/>
      <c r="I127" s="54"/>
      <c r="J127" s="54"/>
      <c r="K127" s="54"/>
      <c r="L127" s="54"/>
    </row>
    <row r="128" spans="2:12" ht="19.899999999999999" hidden="1" customHeight="1" x14ac:dyDescent="0.25">
      <c r="B128" s="59"/>
      <c r="C128" s="1413" t="s">
        <v>161</v>
      </c>
      <c r="D128" s="1413"/>
      <c r="E128" s="1413"/>
      <c r="F128" s="1413"/>
      <c r="G128" s="287" t="s">
        <v>160</v>
      </c>
      <c r="H128" s="69"/>
      <c r="I128" s="54"/>
      <c r="J128" s="54"/>
      <c r="K128" s="54"/>
      <c r="L128" s="54"/>
    </row>
    <row r="129" spans="2:19" ht="19.899999999999999" hidden="1" customHeight="1" x14ac:dyDescent="0.25">
      <c r="B129" s="59"/>
      <c r="C129" s="73" t="s">
        <v>162</v>
      </c>
      <c r="D129" s="74" t="s">
        <v>155</v>
      </c>
      <c r="E129" s="82" t="s">
        <v>147</v>
      </c>
      <c r="F129" s="86" t="s">
        <v>160</v>
      </c>
      <c r="G129" s="287" t="s">
        <v>160</v>
      </c>
      <c r="H129" s="69"/>
      <c r="I129" s="54"/>
      <c r="J129" s="54"/>
      <c r="K129" s="54"/>
      <c r="L129" s="54"/>
    </row>
    <row r="130" spans="2:19" ht="15" customHeight="1" x14ac:dyDescent="0.25">
      <c r="B130" s="61"/>
      <c r="C130" s="75"/>
      <c r="D130" s="76"/>
      <c r="E130" s="76"/>
      <c r="F130" s="76"/>
      <c r="G130" s="76"/>
      <c r="H130" s="70"/>
      <c r="I130" s="54"/>
      <c r="J130" s="54"/>
      <c r="K130" s="54"/>
      <c r="L130" s="54"/>
    </row>
    <row r="138" spans="2:19" ht="39" x14ac:dyDescent="0.25">
      <c r="B138" s="66"/>
      <c r="C138" s="66" t="s">
        <v>494</v>
      </c>
      <c r="D138" s="57"/>
      <c r="E138" s="57"/>
      <c r="F138" s="57"/>
      <c r="G138" s="57"/>
      <c r="H138" s="58"/>
    </row>
    <row r="139" spans="2:19" ht="24" customHeight="1" x14ac:dyDescent="0.25">
      <c r="B139" s="59"/>
      <c r="H139" s="60"/>
    </row>
    <row r="140" spans="2:19" ht="24" customHeight="1" x14ac:dyDescent="0.25">
      <c r="B140" s="59"/>
      <c r="C140" s="1411" t="s">
        <v>857</v>
      </c>
      <c r="D140" s="1410"/>
      <c r="E140" s="1410"/>
      <c r="F140" s="1410"/>
      <c r="G140" s="115"/>
      <c r="H140" s="60"/>
      <c r="J140" s="55"/>
      <c r="K140" s="64"/>
      <c r="R140" s="55"/>
      <c r="S140" s="48"/>
    </row>
    <row r="141" spans="2:19" ht="40.15" customHeight="1" x14ac:dyDescent="0.25">
      <c r="B141" s="59"/>
      <c r="C141" s="592" t="s">
        <v>114</v>
      </c>
      <c r="D141" s="593" t="s">
        <v>3</v>
      </c>
      <c r="E141" s="593" t="s">
        <v>671</v>
      </c>
      <c r="F141" s="593" t="s">
        <v>673</v>
      </c>
      <c r="G141" s="212"/>
      <c r="H141" s="60"/>
      <c r="J141" s="55"/>
      <c r="K141" s="64"/>
      <c r="R141" s="55"/>
      <c r="S141" s="48"/>
    </row>
    <row r="142" spans="2:19" ht="40.15" customHeight="1" x14ac:dyDescent="0.25">
      <c r="B142" s="59"/>
      <c r="C142" s="311" t="s">
        <v>885</v>
      </c>
      <c r="D142" s="312" t="s">
        <v>681</v>
      </c>
      <c r="E142" s="522">
        <f>IFERROR(E143-E144,"")</f>
        <v>0</v>
      </c>
      <c r="F142" s="523">
        <f>IFERROR(F143-F144,"")</f>
        <v>0</v>
      </c>
      <c r="G142" s="213"/>
      <c r="H142" s="60"/>
      <c r="J142" s="55"/>
      <c r="K142" s="64"/>
      <c r="R142" s="55"/>
      <c r="S142" s="48"/>
    </row>
    <row r="143" spans="2:19" ht="40.15" customHeight="1" x14ac:dyDescent="0.25">
      <c r="B143" s="59"/>
      <c r="C143" s="313" t="s">
        <v>867</v>
      </c>
      <c r="D143" s="314" t="s">
        <v>681</v>
      </c>
      <c r="E143" s="524">
        <f>IFERROR(FACalc_parquesestacionamento!C101,"")</f>
        <v>0</v>
      </c>
      <c r="F143" s="525">
        <f>FACalc_parquesestacionamento!C139</f>
        <v>0</v>
      </c>
      <c r="G143" s="604" t="str">
        <f>IF(F21="", "!Preencher Fator de Emissão de eletricidade","")</f>
        <v>!Preencher Fator de Emissão de eletricidade</v>
      </c>
      <c r="H143" s="60"/>
      <c r="J143" s="55"/>
      <c r="K143" s="64"/>
      <c r="R143" s="55"/>
      <c r="S143" s="48"/>
    </row>
    <row r="144" spans="2:19" ht="40.15" customHeight="1" x14ac:dyDescent="0.25">
      <c r="B144" s="59"/>
      <c r="C144" s="316" t="s">
        <v>868</v>
      </c>
      <c r="D144" s="317" t="s">
        <v>681</v>
      </c>
      <c r="E144" s="526">
        <f>FACalc_parquesestacionamento!K21</f>
        <v>0</v>
      </c>
      <c r="F144" s="527">
        <f>FACalc_parquesestacionamento!N21</f>
        <v>0</v>
      </c>
      <c r="G144" s="213"/>
      <c r="H144" s="60"/>
      <c r="J144" s="55"/>
      <c r="K144" s="64"/>
      <c r="R144" s="55"/>
      <c r="S144" s="48"/>
    </row>
    <row r="145" spans="2:19" ht="40.15" customHeight="1" x14ac:dyDescent="0.25">
      <c r="B145" s="59"/>
      <c r="C145" s="598" t="s">
        <v>1059</v>
      </c>
      <c r="D145" s="599" t="s">
        <v>681</v>
      </c>
      <c r="E145" s="600">
        <f>-E142</f>
        <v>0</v>
      </c>
      <c r="F145" s="601">
        <f>-F142</f>
        <v>0</v>
      </c>
      <c r="G145" s="213"/>
      <c r="H145" s="60"/>
      <c r="J145" s="55"/>
      <c r="K145" s="64"/>
      <c r="R145" s="55"/>
      <c r="S145" s="48"/>
    </row>
    <row r="146" spans="2:19" ht="48" customHeight="1" x14ac:dyDescent="0.25">
      <c r="B146" s="59"/>
      <c r="C146" s="605" t="s">
        <v>530</v>
      </c>
      <c r="D146" s="1238" t="s">
        <v>1303</v>
      </c>
      <c r="E146" s="606" t="str">
        <f>IFERROR(E142*FACalc_parquesestacionamento!$Y$13,"")</f>
        <v/>
      </c>
      <c r="F146" s="607" t="str">
        <f>IFERROR(F142*FACalc_parquesestacionamento!$Y$13,"")</f>
        <v/>
      </c>
      <c r="G146" s="858" t="str">
        <f>IF(E146="","!Preencher Ano de início da exploração (ID_Identificação do Projeto)","" )</f>
        <v>!Preencher Ano de início da exploração (ID_Identificação do Projeto)</v>
      </c>
      <c r="H146" s="60"/>
      <c r="J146" s="55"/>
      <c r="K146" s="48"/>
      <c r="R146" s="55"/>
      <c r="S146" s="48"/>
    </row>
    <row r="147" spans="2:19" ht="19.899999999999999" customHeight="1" x14ac:dyDescent="0.25">
      <c r="B147" s="61"/>
      <c r="C147" s="859"/>
      <c r="D147" s="860"/>
      <c r="E147" s="860"/>
      <c r="F147" s="860"/>
      <c r="G147" s="860"/>
      <c r="H147" s="62"/>
      <c r="J147" s="55"/>
      <c r="K147" s="48"/>
      <c r="R147" s="55"/>
      <c r="S147" s="48"/>
    </row>
    <row r="148" spans="2:19" ht="26.45" customHeight="1" x14ac:dyDescent="0.25">
      <c r="C148" s="1517"/>
      <c r="D148" s="1517"/>
      <c r="E148" s="1517"/>
      <c r="F148" s="1517"/>
      <c r="G148" s="92"/>
      <c r="J148" s="55"/>
      <c r="K148" s="48"/>
      <c r="R148" s="55"/>
      <c r="S148" s="48"/>
    </row>
    <row r="149" spans="2:19" ht="40.15" customHeight="1" x14ac:dyDescent="0.25">
      <c r="C149" s="856"/>
      <c r="D149" s="857"/>
      <c r="E149" s="646"/>
      <c r="F149" s="646"/>
      <c r="G149" s="764"/>
      <c r="J149" s="55"/>
      <c r="K149" s="48"/>
      <c r="R149" s="55"/>
      <c r="S149" s="48"/>
    </row>
    <row r="150" spans="2:19" ht="40.15" customHeight="1" x14ac:dyDescent="0.25">
      <c r="C150" s="596"/>
      <c r="D150" s="812"/>
      <c r="E150" s="503"/>
      <c r="F150" s="503"/>
      <c r="G150" s="88"/>
      <c r="J150" s="207"/>
      <c r="K150" s="48"/>
      <c r="R150" s="55"/>
      <c r="S150" s="48"/>
    </row>
    <row r="151" spans="2:19" ht="40.15" customHeight="1" x14ac:dyDescent="0.25">
      <c r="C151" s="596"/>
      <c r="D151" s="812"/>
      <c r="E151" s="650"/>
      <c r="F151" s="650"/>
      <c r="G151" s="88"/>
      <c r="J151" s="55"/>
      <c r="K151" s="48"/>
      <c r="R151" s="55"/>
      <c r="S151" s="48"/>
    </row>
    <row r="152" spans="2:19" ht="40.15" customHeight="1" x14ac:dyDescent="0.25">
      <c r="C152" s="596"/>
      <c r="D152" s="812"/>
      <c r="E152" s="650"/>
      <c r="F152" s="650"/>
      <c r="G152" s="88"/>
      <c r="J152" s="55"/>
      <c r="K152" s="48"/>
      <c r="R152" s="55"/>
      <c r="S152" s="48"/>
    </row>
    <row r="153" spans="2:19" ht="40.15" customHeight="1" x14ac:dyDescent="0.25">
      <c r="C153" s="856"/>
      <c r="D153" s="857"/>
      <c r="E153" s="646"/>
      <c r="F153" s="646"/>
      <c r="G153" s="764"/>
      <c r="J153" s="55"/>
      <c r="K153" s="48"/>
      <c r="R153" s="55"/>
      <c r="S153" s="48"/>
    </row>
    <row r="154" spans="2:19" ht="40.15" customHeight="1" x14ac:dyDescent="0.25">
      <c r="C154" s="596"/>
      <c r="D154" s="812"/>
      <c r="E154" s="503"/>
      <c r="F154" s="503"/>
      <c r="G154" s="88"/>
      <c r="J154" s="55"/>
      <c r="K154" s="48"/>
      <c r="R154" s="55"/>
      <c r="S154" s="48"/>
    </row>
    <row r="155" spans="2:19" ht="40.15" customHeight="1" x14ac:dyDescent="0.25">
      <c r="C155" s="596"/>
      <c r="D155" s="812"/>
      <c r="E155" s="650"/>
      <c r="F155" s="650"/>
      <c r="G155" s="88"/>
      <c r="J155" s="54"/>
      <c r="K155" s="54"/>
      <c r="R155" s="55"/>
      <c r="S155" s="48"/>
    </row>
    <row r="156" spans="2:19" ht="40.15" customHeight="1" x14ac:dyDescent="0.25">
      <c r="C156" s="596"/>
      <c r="D156" s="812"/>
      <c r="E156" s="650"/>
      <c r="F156" s="650"/>
      <c r="G156" s="88"/>
      <c r="J156" s="54"/>
      <c r="K156" s="54"/>
      <c r="R156" s="55"/>
      <c r="S156" s="48"/>
    </row>
    <row r="157" spans="2:19" ht="40.15" customHeight="1" x14ac:dyDescent="0.25">
      <c r="C157" s="856"/>
      <c r="D157" s="857"/>
      <c r="E157" s="646"/>
      <c r="F157" s="646"/>
      <c r="G157" s="764"/>
      <c r="J157" s="54"/>
      <c r="K157" s="54"/>
      <c r="R157" s="55"/>
      <c r="S157" s="48"/>
    </row>
    <row r="158" spans="2:19" ht="40.15" customHeight="1" x14ac:dyDescent="0.25">
      <c r="C158" s="596"/>
      <c r="D158" s="812"/>
      <c r="E158" s="503"/>
      <c r="F158" s="503"/>
      <c r="G158" s="88"/>
      <c r="J158" s="54"/>
      <c r="K158" s="54"/>
      <c r="R158" s="55"/>
      <c r="S158" s="48"/>
    </row>
    <row r="159" spans="2:19" ht="40.15" customHeight="1" x14ac:dyDescent="0.25">
      <c r="C159" s="596"/>
      <c r="D159" s="812"/>
      <c r="E159" s="650"/>
      <c r="F159" s="650"/>
      <c r="G159" s="88"/>
      <c r="J159" s="54"/>
      <c r="K159" s="54"/>
      <c r="R159" s="55"/>
      <c r="S159" s="48"/>
    </row>
    <row r="160" spans="2:19" ht="40.15" customHeight="1" x14ac:dyDescent="0.25">
      <c r="C160" s="596"/>
      <c r="D160" s="812"/>
      <c r="E160" s="650"/>
      <c r="F160" s="650"/>
      <c r="G160" s="88"/>
      <c r="J160" s="208"/>
      <c r="K160" s="54"/>
      <c r="R160" s="55"/>
      <c r="S160" s="48"/>
    </row>
    <row r="161" spans="2:19" ht="40.15" customHeight="1" x14ac:dyDescent="0.25">
      <c r="C161" s="856"/>
      <c r="D161" s="857"/>
      <c r="E161" s="646"/>
      <c r="F161" s="646"/>
      <c r="G161" s="764"/>
      <c r="J161" s="208"/>
      <c r="K161" s="54"/>
      <c r="R161" s="55"/>
      <c r="S161" s="48"/>
    </row>
    <row r="162" spans="2:19" ht="40.15" customHeight="1" x14ac:dyDescent="0.25">
      <c r="C162" s="596"/>
      <c r="D162" s="812"/>
      <c r="E162" s="730"/>
      <c r="F162" s="730"/>
      <c r="G162" s="88"/>
      <c r="J162" s="208"/>
      <c r="K162" s="54"/>
      <c r="R162" s="55"/>
      <c r="S162" s="48"/>
    </row>
    <row r="163" spans="2:19" ht="40.15" customHeight="1" x14ac:dyDescent="0.25">
      <c r="C163" s="596"/>
      <c r="D163" s="812"/>
      <c r="E163" s="734"/>
      <c r="F163" s="734"/>
      <c r="G163" s="88"/>
      <c r="J163" s="208"/>
      <c r="K163" s="54"/>
      <c r="R163" s="55"/>
      <c r="S163" s="48"/>
    </row>
    <row r="164" spans="2:19" ht="40.15" customHeight="1" x14ac:dyDescent="0.25">
      <c r="C164" s="596"/>
      <c r="D164" s="812"/>
      <c r="E164" s="734"/>
      <c r="F164" s="734"/>
      <c r="G164" s="88"/>
      <c r="J164" s="208"/>
      <c r="K164" s="54"/>
      <c r="R164" s="55"/>
      <c r="S164" s="48"/>
    </row>
    <row r="165" spans="2:19" ht="40.15" customHeight="1" x14ac:dyDescent="0.25">
      <c r="C165" s="856"/>
      <c r="D165" s="857"/>
      <c r="E165" s="646"/>
      <c r="F165" s="646"/>
      <c r="G165" s="764"/>
      <c r="J165" s="54"/>
      <c r="K165" s="54"/>
      <c r="R165" s="55"/>
      <c r="S165" s="48"/>
    </row>
    <row r="166" spans="2:19" ht="40.15" customHeight="1" x14ac:dyDescent="0.25">
      <c r="C166" s="596"/>
      <c r="D166" s="812"/>
      <c r="E166" s="730"/>
      <c r="F166" s="730"/>
      <c r="G166" s="88"/>
      <c r="J166" s="54"/>
      <c r="K166" s="64"/>
      <c r="R166" s="54"/>
      <c r="S166" s="54"/>
    </row>
    <row r="167" spans="2:19" ht="40.15" customHeight="1" x14ac:dyDescent="0.25">
      <c r="C167" s="596"/>
      <c r="D167" s="812"/>
      <c r="E167" s="734"/>
      <c r="F167" s="734"/>
      <c r="G167" s="88"/>
      <c r="J167" s="159"/>
      <c r="K167" s="54"/>
      <c r="R167" s="54"/>
      <c r="S167" s="54"/>
    </row>
    <row r="168" spans="2:19" ht="40.15" customHeight="1" x14ac:dyDescent="0.25">
      <c r="C168" s="596"/>
      <c r="D168" s="812"/>
      <c r="E168" s="734"/>
      <c r="F168" s="734"/>
      <c r="G168" s="88"/>
      <c r="J168" s="54"/>
      <c r="K168" s="64"/>
      <c r="R168" s="54"/>
      <c r="S168" s="64"/>
    </row>
    <row r="169" spans="2:19" ht="46.9" customHeight="1" x14ac:dyDescent="0.25">
      <c r="C169" s="596"/>
      <c r="D169" s="812"/>
      <c r="E169" s="734"/>
      <c r="F169" s="734"/>
      <c r="G169" s="88"/>
      <c r="J169" s="54"/>
      <c r="K169" s="64"/>
      <c r="R169" s="54"/>
      <c r="S169" s="64"/>
    </row>
    <row r="170" spans="2:19" ht="24" x14ac:dyDescent="0.25">
      <c r="C170" s="1517"/>
      <c r="D170" s="1517"/>
      <c r="E170" s="1517"/>
      <c r="F170" s="1517"/>
      <c r="G170" s="92"/>
      <c r="J170" s="54"/>
      <c r="K170" s="64"/>
      <c r="R170" s="54"/>
      <c r="S170" s="64"/>
    </row>
    <row r="171" spans="2:19" ht="49.9" customHeight="1" x14ac:dyDescent="0.25">
      <c r="C171" s="646"/>
      <c r="D171" s="646"/>
      <c r="E171" s="646"/>
      <c r="F171" s="646"/>
      <c r="G171" s="646"/>
      <c r="J171" s="54"/>
      <c r="K171" s="64"/>
      <c r="R171" s="54"/>
      <c r="S171" s="64"/>
    </row>
    <row r="172" spans="2:19" ht="40.15" customHeight="1" x14ac:dyDescent="0.25">
      <c r="C172" s="291"/>
      <c r="D172" s="307"/>
      <c r="E172" s="602"/>
      <c r="F172" s="602"/>
      <c r="G172" s="602"/>
      <c r="J172" s="54"/>
      <c r="K172" s="54"/>
      <c r="R172" s="54"/>
      <c r="S172" s="54"/>
    </row>
    <row r="173" spans="2:19" ht="57.6" customHeight="1" x14ac:dyDescent="0.25">
      <c r="C173" s="291"/>
      <c r="D173" s="307"/>
      <c r="E173" s="814"/>
      <c r="F173" s="814"/>
      <c r="G173" s="814"/>
      <c r="J173" s="54"/>
      <c r="K173" s="64"/>
      <c r="R173" s="54"/>
      <c r="S173" s="54"/>
    </row>
    <row r="174" spans="2:19" ht="57.6" customHeight="1" x14ac:dyDescent="0.25">
      <c r="C174" s="291"/>
      <c r="D174" s="307"/>
      <c r="E174" s="814"/>
      <c r="F174" s="814"/>
      <c r="G174" s="814"/>
      <c r="J174" s="814"/>
      <c r="K174" s="64"/>
      <c r="R174" s="54"/>
      <c r="S174" s="54"/>
    </row>
    <row r="175" spans="2:19" ht="51.6" customHeight="1" x14ac:dyDescent="0.25">
      <c r="C175" s="291"/>
      <c r="D175" s="394"/>
      <c r="E175" s="814"/>
      <c r="F175" s="814"/>
      <c r="G175" s="814"/>
      <c r="J175" s="54"/>
      <c r="K175" s="54"/>
      <c r="R175" s="54"/>
      <c r="S175" s="54"/>
    </row>
    <row r="176" spans="2:19" ht="17.45" customHeight="1" x14ac:dyDescent="0.25">
      <c r="B176" s="61"/>
      <c r="C176" s="75"/>
      <c r="D176" s="76"/>
      <c r="E176" s="76"/>
      <c r="F176" s="76"/>
      <c r="G176" s="76"/>
      <c r="H176" s="70"/>
      <c r="I176" s="54"/>
      <c r="J176" s="54"/>
      <c r="K176" s="54"/>
    </row>
    <row r="179" spans="3:7" ht="15.75" x14ac:dyDescent="0.25">
      <c r="C179" s="87"/>
      <c r="D179" s="54"/>
      <c r="E179" s="133"/>
      <c r="F179" s="133"/>
      <c r="G179" s="133"/>
    </row>
  </sheetData>
  <sheetProtection algorithmName="SHA-512" hashValue="aTlqYqn2Ie6ql4d78Ec+f8xwvlWyUbkXXn95++Y7v49n/nJcXra5jvhmXxm44MsYeSm9ai4LcfH9miciW1kAkA==" saltValue="xeV6fC7tbJc2adzazdxZzw==" spinCount="100000" sheet="1" selectLockedCells="1"/>
  <mergeCells count="85">
    <mergeCell ref="C128:F128"/>
    <mergeCell ref="C140:F140"/>
    <mergeCell ref="C148:F148"/>
    <mergeCell ref="C170:F170"/>
    <mergeCell ref="C111:F111"/>
    <mergeCell ref="C113:F113"/>
    <mergeCell ref="C116:F116"/>
    <mergeCell ref="C119:F119"/>
    <mergeCell ref="C125:F125"/>
    <mergeCell ref="F94:G94"/>
    <mergeCell ref="F87:G87"/>
    <mergeCell ref="F99:G99"/>
    <mergeCell ref="F95:G95"/>
    <mergeCell ref="F97:G97"/>
    <mergeCell ref="F96:G96"/>
    <mergeCell ref="F88:G88"/>
    <mergeCell ref="F98:G98"/>
    <mergeCell ref="F85:G85"/>
    <mergeCell ref="F89:G89"/>
    <mergeCell ref="F90:G90"/>
    <mergeCell ref="F92:G92"/>
    <mergeCell ref="F93:G93"/>
    <mergeCell ref="F86:G86"/>
    <mergeCell ref="F84:G84"/>
    <mergeCell ref="C73:F73"/>
    <mergeCell ref="C75:G75"/>
    <mergeCell ref="D76:G76"/>
    <mergeCell ref="D77:G77"/>
    <mergeCell ref="F80:G80"/>
    <mergeCell ref="F82:G82"/>
    <mergeCell ref="F83:G83"/>
    <mergeCell ref="F56:G56"/>
    <mergeCell ref="F62:G62"/>
    <mergeCell ref="F57:G57"/>
    <mergeCell ref="F49:G49"/>
    <mergeCell ref="C54:D54"/>
    <mergeCell ref="F54:G54"/>
    <mergeCell ref="F55:G55"/>
    <mergeCell ref="D42:G42"/>
    <mergeCell ref="F50:G50"/>
    <mergeCell ref="F51:G51"/>
    <mergeCell ref="F53:G53"/>
    <mergeCell ref="C53:E53"/>
    <mergeCell ref="C43:C45"/>
    <mergeCell ref="D43:G43"/>
    <mergeCell ref="E45:G45"/>
    <mergeCell ref="F47:G47"/>
    <mergeCell ref="F48:G48"/>
    <mergeCell ref="D37:G37"/>
    <mergeCell ref="D38:G38"/>
    <mergeCell ref="D39:G39"/>
    <mergeCell ref="D40:G40"/>
    <mergeCell ref="D41:G41"/>
    <mergeCell ref="O21:R21"/>
    <mergeCell ref="O23:O26"/>
    <mergeCell ref="P23:P26"/>
    <mergeCell ref="Q23:Q26"/>
    <mergeCell ref="R23:R26"/>
    <mergeCell ref="C14:C18"/>
    <mergeCell ref="D14:G14"/>
    <mergeCell ref="D15:G15"/>
    <mergeCell ref="D16:G16"/>
    <mergeCell ref="D17:G17"/>
    <mergeCell ref="D18:G18"/>
    <mergeCell ref="K5:L5"/>
    <mergeCell ref="J6:L9"/>
    <mergeCell ref="D10:G10"/>
    <mergeCell ref="D11:G11"/>
    <mergeCell ref="D12:G12"/>
    <mergeCell ref="J76:M76"/>
    <mergeCell ref="D78:G78"/>
    <mergeCell ref="D13:G13"/>
    <mergeCell ref="F61:G61"/>
    <mergeCell ref="F60:G60"/>
    <mergeCell ref="F59:G59"/>
    <mergeCell ref="F58:G58"/>
    <mergeCell ref="F52:G52"/>
    <mergeCell ref="D44:G44"/>
    <mergeCell ref="K20:L20"/>
    <mergeCell ref="J21:L23"/>
    <mergeCell ref="J27:K30"/>
    <mergeCell ref="L27:L30"/>
    <mergeCell ref="J31:K31"/>
    <mergeCell ref="C36:G36"/>
    <mergeCell ref="C37:C40"/>
  </mergeCells>
  <dataValidations count="3">
    <dataValidation type="list" allowBlank="1" showInputMessage="1" showErrorMessage="1" sqref="K20:L20" xr:uid="{5B1BB368-88C8-40D9-B7D5-A6E4C45D30EC}">
      <formula1>$T$21:$T$22</formula1>
    </dataValidation>
    <dataValidation type="list" allowBlank="1" showInputMessage="1" showErrorMessage="1" sqref="K5:L5" xr:uid="{141D94F6-A4F8-467B-8F6B-75C1D27D6C32}">
      <formula1>$T$5:$T$6</formula1>
    </dataValidation>
    <dataValidation errorStyle="warning" allowBlank="1" showInputMessage="1" showErrorMessage="1" error="Não Introduzir valor" sqref="F31:F32 E52 E48 E50 F27:F29 F23:F25 E56:E62" xr:uid="{B2765DEB-C7F1-4C5D-A429-2844A8539B01}"/>
  </dataValidations>
  <hyperlinks>
    <hyperlink ref="E45:G45" r:id="rId1" display="Mobilidade e funcionalidade do território nas Áreas Metropolitanas do Porto e de Lisboa : 2017" xr:uid="{25267B50-0CD4-48FE-84AA-5BD3B73CC8DC}"/>
    <hyperlink ref="G143" location="'TM3_ferrovia e metro'!F20" display="'TM3_ferrovia e metro'!F20" xr:uid="{AD332E94-246B-4CA6-A4D4-E1BE6AAC6BC1}"/>
  </hyperlinks>
  <pageMargins left="0.7" right="0.7" top="0.75" bottom="0.75" header="0.3" footer="0.3"/>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 id="{5EE52383-6C09-44DF-8D26-39048CDB662E}">
            <xm:f>$E$54=FAListas!$C$62</xm:f>
            <x14:dxf>
              <fill>
                <patternFill patternType="solid">
                  <bgColor theme="0"/>
                </patternFill>
              </fill>
            </x14:dxf>
          </x14:cfRule>
          <xm:sqref>C56:D62</xm:sqref>
        </x14:conditionalFormatting>
        <x14:conditionalFormatting xmlns:xm="http://schemas.microsoft.com/office/excel/2006/main">
          <x14:cfRule type="expression" priority="38" id="{69E2D03C-9B2D-4D7E-A3A9-0A95364D0063}">
            <xm:f>FACalc_rodovia!$C$11=FAListas!#REF!</xm:f>
            <x14:dxf>
              <fill>
                <patternFill>
                  <bgColor theme="1"/>
                </patternFill>
              </fill>
            </x14:dxf>
          </x14:cfRule>
          <xm:sqref>C141:F141</xm:sqref>
        </x14:conditionalFormatting>
        <x14:conditionalFormatting xmlns:xm="http://schemas.microsoft.com/office/excel/2006/main">
          <x14:cfRule type="expression" priority="9" id="{4EDF574D-2BC1-4AAC-B36E-FB3A8B66E939}">
            <xm:f>$E$54=FAListas!$C$62</xm:f>
            <x14:dxf>
              <font>
                <color theme="0"/>
              </font>
            </x14:dxf>
          </x14:cfRule>
          <xm:sqref>C55:G55</xm:sqref>
        </x14:conditionalFormatting>
        <x14:conditionalFormatting xmlns:xm="http://schemas.microsoft.com/office/excel/2006/main">
          <x14:cfRule type="expression" priority="12" id="{7143759E-DF3C-4E57-AED2-0661971D7474}">
            <xm:f>$E$54=FAListas!$C$62</xm:f>
            <x14:dxf>
              <fill>
                <patternFill>
                  <bgColor theme="8" tint="0.79998168889431442"/>
                </patternFill>
              </fill>
            </x14:dxf>
          </x14:cfRule>
          <xm:sqref>E56:E62</xm:sqref>
        </x14:conditionalFormatting>
        <x14:conditionalFormatting xmlns:xm="http://schemas.microsoft.com/office/excel/2006/main">
          <x14:cfRule type="expression" priority="42" id="{27AF8BE2-ADB0-45AB-B247-A5B6053254C9}">
            <xm:f>FACalc_rodovia!$C$11=FAListas!#REF!</xm:f>
            <x14:dxf>
              <fill>
                <patternFill>
                  <bgColor theme="1"/>
                </patternFill>
              </fill>
            </x14:dxf>
          </x14:cfRule>
          <xm:sqref>E81</xm:sqref>
        </x14:conditionalFormatting>
        <x14:conditionalFormatting xmlns:xm="http://schemas.microsoft.com/office/excel/2006/main">
          <x14:cfRule type="expression" priority="16" id="{780BDB23-C0A7-4281-BFB5-039F8E518496}">
            <xm:f>FACalc_rodovia!$C$11=FAListas!#REF!</xm:f>
            <x14:dxf>
              <fill>
                <patternFill>
                  <bgColor theme="1"/>
                </patternFill>
              </fill>
            </x14:dxf>
          </x14:cfRule>
          <xm:sqref>E91</xm:sqref>
        </x14:conditionalFormatting>
        <x14:conditionalFormatting xmlns:xm="http://schemas.microsoft.com/office/excel/2006/main">
          <x14:cfRule type="expression" priority="52" id="{D2478044-AACC-4039-A88D-C515DB469E0E}">
            <xm:f>IF(#REF!=FAListas!$C$6,TRUE, IF(#REF!=FAListas!#REF!, TRUE,""))</xm:f>
            <x14:dxf>
              <fill>
                <patternFill>
                  <bgColor theme="1"/>
                </patternFill>
              </fill>
            </x14:dxf>
          </x14:cfRule>
          <xm:sqref>E142:F142 E150:F150 E154:F154 E158:F158 E162:F162 E166:F166</xm:sqref>
        </x14:conditionalFormatting>
        <x14:conditionalFormatting xmlns:xm="http://schemas.microsoft.com/office/excel/2006/main">
          <x14:cfRule type="expression" priority="53" id="{53E4B45B-BBC7-4EB8-9266-C56D7B361B69}">
            <xm:f>#REF!=FAListas!#REF!</xm:f>
            <x14:dxf>
              <fill>
                <patternFill>
                  <bgColor theme="1"/>
                </patternFill>
              </fill>
            </x14:dxf>
          </x14:cfRule>
          <xm:sqref>E143:F146</xm:sqref>
        </x14:conditionalFormatting>
        <x14:conditionalFormatting xmlns:xm="http://schemas.microsoft.com/office/excel/2006/main">
          <x14:cfRule type="expression" priority="35" id="{3DFE163E-0C72-484E-BF93-2EC6A7105C6B}">
            <xm:f>IF(#REF!=FAListas!$C$6,TRUE, IF(#REF!=FAListas!#REF!, TRUE,""))</xm:f>
            <x14:dxf>
              <fill>
                <patternFill>
                  <bgColor theme="1"/>
                </patternFill>
              </fill>
            </x14:dxf>
          </x14:cfRule>
          <xm:sqref>E145:F145</xm:sqref>
        </x14:conditionalFormatting>
        <x14:conditionalFormatting xmlns:xm="http://schemas.microsoft.com/office/excel/2006/main">
          <x14:cfRule type="expression" priority="4" id="{2751FAB7-8E2D-4E08-9813-F547F4CAE0C0}">
            <xm:f>AND($E$23=FAListas!$C$57,$E$24=FAListas!$C$57,$E$25=FAListas!$C$57)</xm:f>
            <x14:dxf>
              <font>
                <color theme="1"/>
              </font>
              <fill>
                <patternFill>
                  <bgColor theme="1"/>
                </patternFill>
              </fill>
            </x14:dxf>
          </x14:cfRule>
          <xm:sqref>F22:G22</xm:sqref>
        </x14:conditionalFormatting>
        <x14:conditionalFormatting xmlns:xm="http://schemas.microsoft.com/office/excel/2006/main">
          <x14:cfRule type="expression" priority="45" id="{5131D31D-F800-426F-9030-888332A2D9B1}">
            <xm:f>$E$23=FAListas!$C$57</xm:f>
            <x14:dxf>
              <fill>
                <patternFill>
                  <bgColor theme="1"/>
                </patternFill>
              </fill>
            </x14:dxf>
          </x14:cfRule>
          <xm:sqref>F23:G23</xm:sqref>
        </x14:conditionalFormatting>
        <x14:conditionalFormatting xmlns:xm="http://schemas.microsoft.com/office/excel/2006/main">
          <x14:cfRule type="expression" priority="8" id="{8ECA8BC5-68BF-435B-9472-AA44E1C45CED}">
            <xm:f>$E$24=FAListas!$C$57</xm:f>
            <x14:dxf>
              <fill>
                <patternFill>
                  <bgColor theme="1"/>
                </patternFill>
              </fill>
            </x14:dxf>
          </x14:cfRule>
          <xm:sqref>F24:G24</xm:sqref>
        </x14:conditionalFormatting>
        <x14:conditionalFormatting xmlns:xm="http://schemas.microsoft.com/office/excel/2006/main">
          <x14:cfRule type="expression" priority="7" id="{AB7CD240-D751-4D3A-9AA5-C106729FF3A8}">
            <xm:f>$E$25=FAListas!$C$57</xm:f>
            <x14:dxf>
              <fill>
                <patternFill>
                  <bgColor theme="1"/>
                </patternFill>
              </fill>
            </x14:dxf>
          </x14:cfRule>
          <xm:sqref>F25:G25</xm:sqref>
        </x14:conditionalFormatting>
        <x14:conditionalFormatting xmlns:xm="http://schemas.microsoft.com/office/excel/2006/main">
          <x14:cfRule type="expression" priority="1" id="{85CC114C-8CE5-4947-AC01-A4C02F3E4312}">
            <xm:f>AND($E$27=FAListas!$C$57,$E$28=FAListas!$C$57,$E$29=FAListas!$C$57)</xm:f>
            <x14:dxf>
              <font>
                <color theme="1"/>
              </font>
              <fill>
                <patternFill>
                  <bgColor theme="1"/>
                </patternFill>
              </fill>
            </x14:dxf>
          </x14:cfRule>
          <xm:sqref>F26:G26</xm:sqref>
        </x14:conditionalFormatting>
        <x14:conditionalFormatting xmlns:xm="http://schemas.microsoft.com/office/excel/2006/main">
          <x14:cfRule type="expression" priority="48" id="{EC3CF206-7A52-45FF-A758-A3378F7FC81B}">
            <xm:f>$E$27=FAListas!$C$57</xm:f>
            <x14:dxf>
              <fill>
                <patternFill patternType="solid">
                  <fgColor theme="0"/>
                  <bgColor theme="1"/>
                </patternFill>
              </fill>
            </x14:dxf>
          </x14:cfRule>
          <xm:sqref>F27:G27</xm:sqref>
        </x14:conditionalFormatting>
        <x14:conditionalFormatting xmlns:xm="http://schemas.microsoft.com/office/excel/2006/main">
          <x14:cfRule type="expression" priority="6" id="{50D01144-A8AA-4C18-9F1D-A2C17ABD7032}">
            <xm:f>$E$28=FAListas!$C$57</xm:f>
            <x14:dxf>
              <fill>
                <patternFill>
                  <bgColor theme="1"/>
                </patternFill>
              </fill>
            </x14:dxf>
          </x14:cfRule>
          <xm:sqref>F28:G28</xm:sqref>
        </x14:conditionalFormatting>
        <x14:conditionalFormatting xmlns:xm="http://schemas.microsoft.com/office/excel/2006/main">
          <x14:cfRule type="expression" priority="5" id="{0BFCEA32-B89E-4F02-BCBB-0E3D7EAC5C1C}">
            <xm:f>$E$29=FAListas!$C$57</xm:f>
            <x14:dxf>
              <fill>
                <patternFill>
                  <bgColor theme="1"/>
                </patternFill>
              </fill>
            </x14:dxf>
          </x14:cfRule>
          <xm:sqref>F29:G29</xm:sqref>
        </x14:conditionalFormatting>
        <x14:conditionalFormatting xmlns:xm="http://schemas.microsoft.com/office/excel/2006/main">
          <x14:cfRule type="expression" priority="46" id="{C90FB073-7DD4-43C2-B1D5-792FE10C3B0A}">
            <xm:f>$E$31=FAListas!$C$57</xm:f>
            <x14:dxf>
              <fill>
                <patternFill>
                  <bgColor theme="1"/>
                </patternFill>
              </fill>
            </x14:dxf>
          </x14:cfRule>
          <xm:sqref>F31:G31</xm:sqref>
        </x14:conditionalFormatting>
        <x14:conditionalFormatting xmlns:xm="http://schemas.microsoft.com/office/excel/2006/main">
          <x14:cfRule type="expression" priority="47" id="{2D63A29B-1E25-447A-AA84-0F5F4F8D405F}">
            <xm:f>$E$32=FAListas!$C$57</xm:f>
            <x14:dxf>
              <fill>
                <patternFill patternType="solid">
                  <fgColor rgb="FFFF0000"/>
                  <bgColor theme="1"/>
                </patternFill>
              </fill>
            </x14:dxf>
          </x14:cfRule>
          <xm:sqref>F32:G32</xm:sqref>
        </x14:conditionalFormatting>
        <x14:conditionalFormatting xmlns:xm="http://schemas.microsoft.com/office/excel/2006/main">
          <x14:cfRule type="expression" priority="10" id="{43FE9C9F-819D-4085-81A1-35D97BA697EA}">
            <xm:f>$E$54=FAListas!$C$62</xm:f>
            <x14:dxf>
              <font>
                <color rgb="FF000000"/>
              </font>
            </x14:dxf>
          </x14:cfRule>
          <xm:sqref>F54:G54</xm:sqref>
        </x14:conditionalFormatting>
        <x14:conditionalFormatting xmlns:xm="http://schemas.microsoft.com/office/excel/2006/main">
          <x14:cfRule type="expression" priority="13" id="{DE776671-BC6E-4FAA-A1EB-13E84D2ABCDF}">
            <xm:f>$E$54=FAListas!$C$62</xm:f>
            <x14:dxf>
              <fill>
                <patternFill>
                  <bgColor theme="0"/>
                </patternFill>
              </fill>
            </x14:dxf>
          </x14:cfRule>
          <xm:sqref>F56:G62</xm:sqref>
        </x14:conditionalFormatting>
        <x14:conditionalFormatting xmlns:xm="http://schemas.microsoft.com/office/excel/2006/main">
          <x14:cfRule type="expression" priority="37" id="{4A281512-E5A7-49CE-B30B-BC63B39E9F58}">
            <xm:f>FACalc_ferrovia!$C$10=FAListas!#REF!</xm:f>
            <x14:dxf>
              <fill>
                <patternFill>
                  <bgColor theme="1"/>
                </patternFill>
              </fill>
            </x14:dxf>
          </x14:cfRule>
          <xm:sqref>G143</xm:sqref>
        </x14:conditionalFormatting>
        <x14:conditionalFormatting xmlns:xm="http://schemas.microsoft.com/office/excel/2006/main">
          <x14:cfRule type="expression" priority="36" id="{FC2137B4-4BEF-4DFC-8363-528B6A406B47}">
            <xm:f>FACalc_ferrovia!$C$10=FAListas!#REF!</xm:f>
            <x14:dxf>
              <fill>
                <patternFill>
                  <bgColor theme="1"/>
                </patternFill>
              </fill>
            </x14:dxf>
          </x14:cfRule>
          <xm:sqref>G146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303C772-BBC0-40D3-929C-40C257FD0DD0}">
          <x14:formula1>
            <xm:f>FAListas!$C$5:$C$14</xm:f>
          </x14:formula1>
          <xm:sqref>F63:G63</xm:sqref>
        </x14:dataValidation>
        <x14:dataValidation type="list" allowBlank="1" showInputMessage="1" showErrorMessage="1" xr:uid="{785877B0-FCFB-4436-8931-DD1EBCC57C66}">
          <x14:formula1>
            <xm:f>FAListas!$C$55:$C$57</xm:f>
          </x14:formula1>
          <xm:sqref>E23:E25 E27:E29 E33</xm:sqref>
        </x14:dataValidation>
        <x14:dataValidation type="list" allowBlank="1" showInputMessage="1" showErrorMessage="1" xr:uid="{1B8A1478-E007-4D7D-BC0F-08CBA22E4991}">
          <x14:formula1>
            <xm:f>FAListas!$C$15:$C$17</xm:f>
          </x14:formula1>
          <xm:sqref>E100</xm:sqref>
        </x14:dataValidation>
        <x14:dataValidation type="list" allowBlank="1" showInputMessage="1" showErrorMessage="1" xr:uid="{A45E9A6A-7925-404B-9404-73AA34823A27}">
          <x14:formula1>
            <xm:f>FAListas!$C$61:$C$63</xm:f>
          </x14:formula1>
          <xm:sqref>E54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B9280-142A-414B-A4D4-9213594AE31C}">
  <sheetPr codeName="Sheet10"/>
  <dimension ref="B3:D69"/>
  <sheetViews>
    <sheetView showGridLines="0" topLeftCell="A31" workbookViewId="0">
      <selection activeCell="C31" sqref="C31"/>
    </sheetView>
  </sheetViews>
  <sheetFormatPr defaultRowHeight="15" x14ac:dyDescent="0.25"/>
  <cols>
    <col min="2" max="2" width="41.7109375" customWidth="1"/>
    <col min="3" max="3" width="72.7109375" style="2" customWidth="1"/>
    <col min="4" max="4" width="29.5703125" customWidth="1"/>
    <col min="5" max="5" width="16.28515625" customWidth="1"/>
  </cols>
  <sheetData>
    <row r="3" spans="2:4" ht="39" x14ac:dyDescent="0.25">
      <c r="B3" s="66" t="s">
        <v>150</v>
      </c>
      <c r="C3" s="552"/>
    </row>
    <row r="5" spans="2:4" ht="15.75" x14ac:dyDescent="0.25">
      <c r="B5" s="1555" t="s">
        <v>281</v>
      </c>
      <c r="C5" s="78" t="s">
        <v>146</v>
      </c>
      <c r="D5" s="2"/>
    </row>
    <row r="6" spans="2:4" ht="14.45" customHeight="1" x14ac:dyDescent="0.25">
      <c r="B6" s="1555"/>
      <c r="C6" s="551" t="s">
        <v>805</v>
      </c>
      <c r="D6" s="2"/>
    </row>
    <row r="7" spans="2:4" ht="14.45" customHeight="1" x14ac:dyDescent="0.25">
      <c r="B7" s="1555"/>
      <c r="C7" s="551" t="s">
        <v>818</v>
      </c>
      <c r="D7" s="2"/>
    </row>
    <row r="8" spans="2:4" ht="14.45" customHeight="1" x14ac:dyDescent="0.25">
      <c r="B8" s="1555"/>
      <c r="C8" s="551" t="s">
        <v>806</v>
      </c>
      <c r="D8" s="2"/>
    </row>
    <row r="9" spans="2:4" ht="32.450000000000003" customHeight="1" x14ac:dyDescent="0.25">
      <c r="B9" s="1555"/>
      <c r="C9" s="551" t="s">
        <v>807</v>
      </c>
      <c r="D9" s="2"/>
    </row>
    <row r="10" spans="2:4" ht="14.45" customHeight="1" x14ac:dyDescent="0.25">
      <c r="B10" s="1555"/>
      <c r="C10" s="551" t="s">
        <v>808</v>
      </c>
      <c r="D10" s="2"/>
    </row>
    <row r="11" spans="2:4" ht="14.45" customHeight="1" x14ac:dyDescent="0.25">
      <c r="B11" s="1555"/>
      <c r="C11" s="551" t="s">
        <v>809</v>
      </c>
      <c r="D11" s="2"/>
    </row>
    <row r="12" spans="2:4" ht="14.45" customHeight="1" x14ac:dyDescent="0.25">
      <c r="B12" s="1555"/>
      <c r="C12" s="551" t="s">
        <v>810</v>
      </c>
      <c r="D12" s="2"/>
    </row>
    <row r="13" spans="2:4" ht="14.45" customHeight="1" x14ac:dyDescent="0.25">
      <c r="B13" s="1555"/>
      <c r="C13" s="551" t="s">
        <v>811</v>
      </c>
      <c r="D13" s="2"/>
    </row>
    <row r="14" spans="2:4" ht="14.45" customHeight="1" x14ac:dyDescent="0.25">
      <c r="B14" s="1555"/>
      <c r="C14" s="551" t="s">
        <v>812</v>
      </c>
      <c r="D14" s="2"/>
    </row>
    <row r="15" spans="2:4" ht="15.75" x14ac:dyDescent="0.25">
      <c r="B15" s="1556" t="s">
        <v>151</v>
      </c>
      <c r="C15" s="78" t="s">
        <v>585</v>
      </c>
    </row>
    <row r="16" spans="2:4" ht="15.75" x14ac:dyDescent="0.25">
      <c r="B16" s="1557"/>
      <c r="C16" s="72" t="s">
        <v>83</v>
      </c>
    </row>
    <row r="17" spans="2:4" ht="15.75" x14ac:dyDescent="0.25">
      <c r="B17" s="1558"/>
      <c r="C17" s="72" t="s">
        <v>84</v>
      </c>
    </row>
    <row r="18" spans="2:4" ht="15.75" x14ac:dyDescent="0.25">
      <c r="B18" s="1556" t="s">
        <v>528</v>
      </c>
      <c r="C18" s="78" t="s">
        <v>146</v>
      </c>
      <c r="D18" s="203" t="s">
        <v>272</v>
      </c>
    </row>
    <row r="19" spans="2:4" ht="15.75" x14ac:dyDescent="0.25">
      <c r="B19" s="1557"/>
      <c r="C19" s="78" t="s">
        <v>527</v>
      </c>
      <c r="D19" s="2">
        <f>'Fatores de Emissão'!E51</f>
        <v>3.6999999999999998E-2</v>
      </c>
    </row>
    <row r="20" spans="2:4" ht="15.75" x14ac:dyDescent="0.25">
      <c r="B20" s="1557"/>
      <c r="C20" s="71" t="s">
        <v>145</v>
      </c>
      <c r="D20" s="2">
        <f>'Fatores de Emissão'!E51</f>
        <v>3.6999999999999998E-2</v>
      </c>
    </row>
    <row r="21" spans="2:4" ht="15.75" x14ac:dyDescent="0.25">
      <c r="B21" s="1557"/>
      <c r="C21" s="71" t="s">
        <v>520</v>
      </c>
      <c r="D21" s="2">
        <f>'Fatores de Emissão'!$E$51</f>
        <v>3.6999999999999998E-2</v>
      </c>
    </row>
    <row r="22" spans="2:4" ht="15.75" x14ac:dyDescent="0.25">
      <c r="B22" s="1557"/>
      <c r="C22" s="71" t="s">
        <v>144</v>
      </c>
      <c r="D22" s="2">
        <f>'Fatores de Emissão'!$E$51</f>
        <v>3.6999999999999998E-2</v>
      </c>
    </row>
    <row r="23" spans="2:4" ht="15.75" x14ac:dyDescent="0.25">
      <c r="B23" s="1557"/>
      <c r="C23" s="71" t="s">
        <v>518</v>
      </c>
      <c r="D23" s="2">
        <f>'Fatores de Emissão'!E50</f>
        <v>1E-3</v>
      </c>
    </row>
    <row r="24" spans="2:4" ht="15.75" x14ac:dyDescent="0.25">
      <c r="B24" s="1557"/>
      <c r="C24" s="71" t="s">
        <v>143</v>
      </c>
      <c r="D24" s="2">
        <f>'Fatores de Emissão'!$E$51</f>
        <v>3.6999999999999998E-2</v>
      </c>
    </row>
    <row r="25" spans="2:4" ht="15.75" x14ac:dyDescent="0.25">
      <c r="B25" s="1557"/>
      <c r="C25" s="71" t="s">
        <v>519</v>
      </c>
      <c r="D25" s="2">
        <f>'Fatores de Emissão'!$E$51</f>
        <v>3.6999999999999998E-2</v>
      </c>
    </row>
    <row r="26" spans="2:4" ht="15.75" x14ac:dyDescent="0.25">
      <c r="B26" s="1557"/>
      <c r="C26" s="71" t="s">
        <v>526</v>
      </c>
      <c r="D26" s="2">
        <v>2.7E-2</v>
      </c>
    </row>
    <row r="27" spans="2:4" ht="15.75" x14ac:dyDescent="0.25">
      <c r="B27" s="1557"/>
      <c r="C27" s="71" t="s">
        <v>516</v>
      </c>
      <c r="D27" s="2">
        <f>'Fatores de Emissão'!$E$51</f>
        <v>3.6999999999999998E-2</v>
      </c>
    </row>
    <row r="28" spans="2:4" ht="15.75" x14ac:dyDescent="0.25">
      <c r="B28" s="1558"/>
      <c r="C28" s="71" t="s">
        <v>517</v>
      </c>
      <c r="D28" s="2">
        <f>'Fatores de Emissão'!$E$51</f>
        <v>3.6999999999999998E-2</v>
      </c>
    </row>
    <row r="29" spans="2:4" ht="15.75" x14ac:dyDescent="0.25">
      <c r="B29" s="274" t="s">
        <v>309</v>
      </c>
      <c r="C29" s="275" t="s">
        <v>146</v>
      </c>
    </row>
    <row r="30" spans="2:4" ht="15.75" x14ac:dyDescent="0.25">
      <c r="B30" s="276"/>
      <c r="C30" s="275" t="s">
        <v>196</v>
      </c>
    </row>
    <row r="31" spans="2:4" ht="15.75" x14ac:dyDescent="0.25">
      <c r="B31" s="276"/>
      <c r="C31" s="275" t="s">
        <v>700</v>
      </c>
    </row>
    <row r="32" spans="2:4" ht="15.75" x14ac:dyDescent="0.25">
      <c r="B32" s="272" t="s">
        <v>310</v>
      </c>
      <c r="C32" s="71" t="s">
        <v>146</v>
      </c>
    </row>
    <row r="33" spans="2:3" ht="15.75" x14ac:dyDescent="0.25">
      <c r="B33" s="273"/>
      <c r="C33" s="71" t="s">
        <v>196</v>
      </c>
    </row>
    <row r="34" spans="2:3" ht="15.75" x14ac:dyDescent="0.25">
      <c r="B34" s="273"/>
      <c r="C34" s="71" t="s">
        <v>701</v>
      </c>
    </row>
    <row r="35" spans="2:3" ht="15.75" x14ac:dyDescent="0.25">
      <c r="B35" s="273"/>
      <c r="C35" s="71" t="s">
        <v>702</v>
      </c>
    </row>
    <row r="36" spans="2:3" ht="31.15" customHeight="1" x14ac:dyDescent="0.25">
      <c r="B36" s="274" t="s">
        <v>311</v>
      </c>
      <c r="C36" s="275" t="s">
        <v>146</v>
      </c>
    </row>
    <row r="37" spans="2:3" ht="15.75" x14ac:dyDescent="0.25">
      <c r="B37" s="276"/>
      <c r="C37" s="275" t="s">
        <v>196</v>
      </c>
    </row>
    <row r="38" spans="2:3" ht="15.75" x14ac:dyDescent="0.25">
      <c r="B38" s="276"/>
      <c r="C38" s="275" t="s">
        <v>700</v>
      </c>
    </row>
    <row r="39" spans="2:3" ht="15.75" x14ac:dyDescent="0.25">
      <c r="B39" s="276"/>
      <c r="C39" s="275" t="s">
        <v>703</v>
      </c>
    </row>
    <row r="40" spans="2:3" ht="15.75" x14ac:dyDescent="0.25">
      <c r="B40" s="272" t="s">
        <v>312</v>
      </c>
      <c r="C40" s="71" t="s">
        <v>146</v>
      </c>
    </row>
    <row r="41" spans="2:3" ht="15.75" x14ac:dyDescent="0.25">
      <c r="B41" s="273"/>
      <c r="C41" s="71" t="s">
        <v>196</v>
      </c>
    </row>
    <row r="42" spans="2:3" ht="15.75" x14ac:dyDescent="0.25">
      <c r="B42" s="273"/>
      <c r="C42" s="71" t="s">
        <v>704</v>
      </c>
    </row>
    <row r="43" spans="2:3" ht="15.75" x14ac:dyDescent="0.25">
      <c r="B43" s="273"/>
      <c r="C43" s="71" t="s">
        <v>702</v>
      </c>
    </row>
    <row r="44" spans="2:3" ht="31.15" customHeight="1" x14ac:dyDescent="0.25">
      <c r="B44" s="1560" t="s">
        <v>313</v>
      </c>
      <c r="C44" s="275" t="s">
        <v>146</v>
      </c>
    </row>
    <row r="45" spans="2:3" ht="15.75" x14ac:dyDescent="0.25">
      <c r="B45" s="1561"/>
      <c r="C45" s="275" t="s">
        <v>196</v>
      </c>
    </row>
    <row r="46" spans="2:3" ht="15.75" x14ac:dyDescent="0.25">
      <c r="B46" s="1561"/>
      <c r="C46" s="275" t="s">
        <v>700</v>
      </c>
    </row>
    <row r="47" spans="2:3" ht="16.5" thickBot="1" x14ac:dyDescent="0.3">
      <c r="B47" s="1561"/>
      <c r="C47" s="1158" t="s">
        <v>703</v>
      </c>
    </row>
    <row r="48" spans="2:3" ht="15.75" x14ac:dyDescent="0.25">
      <c r="B48" s="1549" t="s">
        <v>314</v>
      </c>
      <c r="C48" s="1153" t="s">
        <v>146</v>
      </c>
    </row>
    <row r="49" spans="2:3" ht="15.75" x14ac:dyDescent="0.25">
      <c r="B49" s="1550"/>
      <c r="C49" s="1156" t="s">
        <v>196</v>
      </c>
    </row>
    <row r="50" spans="2:3" ht="15.75" x14ac:dyDescent="0.25">
      <c r="B50" s="1550"/>
      <c r="C50" s="1156" t="s">
        <v>701</v>
      </c>
    </row>
    <row r="51" spans="2:3" ht="16.5" thickBot="1" x14ac:dyDescent="0.3">
      <c r="B51" s="1551"/>
      <c r="C51" s="1157" t="s">
        <v>702</v>
      </c>
    </row>
    <row r="52" spans="2:3" ht="31.15" hidden="1" customHeight="1" x14ac:dyDescent="0.25">
      <c r="B52" s="1559" t="s">
        <v>197</v>
      </c>
      <c r="C52" s="1159" t="s">
        <v>146</v>
      </c>
    </row>
    <row r="53" spans="2:3" ht="15.75" hidden="1" x14ac:dyDescent="0.25">
      <c r="B53" s="1559"/>
      <c r="C53" s="71" t="s">
        <v>196</v>
      </c>
    </row>
    <row r="54" spans="2:3" ht="15.75" hidden="1" x14ac:dyDescent="0.25">
      <c r="B54" s="1559"/>
      <c r="C54" s="77" t="s">
        <v>705</v>
      </c>
    </row>
    <row r="55" spans="2:3" ht="15.75" x14ac:dyDescent="0.25">
      <c r="B55" s="1549" t="s">
        <v>729</v>
      </c>
      <c r="C55" s="1153" t="s">
        <v>146</v>
      </c>
    </row>
    <row r="56" spans="2:3" ht="15.75" x14ac:dyDescent="0.25">
      <c r="B56" s="1550"/>
      <c r="C56" s="1156" t="s">
        <v>196</v>
      </c>
    </row>
    <row r="57" spans="2:3" ht="16.5" thickBot="1" x14ac:dyDescent="0.3">
      <c r="B57" s="1551"/>
      <c r="C57" s="1157" t="s">
        <v>730</v>
      </c>
    </row>
    <row r="58" spans="2:3" ht="34.15" customHeight="1" x14ac:dyDescent="0.25">
      <c r="B58" s="1552" t="s">
        <v>199</v>
      </c>
      <c r="C58" s="1153" t="s">
        <v>146</v>
      </c>
    </row>
    <row r="59" spans="2:3" ht="15.75" x14ac:dyDescent="0.25">
      <c r="B59" s="1553"/>
      <c r="C59" s="1156" t="s">
        <v>843</v>
      </c>
    </row>
    <row r="60" spans="2:3" ht="16.5" thickBot="1" x14ac:dyDescent="0.3">
      <c r="B60" s="1554"/>
      <c r="C60" s="1157" t="s">
        <v>844</v>
      </c>
    </row>
    <row r="61" spans="2:3" ht="15.75" x14ac:dyDescent="0.25">
      <c r="B61" s="1552" t="s">
        <v>1008</v>
      </c>
      <c r="C61" s="1153" t="s">
        <v>146</v>
      </c>
    </row>
    <row r="62" spans="2:3" ht="15.75" x14ac:dyDescent="0.25">
      <c r="B62" s="1553"/>
      <c r="C62" s="1156" t="s">
        <v>1006</v>
      </c>
    </row>
    <row r="63" spans="2:3" ht="16.5" thickBot="1" x14ac:dyDescent="0.3">
      <c r="B63" s="1554"/>
      <c r="C63" s="1157" t="s">
        <v>1007</v>
      </c>
    </row>
    <row r="64" spans="2:3" ht="28.9" customHeight="1" x14ac:dyDescent="0.25">
      <c r="B64" s="1546" t="s">
        <v>1269</v>
      </c>
      <c r="C64" s="1153" t="s">
        <v>146</v>
      </c>
    </row>
    <row r="65" spans="2:3" x14ac:dyDescent="0.25">
      <c r="B65" s="1547"/>
      <c r="C65" s="1154" t="s">
        <v>339</v>
      </c>
    </row>
    <row r="66" spans="2:3" ht="15.75" thickBot="1" x14ac:dyDescent="0.3">
      <c r="B66" s="1548"/>
      <c r="C66" s="1155" t="s">
        <v>1270</v>
      </c>
    </row>
    <row r="67" spans="2:3" ht="15.6" customHeight="1" x14ac:dyDescent="0.25">
      <c r="B67" s="1546" t="s">
        <v>1271</v>
      </c>
      <c r="C67" s="1153" t="s">
        <v>146</v>
      </c>
    </row>
    <row r="68" spans="2:3" x14ac:dyDescent="0.25">
      <c r="B68" s="1547"/>
      <c r="C68" s="1154" t="s">
        <v>339</v>
      </c>
    </row>
    <row r="69" spans="2:3" ht="15.75" thickBot="1" x14ac:dyDescent="0.3">
      <c r="B69" s="1548"/>
      <c r="C69" s="1155" t="s">
        <v>1272</v>
      </c>
    </row>
  </sheetData>
  <mergeCells count="11">
    <mergeCell ref="B64:B66"/>
    <mergeCell ref="B67:B69"/>
    <mergeCell ref="B48:B51"/>
    <mergeCell ref="B61:B63"/>
    <mergeCell ref="B5:B14"/>
    <mergeCell ref="B15:B17"/>
    <mergeCell ref="B52:B54"/>
    <mergeCell ref="B55:B57"/>
    <mergeCell ref="B58:B60"/>
    <mergeCell ref="B18:B28"/>
    <mergeCell ref="B44:B47"/>
  </mergeCells>
  <dataValidations count="1">
    <dataValidation type="list" allowBlank="1" showInputMessage="1" showErrorMessage="1" sqref="C20 C23:C28" xr:uid="{AD3A9237-7E67-41C3-AEF7-9766075FCECC}">
      <formula1>$C$20:$C$28</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B6EAF-8065-4F34-8747-AE1CEC825E35}">
  <dimension ref="A1:AE169"/>
  <sheetViews>
    <sheetView showGridLines="0" topLeftCell="A151" zoomScale="70" zoomScaleNormal="70" workbookViewId="0">
      <selection activeCell="Y14" sqref="Y14"/>
    </sheetView>
  </sheetViews>
  <sheetFormatPr defaultRowHeight="15" x14ac:dyDescent="0.25"/>
  <cols>
    <col min="1" max="1" width="11.42578125" bestFit="1" customWidth="1"/>
    <col min="2" max="2" width="48" customWidth="1"/>
    <col min="3" max="3" width="16.28515625" customWidth="1"/>
    <col min="4" max="4" width="38.42578125" style="1" customWidth="1"/>
    <col min="5" max="5" width="37.7109375" style="1" customWidth="1"/>
    <col min="6" max="6" width="22.7109375" style="1" customWidth="1"/>
    <col min="7" max="7" width="48" style="1" customWidth="1"/>
    <col min="8" max="8" width="23" style="1" customWidth="1"/>
    <col min="9" max="9" width="38.42578125" style="1" customWidth="1"/>
    <col min="10" max="10" width="37.7109375" style="1" customWidth="1"/>
    <col min="11" max="12" width="17.7109375" style="1" customWidth="1"/>
    <col min="13" max="13" width="16.28515625" style="1" customWidth="1"/>
    <col min="14" max="15" width="20.7109375" style="1" customWidth="1"/>
    <col min="16" max="23" width="20.7109375" customWidth="1"/>
    <col min="24" max="24" width="51.5703125" customWidth="1"/>
    <col min="25" max="25" width="29.28515625" customWidth="1"/>
    <col min="26" max="32" width="20.7109375" customWidth="1"/>
  </cols>
  <sheetData>
    <row r="1" spans="1:31" x14ac:dyDescent="0.25">
      <c r="I1" s="104"/>
    </row>
    <row r="2" spans="1:31" x14ac:dyDescent="0.25">
      <c r="I2" s="104"/>
    </row>
    <row r="5" spans="1:31" s="121" customFormat="1" ht="12.75" x14ac:dyDescent="0.2">
      <c r="A5" s="120" t="s">
        <v>1032</v>
      </c>
      <c r="D5" s="122"/>
      <c r="E5" s="122"/>
      <c r="F5" s="122"/>
      <c r="G5" s="122"/>
      <c r="H5" s="122"/>
      <c r="I5" s="122"/>
      <c r="J5" s="122"/>
      <c r="K5" s="122"/>
      <c r="L5" s="122"/>
      <c r="M5" s="122"/>
      <c r="N5" s="122"/>
      <c r="O5" s="122"/>
    </row>
    <row r="6" spans="1:31" s="123" customFormat="1" ht="12.75" x14ac:dyDescent="0.2">
      <c r="D6" s="124"/>
      <c r="E6" s="124"/>
      <c r="F6" s="124"/>
      <c r="G6" s="124"/>
      <c r="H6" s="124"/>
      <c r="I6" s="124"/>
      <c r="J6" s="124"/>
      <c r="K6" s="124"/>
      <c r="L6" s="124"/>
      <c r="M6" s="124"/>
      <c r="N6" s="124"/>
      <c r="O6" s="124"/>
    </row>
    <row r="7" spans="1:31" s="125" customFormat="1" ht="12.75" x14ac:dyDescent="0.2">
      <c r="B7" s="126" t="s">
        <v>1038</v>
      </c>
      <c r="D7" s="127"/>
      <c r="E7" s="127"/>
      <c r="F7" s="127"/>
      <c r="G7" s="127"/>
      <c r="H7" s="127"/>
      <c r="I7" s="127"/>
      <c r="J7" s="127"/>
      <c r="K7" s="127"/>
      <c r="L7" s="127"/>
      <c r="M7" s="127"/>
      <c r="N7" s="127"/>
      <c r="O7" s="127"/>
    </row>
    <row r="8" spans="1:31" s="123" customFormat="1" ht="12.75" x14ac:dyDescent="0.2">
      <c r="B8" s="247"/>
      <c r="D8" s="124"/>
      <c r="E8" s="124"/>
      <c r="F8" s="124"/>
      <c r="G8" s="124"/>
      <c r="H8" s="124"/>
      <c r="I8" s="124"/>
      <c r="J8" s="124"/>
      <c r="K8" s="124"/>
      <c r="L8" s="124"/>
      <c r="M8" s="124"/>
      <c r="N8" s="124"/>
      <c r="O8" s="124"/>
      <c r="Z8" s="1488" t="s">
        <v>474</v>
      </c>
      <c r="AA8" s="1488"/>
      <c r="AB8" s="1488"/>
      <c r="AC8" s="1488"/>
      <c r="AD8" s="1488"/>
    </row>
    <row r="9" spans="1:31" s="123" customFormat="1" ht="12.75" x14ac:dyDescent="0.2">
      <c r="B9" s="247"/>
      <c r="D9" s="124"/>
      <c r="E9" s="124"/>
      <c r="F9" s="124"/>
      <c r="G9" s="124" t="s">
        <v>284</v>
      </c>
      <c r="H9" s="124"/>
      <c r="I9" s="124"/>
      <c r="J9" s="124"/>
      <c r="K9" s="124"/>
      <c r="L9" s="124"/>
      <c r="M9" s="124"/>
      <c r="N9" s="124"/>
      <c r="O9" s="124"/>
    </row>
    <row r="10" spans="1:31" s="123" customFormat="1" ht="12.75" x14ac:dyDescent="0.2">
      <c r="B10" s="247"/>
      <c r="D10" s="124"/>
      <c r="E10" s="124"/>
      <c r="F10" s="124"/>
      <c r="G10" s="124"/>
      <c r="H10" s="124"/>
      <c r="I10" s="124"/>
      <c r="J10" s="124"/>
      <c r="K10" s="124"/>
      <c r="L10" s="124"/>
      <c r="M10" s="124"/>
      <c r="N10" s="124"/>
      <c r="O10" s="124"/>
      <c r="Z10" s="123" t="str">
        <f>IFERROR('IC_todos os projetos'!#REF!+2,"0")</f>
        <v>0</v>
      </c>
      <c r="AA10" s="123">
        <f>IFERROR('IC_todos os projetos'!F39+2,"0")</f>
        <v>2</v>
      </c>
      <c r="AB10" s="123" t="str">
        <f>IFERROR('IC_todos os projetos'!#REF!+2,"0")</f>
        <v>0</v>
      </c>
      <c r="AC10" s="123" t="str">
        <f>IFERROR('IC_todos os projetos'!#REF!+2,"0")</f>
        <v>0</v>
      </c>
      <c r="AD10" s="123">
        <f>IFERROR('IC_todos os projetos'!J112+2,"0")</f>
        <v>2</v>
      </c>
    </row>
    <row r="11" spans="1:31" s="123" customFormat="1" ht="12.75" x14ac:dyDescent="0.2">
      <c r="B11" s="112" t="s">
        <v>114</v>
      </c>
      <c r="C11" s="111" t="s">
        <v>86</v>
      </c>
      <c r="D11" s="108" t="s">
        <v>126</v>
      </c>
      <c r="E11" s="124"/>
      <c r="F11" s="124"/>
      <c r="G11" s="124"/>
      <c r="H11" s="124"/>
      <c r="I11" s="124"/>
      <c r="J11" s="124"/>
      <c r="K11" s="124"/>
      <c r="L11" s="124"/>
      <c r="M11" s="124"/>
      <c r="N11" s="124"/>
      <c r="O11" s="124"/>
    </row>
    <row r="12" spans="1:31" s="128" customFormat="1" ht="54" customHeight="1" x14ac:dyDescent="0.2">
      <c r="B12" s="107" t="s">
        <v>190</v>
      </c>
      <c r="C12" s="109" t="str">
        <f>IFERROR(D12+2,"0")</f>
        <v>0</v>
      </c>
      <c r="D12" s="110" t="str">
        <f>'ID_Identificação do projeto'!C14</f>
        <v>AAAA</v>
      </c>
      <c r="E12" s="101"/>
      <c r="F12" s="621" t="s">
        <v>114</v>
      </c>
      <c r="G12" s="621" t="s">
        <v>1055</v>
      </c>
      <c r="H12" s="621" t="s">
        <v>1054</v>
      </c>
      <c r="I12" s="621" t="s">
        <v>283</v>
      </c>
      <c r="J12" s="621" t="s">
        <v>872</v>
      </c>
      <c r="K12" s="622" t="s">
        <v>720</v>
      </c>
      <c r="L12" s="608"/>
      <c r="M12" s="621" t="s">
        <v>1040</v>
      </c>
      <c r="N12" s="622" t="s">
        <v>886</v>
      </c>
      <c r="O12" s="610"/>
      <c r="P12" s="129"/>
      <c r="Q12" s="129"/>
      <c r="R12" s="129"/>
      <c r="S12" s="129"/>
      <c r="T12" s="129"/>
      <c r="U12" s="129" t="s">
        <v>200</v>
      </c>
      <c r="V12" s="129"/>
      <c r="W12" s="117" t="s">
        <v>20</v>
      </c>
      <c r="X12" s="117" t="s">
        <v>201</v>
      </c>
      <c r="Y12" s="906" t="s">
        <v>251</v>
      </c>
      <c r="Z12" s="907"/>
      <c r="AA12" s="907"/>
      <c r="AB12" s="907"/>
      <c r="AC12" s="907"/>
      <c r="AD12" s="907"/>
      <c r="AE12" s="907"/>
    </row>
    <row r="13" spans="1:31" s="128" customFormat="1" ht="42" customHeight="1" x14ac:dyDescent="0.2">
      <c r="B13" s="107" t="s">
        <v>293</v>
      </c>
      <c r="C13" s="109" t="str">
        <f>'ID_Identificação do projeto'!$C$16</f>
        <v>Selecionar uma opção</v>
      </c>
      <c r="D13" s="110"/>
      <c r="E13" s="101"/>
      <c r="F13" s="824" t="s">
        <v>1037</v>
      </c>
      <c r="G13" s="624">
        <f>C27</f>
        <v>0</v>
      </c>
      <c r="H13" s="825"/>
      <c r="I13" s="630">
        <f>C15</f>
        <v>0</v>
      </c>
      <c r="J13" s="826"/>
      <c r="K13" s="624">
        <f>IFERROR((G13*I13)/1000,"")</f>
        <v>0</v>
      </c>
      <c r="L13" s="609"/>
      <c r="M13" s="626"/>
      <c r="N13" s="1255">
        <f>K13</f>
        <v>0</v>
      </c>
      <c r="O13" s="614"/>
      <c r="P13" s="129"/>
      <c r="Q13" s="129"/>
      <c r="R13" s="129"/>
      <c r="S13" s="129"/>
      <c r="T13" s="129"/>
      <c r="U13" s="129"/>
      <c r="V13" s="129"/>
      <c r="W13" s="118">
        <v>2025</v>
      </c>
      <c r="X13" s="140">
        <v>165</v>
      </c>
      <c r="Y13" s="106" t="e">
        <f>VLOOKUP(C12,W13:X31,2,FALSE)</f>
        <v>#N/A</v>
      </c>
      <c r="Z13" s="106"/>
      <c r="AA13" s="106"/>
      <c r="AB13" s="106"/>
      <c r="AC13" s="106"/>
      <c r="AD13" s="106"/>
    </row>
    <row r="14" spans="1:31" s="128" customFormat="1" ht="40.15" customHeight="1" x14ac:dyDescent="0.2">
      <c r="B14" s="259" t="s">
        <v>142</v>
      </c>
      <c r="C14" s="102" t="str">
        <f>'ID_Identificação do projeto'!$C$18</f>
        <v>Selecionar uma opção</v>
      </c>
      <c r="E14" s="101"/>
      <c r="F14" s="827" t="str">
        <f t="shared" ref="F14:F20" si="0">B31</f>
        <v>Automóvel a combustão- gasóleo</v>
      </c>
      <c r="G14" s="624" t="str">
        <f>IFERROR(IF(FACalc_parquesestacionamento!$D$30=FAListas!$C$62,($C$28/1.6)*C31,"0"),"")</f>
        <v>0</v>
      </c>
      <c r="H14" s="624" t="str">
        <f>IFERROR(IF(FACalc_parquesestacionamento!$D$30=FAListas!$C$63,($C$28/1.6)*C45,"0"),"")</f>
        <v>0</v>
      </c>
      <c r="I14" s="630" t="str">
        <f>IFERROR(IF(D19=FAListas!$C$56, C19,"0"),"")</f>
        <v>0</v>
      </c>
      <c r="J14" s="826" t="str">
        <f>IFERROR(IF(D19=FAListas!$C$57,D45,"0"),"")</f>
        <v>0</v>
      </c>
      <c r="K14" s="625">
        <f t="shared" ref="K14:K20" si="1">IFERROR(((G14*I14)+(G14*J14)+(H14*I14)+(H14*J14))/1000,"")</f>
        <v>0</v>
      </c>
      <c r="L14" s="612"/>
      <c r="M14" s="626">
        <f>D108</f>
        <v>3.0562499999999999E-2</v>
      </c>
      <c r="N14" s="626">
        <f t="shared" ref="N14:N20" si="2">IFERROR(K14+(((G14*M14)+(H14*M14))/1000),"")</f>
        <v>0</v>
      </c>
      <c r="O14" s="611"/>
      <c r="P14" s="129"/>
      <c r="Q14" s="129"/>
      <c r="R14" s="129"/>
      <c r="S14" s="129"/>
      <c r="T14" s="129"/>
      <c r="U14" s="129"/>
      <c r="V14" s="129"/>
      <c r="W14" s="118">
        <v>2026</v>
      </c>
      <c r="X14" s="140">
        <v>182</v>
      </c>
    </row>
    <row r="15" spans="1:31" s="128" customFormat="1" ht="40.15" customHeight="1" x14ac:dyDescent="0.2">
      <c r="B15" s="107" t="str">
        <f>'TM5_parques de estacionamento'!C21</f>
        <v>Fator de emissão de GEE (eletricidade)</v>
      </c>
      <c r="C15" s="109">
        <f>'TM5_parques de estacionamento'!F21</f>
        <v>0</v>
      </c>
      <c r="D15" s="110">
        <v>0</v>
      </c>
      <c r="E15" s="101"/>
      <c r="F15" s="827" t="str">
        <f t="shared" si="0"/>
        <v>Automóvel a combustão- gasolina</v>
      </c>
      <c r="G15" s="624" t="str">
        <f>IFERROR(IF(FACalc_parquesestacionamento!$D$30=FAListas!$C$62,($C$28/1.6)*C32,"0"),"")</f>
        <v>0</v>
      </c>
      <c r="H15" s="624" t="str">
        <f>IFERROR(IF(FACalc_parquesestacionamento!$D$30=FAListas!$C$63,($C$28/1.6)*C46,"0"),"")</f>
        <v>0</v>
      </c>
      <c r="I15" s="630" t="str">
        <f>IFERROR(IF(D20=FAListas!$C$56, C20,"0"),"")</f>
        <v>0</v>
      </c>
      <c r="J15" s="826" t="str">
        <f>IFERROR(IF(D20=FAListas!$C$57,D46,"0"),"")</f>
        <v>0</v>
      </c>
      <c r="K15" s="625">
        <f t="shared" si="1"/>
        <v>0</v>
      </c>
      <c r="L15" s="612"/>
      <c r="M15" s="626">
        <f>D109</f>
        <v>3.0562499999999999E-2</v>
      </c>
      <c r="N15" s="626">
        <f t="shared" si="2"/>
        <v>0</v>
      </c>
      <c r="O15" s="611"/>
      <c r="P15" s="129"/>
      <c r="Q15" s="129"/>
      <c r="R15" s="129"/>
      <c r="S15" s="129"/>
      <c r="T15" s="129"/>
      <c r="U15" s="129"/>
      <c r="V15" s="129"/>
      <c r="W15" s="118">
        <v>2027</v>
      </c>
      <c r="X15" s="140">
        <v>199</v>
      </c>
    </row>
    <row r="16" spans="1:31" s="128" customFormat="1" ht="40.15" customHeight="1" x14ac:dyDescent="0.2">
      <c r="B16" s="107" t="str">
        <f>'TM5_parques de estacionamento'!C23</f>
        <v>Fator de emissão de GEE- bateria (iões de lítio)</v>
      </c>
      <c r="C16" s="109">
        <f>'TM5_parques de estacionamento'!F23</f>
        <v>0</v>
      </c>
      <c r="D16" s="110" t="str">
        <f>'TM5_parques de estacionamento'!E23</f>
        <v>Selecionar uma opção</v>
      </c>
      <c r="E16" s="101"/>
      <c r="F16" s="827" t="str">
        <f t="shared" si="0"/>
        <v>Automóvel a combustão- GPL</v>
      </c>
      <c r="G16" s="624" t="str">
        <f>IFERROR(IF(FACalc_parquesestacionamento!$D$30=FAListas!$C$62,($C$28/1.6)*C33,"0"),"")</f>
        <v>0</v>
      </c>
      <c r="H16" s="624" t="str">
        <f>IFERROR(IF(FACalc_parquesestacionamento!$D$30=FAListas!$C$63,($C$28/1.6)*C47,"0"),"")</f>
        <v>0</v>
      </c>
      <c r="I16" s="630" t="str">
        <f>IFERROR(IF(D21=FAListas!$C$56, C21,"0"),"")</f>
        <v>0</v>
      </c>
      <c r="J16" s="826" t="str">
        <f>IFERROR(IF(D21=FAListas!$C$57,D47,"0"),"")</f>
        <v>0</v>
      </c>
      <c r="K16" s="625">
        <f t="shared" si="1"/>
        <v>0</v>
      </c>
      <c r="L16" s="611"/>
      <c r="M16" s="626">
        <f>D110</f>
        <v>3.0562499999999999E-2</v>
      </c>
      <c r="N16" s="626">
        <f t="shared" si="2"/>
        <v>0</v>
      </c>
      <c r="O16" s="614"/>
      <c r="P16" s="129"/>
      <c r="Q16" s="129"/>
      <c r="R16" s="129"/>
      <c r="S16" s="129"/>
      <c r="T16" s="129"/>
      <c r="U16" s="129"/>
      <c r="V16" s="129"/>
      <c r="W16" s="118">
        <v>2028</v>
      </c>
      <c r="X16" s="140">
        <v>216</v>
      </c>
    </row>
    <row r="17" spans="2:24" s="128" customFormat="1" ht="40.15" customHeight="1" x14ac:dyDescent="0.2">
      <c r="B17" s="107" t="str">
        <f>'TM5_parques de estacionamento'!C24</f>
        <v>Fator de emissão de GEE- híbrido (Plug In)</v>
      </c>
      <c r="C17" s="109">
        <f>'TM5_parques de estacionamento'!F24</f>
        <v>0</v>
      </c>
      <c r="D17" s="110" t="str">
        <f>'TM5_parques de estacionamento'!E24</f>
        <v>Selecionar uma opção</v>
      </c>
      <c r="E17" s="101"/>
      <c r="F17" s="827" t="str">
        <f t="shared" si="0"/>
        <v>Automóvel elétrico-bateria (iões de lítio)</v>
      </c>
      <c r="G17" s="624" t="str">
        <f>IFERROR(IF(FACalc_parquesestacionamento!$D$30=FAListas!$C$62,($C$28/1.6)*C34,"0"),"")</f>
        <v>0</v>
      </c>
      <c r="H17" s="624" t="str">
        <f>IFERROR(IF(FACalc_parquesestacionamento!$D$30=FAListas!$C$63,($C$28/1.6)*C48,"0"),"")</f>
        <v>0</v>
      </c>
      <c r="I17" s="630" t="str">
        <f>IFERROR(IF(D16=FAListas!$C$56, C16,"0"),"")</f>
        <v>0</v>
      </c>
      <c r="J17" s="826" t="str">
        <f>IFERROR(IF(D16=FAListas!$C$57,D48,"0"),"")</f>
        <v>0</v>
      </c>
      <c r="K17" s="625">
        <f t="shared" si="1"/>
        <v>0</v>
      </c>
      <c r="L17" s="611"/>
      <c r="M17" s="626">
        <f>D111</f>
        <v>8.712499999999998E-2</v>
      </c>
      <c r="N17" s="626">
        <f t="shared" si="2"/>
        <v>0</v>
      </c>
      <c r="O17" s="829"/>
      <c r="R17" s="129"/>
      <c r="S17" s="129"/>
      <c r="T17" s="129"/>
      <c r="U17" s="129"/>
      <c r="V17" s="129"/>
      <c r="W17" s="118">
        <v>2029</v>
      </c>
      <c r="X17" s="140">
        <v>233</v>
      </c>
    </row>
    <row r="18" spans="2:24" s="128" customFormat="1" ht="40.15" customHeight="1" x14ac:dyDescent="0.2">
      <c r="B18" s="107" t="str">
        <f>'TM5_parques de estacionamento'!C25</f>
        <v>Fator de emissão de GEE- híbrido (motor desconhecido)</v>
      </c>
      <c r="C18" s="109">
        <f>'TM5_parques de estacionamento'!F25</f>
        <v>0</v>
      </c>
      <c r="D18" s="110" t="str">
        <f>'TM5_parques de estacionamento'!E25</f>
        <v>Selecionar uma opção</v>
      </c>
      <c r="E18" s="101"/>
      <c r="F18" s="827" t="str">
        <f t="shared" si="0"/>
        <v>Automóvel hibrido (Plug In)</v>
      </c>
      <c r="G18" s="624" t="str">
        <f>IFERROR(IF(FACalc_parquesestacionamento!$D$30=FAListas!$C$62,($C$28/1.6)*C35,"0"),"")</f>
        <v>0</v>
      </c>
      <c r="H18" s="624" t="str">
        <f>IFERROR(IF(FACalc_parquesestacionamento!$D$30=FAListas!$C$63,($C$28/1.6)*C50,"0"),"")</f>
        <v>0</v>
      </c>
      <c r="I18" s="630" t="str">
        <f>IFERROR(IF(D17=FAListas!$C$56, C17,"0"),"")</f>
        <v>0</v>
      </c>
      <c r="J18" s="826" t="str">
        <f>IFERROR(IF(D17=FAListas!$C$57,D50,"0"),"")</f>
        <v>0</v>
      </c>
      <c r="K18" s="625">
        <f t="shared" si="1"/>
        <v>0</v>
      </c>
      <c r="L18" s="828"/>
      <c r="M18" s="626">
        <f>D113</f>
        <v>4.5937499999999992E-2</v>
      </c>
      <c r="N18" s="626">
        <f t="shared" si="2"/>
        <v>0</v>
      </c>
      <c r="O18" s="829"/>
      <c r="P18" s="129"/>
      <c r="Q18" s="129"/>
      <c r="R18" s="129"/>
      <c r="S18" s="129"/>
      <c r="T18" s="129"/>
      <c r="U18" s="129"/>
      <c r="V18" s="129"/>
      <c r="W18" s="118">
        <v>2030</v>
      </c>
      <c r="X18" s="140">
        <v>250</v>
      </c>
    </row>
    <row r="19" spans="2:24" s="128" customFormat="1" ht="40.15" customHeight="1" x14ac:dyDescent="0.2">
      <c r="B19" s="107" t="str">
        <f>'TM5_parques de estacionamento'!C27</f>
        <v>Fator de emissão de GEE- gasóleo</v>
      </c>
      <c r="C19" s="109">
        <f>'TM5_parques de estacionamento'!F27</f>
        <v>0</v>
      </c>
      <c r="D19" s="110" t="str">
        <f>'TM5_parques de estacionamento'!E27</f>
        <v>Selecionar uma opção</v>
      </c>
      <c r="E19" s="101"/>
      <c r="F19" s="827" t="str">
        <f t="shared" si="0"/>
        <v>Automóvel hibrido (motor desconhecido)</v>
      </c>
      <c r="G19" s="624" t="str">
        <f>IFERROR(IF(FACalc_parquesestacionamento!$D$30=FAListas!$C$62,($C$28/1.6)*C36,"0"),"")</f>
        <v>0</v>
      </c>
      <c r="H19" s="624" t="str">
        <f>IFERROR(IF(FACalc_parquesestacionamento!$D$30=FAListas!$C$63,($C$28/1.6)*C49,"0"),"")</f>
        <v>0</v>
      </c>
      <c r="I19" s="630" t="str">
        <f>IFERROR(IF(D18=FAListas!$C$56, C18,"0"),"")</f>
        <v>0</v>
      </c>
      <c r="J19" s="826" t="str">
        <f>IFERROR(IF(D18=FAListas!$C$57,D49,"0"),"")</f>
        <v>0</v>
      </c>
      <c r="K19" s="625">
        <f t="shared" si="1"/>
        <v>0</v>
      </c>
      <c r="L19" s="828"/>
      <c r="M19" s="626">
        <f>D112</f>
        <v>3.0562499999999999E-2</v>
      </c>
      <c r="N19" s="626">
        <f t="shared" si="2"/>
        <v>0</v>
      </c>
      <c r="O19" s="829"/>
      <c r="P19" s="129"/>
      <c r="Q19" s="129"/>
      <c r="R19" s="129"/>
      <c r="S19" s="129"/>
      <c r="T19" s="129"/>
      <c r="U19" s="129"/>
      <c r="V19" s="129"/>
      <c r="W19" s="118">
        <v>2031</v>
      </c>
      <c r="X19" s="140">
        <v>278</v>
      </c>
    </row>
    <row r="20" spans="2:24" s="128" customFormat="1" ht="40.15" customHeight="1" x14ac:dyDescent="0.2">
      <c r="B20" s="387" t="str">
        <f>'TM5_parques de estacionamento'!C28</f>
        <v>Fator de emissão de GEE- gasolina</v>
      </c>
      <c r="C20" s="109">
        <f>'TM5_parques de estacionamento'!F28</f>
        <v>0</v>
      </c>
      <c r="D20" s="110" t="str">
        <f>'TM5_parques de estacionamento'!E28</f>
        <v>Selecionar uma opção</v>
      </c>
      <c r="E20" s="101"/>
      <c r="F20" s="827" t="str">
        <f t="shared" si="0"/>
        <v>Outro tipo de veículo</v>
      </c>
      <c r="G20" s="624" t="str">
        <f>IFERROR(IF(FACalc_parquesestacionamento!$D$30=FAListas!$C$62,($C$28/1.6)*C37,"0"),"")</f>
        <v>0</v>
      </c>
      <c r="H20" s="624" t="str">
        <f>IFERROR(IF(FACalc_parquesestacionamento!$D$30=FAListas!$C$63,($C$28/1.6)*C51,""),"")</f>
        <v/>
      </c>
      <c r="I20" s="630">
        <v>0</v>
      </c>
      <c r="J20" s="625"/>
      <c r="K20" s="625" t="str">
        <f t="shared" si="1"/>
        <v/>
      </c>
      <c r="L20" s="828"/>
      <c r="M20" s="626">
        <f>C23</f>
        <v>0</v>
      </c>
      <c r="N20" s="626" t="str">
        <f t="shared" si="2"/>
        <v/>
      </c>
      <c r="O20" s="829"/>
      <c r="P20" s="129"/>
      <c r="Q20" s="129"/>
      <c r="R20" s="129"/>
      <c r="S20" s="129"/>
      <c r="T20" s="129"/>
      <c r="U20" s="129"/>
      <c r="V20" s="129"/>
      <c r="W20" s="118">
        <v>2032</v>
      </c>
      <c r="X20" s="140">
        <v>306</v>
      </c>
    </row>
    <row r="21" spans="2:24" s="128" customFormat="1" ht="40.15" customHeight="1" x14ac:dyDescent="0.2">
      <c r="B21" s="387" t="str">
        <f>'TM5_parques de estacionamento'!C29</f>
        <v>Fator de emissão de GEE- GPL</v>
      </c>
      <c r="C21" s="109">
        <f>'TM5_parques de estacionamento'!F29</f>
        <v>0</v>
      </c>
      <c r="D21" s="110" t="str">
        <f>'TM5_parques de estacionamento'!E29</f>
        <v>Selecionar uma opção</v>
      </c>
      <c r="E21" s="101"/>
      <c r="F21" s="160"/>
      <c r="G21" s="102"/>
      <c r="H21" s="102"/>
      <c r="I21" s="162"/>
      <c r="J21" s="830" t="s">
        <v>1041</v>
      </c>
      <c r="K21" s="830">
        <f>SUM(K13:K20)</f>
        <v>0</v>
      </c>
      <c r="L21" s="162"/>
      <c r="M21" s="831" t="s">
        <v>1042</v>
      </c>
      <c r="N21" s="830">
        <f>SUM(N13:N20)</f>
        <v>0</v>
      </c>
      <c r="O21" s="347"/>
      <c r="P21" s="129"/>
      <c r="Q21" s="129"/>
      <c r="R21" s="129"/>
      <c r="S21" s="129"/>
      <c r="T21" s="129"/>
      <c r="U21" s="129"/>
      <c r="V21" s="129"/>
      <c r="W21" s="118">
        <v>2033</v>
      </c>
      <c r="X21" s="140">
        <v>334</v>
      </c>
    </row>
    <row r="22" spans="2:24" s="128" customFormat="1" ht="40.15" customHeight="1" x14ac:dyDescent="0.2">
      <c r="B22" s="387" t="str">
        <f>'TM5_parques de estacionamento'!C31</f>
        <v>Fator de emissão de GEE - outro tipo de veículo</v>
      </c>
      <c r="C22" s="109">
        <f>'TM5_parques de estacionamento'!F31</f>
        <v>0</v>
      </c>
      <c r="D22" s="719"/>
      <c r="E22" s="101"/>
      <c r="F22" s="160"/>
      <c r="G22" s="102"/>
      <c r="H22" s="102"/>
      <c r="I22" s="162"/>
      <c r="J22" s="162"/>
      <c r="K22" s="162"/>
      <c r="L22" s="162"/>
      <c r="M22" s="163"/>
      <c r="N22" s="347"/>
      <c r="O22" s="347"/>
      <c r="P22" s="129"/>
      <c r="Q22" s="129"/>
      <c r="R22" s="129"/>
      <c r="S22" s="129"/>
      <c r="T22" s="129"/>
      <c r="U22" s="129"/>
      <c r="V22" s="129"/>
      <c r="W22" s="118">
        <v>2034</v>
      </c>
      <c r="X22" s="140">
        <v>362</v>
      </c>
    </row>
    <row r="23" spans="2:24" s="128" customFormat="1" ht="40.15" customHeight="1" x14ac:dyDescent="0.2">
      <c r="B23" s="387" t="str">
        <f>'TM5_parques de estacionamento'!C32</f>
        <v>Fator de emissão de GEE - produção do "outro tipo de veículo" (ProdT)</v>
      </c>
      <c r="C23" s="383">
        <f>'TM5_parques de estacionamento'!F32</f>
        <v>0</v>
      </c>
      <c r="D23" s="739"/>
      <c r="E23" s="101"/>
      <c r="F23" s="160"/>
      <c r="G23" s="102"/>
      <c r="H23" s="102"/>
      <c r="I23" s="162"/>
      <c r="J23" s="162"/>
      <c r="K23" s="162"/>
      <c r="L23" s="162"/>
      <c r="M23" s="163"/>
      <c r="N23" s="347"/>
      <c r="O23" s="347"/>
      <c r="P23" s="129"/>
      <c r="Q23" s="129"/>
      <c r="R23" s="129"/>
      <c r="S23" s="129"/>
      <c r="T23" s="129"/>
      <c r="U23" s="129"/>
      <c r="V23" s="129"/>
      <c r="W23" s="118">
        <v>2035</v>
      </c>
      <c r="X23" s="140">
        <v>390</v>
      </c>
    </row>
    <row r="24" spans="2:24" s="128" customFormat="1" ht="40.15" customHeight="1" x14ac:dyDescent="0.2">
      <c r="B24" s="387"/>
      <c r="C24" s="102"/>
      <c r="D24" s="102"/>
      <c r="E24" s="101"/>
      <c r="F24" s="160"/>
      <c r="G24" s="102"/>
      <c r="H24" s="102"/>
      <c r="I24" s="162"/>
      <c r="J24" s="162"/>
      <c r="K24" s="162"/>
      <c r="L24" s="162"/>
      <c r="M24" s="163"/>
      <c r="N24" s="347"/>
      <c r="O24" s="347"/>
      <c r="P24" s="129"/>
      <c r="Q24" s="129"/>
      <c r="R24" s="129"/>
      <c r="S24" s="129"/>
      <c r="T24" s="129"/>
      <c r="U24" s="129"/>
      <c r="V24" s="129"/>
      <c r="W24" s="118">
        <v>2036</v>
      </c>
      <c r="X24" s="140">
        <v>417</v>
      </c>
    </row>
    <row r="25" spans="2:24" s="128" customFormat="1" ht="40.15" customHeight="1" x14ac:dyDescent="0.2">
      <c r="B25" s="387"/>
      <c r="C25" s="102"/>
      <c r="D25" s="102"/>
      <c r="E25" s="101"/>
      <c r="F25" s="160"/>
      <c r="G25" s="102"/>
      <c r="H25" s="102"/>
      <c r="I25" s="162"/>
      <c r="J25" s="162"/>
      <c r="K25" s="162"/>
      <c r="L25" s="162"/>
      <c r="M25" s="163"/>
      <c r="N25" s="347"/>
      <c r="O25" s="347"/>
      <c r="P25" s="129"/>
      <c r="Q25" s="129"/>
      <c r="R25" s="129"/>
      <c r="S25" s="129"/>
      <c r="T25" s="129"/>
      <c r="U25" s="129"/>
      <c r="V25" s="129"/>
      <c r="W25" s="118">
        <v>2037</v>
      </c>
      <c r="X25" s="140">
        <v>444</v>
      </c>
    </row>
    <row r="26" spans="2:24" s="128" customFormat="1" ht="40.15" customHeight="1" x14ac:dyDescent="0.2">
      <c r="B26" s="384" t="s">
        <v>114</v>
      </c>
      <c r="C26" s="385" t="s">
        <v>873</v>
      </c>
      <c r="D26" s="386"/>
      <c r="E26" s="101"/>
      <c r="F26" s="160"/>
      <c r="G26" s="102"/>
      <c r="H26" s="102"/>
      <c r="I26" s="161"/>
      <c r="J26" s="168" t="s">
        <v>246</v>
      </c>
      <c r="K26" s="261">
        <f>SUM(K13:K18)</f>
        <v>0</v>
      </c>
      <c r="L26" s="261"/>
      <c r="M26" s="262"/>
      <c r="N26" s="261">
        <f>SUM(N13:N18)</f>
        <v>0</v>
      </c>
      <c r="O26" s="261"/>
      <c r="P26" s="166" t="s">
        <v>249</v>
      </c>
      <c r="Q26" s="129"/>
      <c r="R26" s="129"/>
      <c r="S26" s="129"/>
      <c r="T26" s="129"/>
      <c r="U26" s="129"/>
      <c r="V26" s="129"/>
      <c r="W26" s="118">
        <v>2038</v>
      </c>
      <c r="X26" s="140">
        <v>471</v>
      </c>
    </row>
    <row r="27" spans="2:24" s="128" customFormat="1" ht="40.15" customHeight="1" x14ac:dyDescent="0.2">
      <c r="B27" s="169" t="s">
        <v>1035</v>
      </c>
      <c r="C27" s="109">
        <f>IFERROR('TM5_parques de estacionamento'!E48,"")</f>
        <v>0</v>
      </c>
      <c r="D27" s="110"/>
      <c r="E27" s="101"/>
      <c r="F27" s="160"/>
      <c r="G27" s="102"/>
      <c r="H27" s="102"/>
      <c r="I27" s="161"/>
      <c r="J27" s="162"/>
      <c r="K27" s="162"/>
      <c r="L27" s="162"/>
      <c r="M27" s="163"/>
      <c r="N27" s="162"/>
      <c r="O27" s="106"/>
      <c r="P27" s="129"/>
      <c r="Q27" s="129"/>
      <c r="R27" s="129"/>
      <c r="S27" s="129"/>
      <c r="T27" s="129"/>
      <c r="U27" s="129"/>
      <c r="V27" s="129"/>
      <c r="W27" s="118">
        <v>2039</v>
      </c>
      <c r="X27" s="140">
        <v>498</v>
      </c>
    </row>
    <row r="28" spans="2:24" s="128" customFormat="1" ht="40.15" customHeight="1" x14ac:dyDescent="0.2">
      <c r="B28" s="107" t="str">
        <f>'TM5_parques de estacionamento'!C50</f>
        <v>Nº total de utilizadores do estacionamento com potencial de transferência modal, num ano típico de funcionamento</v>
      </c>
      <c r="C28" s="631">
        <f>'TM5_parques de estacionamento'!E50</f>
        <v>0</v>
      </c>
      <c r="D28" s="109"/>
      <c r="E28" s="101"/>
      <c r="F28" s="160"/>
      <c r="G28" s="102"/>
      <c r="H28" s="102"/>
      <c r="I28" s="161"/>
      <c r="J28" s="162"/>
      <c r="K28" s="162"/>
      <c r="L28" s="162"/>
      <c r="M28" s="163"/>
      <c r="N28" s="162"/>
      <c r="O28" s="106"/>
      <c r="P28" s="129"/>
      <c r="Q28" s="129"/>
      <c r="R28" s="129"/>
      <c r="S28" s="129"/>
      <c r="T28" s="129"/>
      <c r="U28" s="129"/>
      <c r="V28" s="129"/>
      <c r="W28" s="118">
        <v>2040</v>
      </c>
      <c r="X28" s="140">
        <v>325</v>
      </c>
    </row>
    <row r="29" spans="2:24" s="128" customFormat="1" ht="40.15" customHeight="1" x14ac:dyDescent="0.2">
      <c r="B29" s="107" t="str">
        <f>'TM5_parques de estacionamento'!C52</f>
        <v>Nº total de km evitados, por transferência modal, num ano típico de funcionamento</v>
      </c>
      <c r="C29" s="631">
        <f>'TM5_parques de estacionamento'!E52</f>
        <v>0</v>
      </c>
      <c r="D29" s="109"/>
      <c r="E29" s="101"/>
      <c r="F29" s="160"/>
      <c r="G29" s="102"/>
      <c r="H29" s="102"/>
      <c r="I29" s="161"/>
      <c r="J29" s="102"/>
      <c r="K29" s="102"/>
      <c r="L29" s="102"/>
      <c r="M29" s="102"/>
      <c r="N29" s="102"/>
      <c r="O29" s="106"/>
      <c r="P29" s="129"/>
      <c r="Q29" s="129"/>
      <c r="R29" s="129"/>
      <c r="S29" s="129"/>
      <c r="T29" s="129"/>
      <c r="U29" s="129"/>
      <c r="V29" s="129"/>
      <c r="W29" s="118">
        <v>2034</v>
      </c>
      <c r="X29" s="140">
        <v>362</v>
      </c>
    </row>
    <row r="30" spans="2:24" s="128" customFormat="1" ht="40.15" customHeight="1" x14ac:dyDescent="0.2">
      <c r="B30" s="107" t="str">
        <f>'TM5_parques de estacionamento'!C54</f>
        <v>Qual a % tipologia automóvel a utilizar para os cálculos das emissões GEE?</v>
      </c>
      <c r="C30" s="631"/>
      <c r="D30" s="631" t="str">
        <f>'TM5_parques de estacionamento'!E54</f>
        <v>Selecionar uma opção</v>
      </c>
      <c r="E30" s="101"/>
      <c r="F30" s="101"/>
      <c r="G30" s="130"/>
      <c r="H30" s="130"/>
      <c r="I30" s="101"/>
      <c r="J30" s="106"/>
      <c r="K30" s="106"/>
      <c r="L30" s="106"/>
      <c r="M30" s="106"/>
      <c r="N30" s="106"/>
      <c r="O30" s="106"/>
      <c r="P30" s="129"/>
      <c r="Q30" s="129"/>
      <c r="R30" s="129"/>
      <c r="S30" s="129"/>
      <c r="T30" s="129"/>
      <c r="U30" s="129"/>
      <c r="V30" s="129"/>
      <c r="W30" s="118">
        <v>2035</v>
      </c>
      <c r="X30" s="140">
        <v>390</v>
      </c>
    </row>
    <row r="31" spans="2:24" s="128" customFormat="1" ht="40.15" customHeight="1" x14ac:dyDescent="0.2">
      <c r="B31" s="107" t="str">
        <f>'TM5_parques de estacionamento'!C56</f>
        <v>Automóvel a combustão- gasóleo</v>
      </c>
      <c r="C31" s="631">
        <f>'TM5_parques de estacionamento'!E56/100</f>
        <v>0</v>
      </c>
      <c r="D31" s="109"/>
      <c r="E31" s="101"/>
      <c r="F31" s="101"/>
      <c r="G31" s="130"/>
      <c r="H31" s="130"/>
      <c r="I31" s="101"/>
      <c r="J31" s="106"/>
      <c r="K31" s="106"/>
      <c r="L31" s="106"/>
      <c r="M31" s="106"/>
      <c r="N31" s="106"/>
      <c r="O31" s="106"/>
      <c r="P31" s="129"/>
      <c r="Q31" s="129"/>
      <c r="R31" s="129"/>
      <c r="S31" s="129"/>
      <c r="T31" s="129"/>
      <c r="U31" s="129"/>
      <c r="V31" s="129"/>
      <c r="W31" s="118">
        <v>2036</v>
      </c>
      <c r="X31" s="140">
        <v>417</v>
      </c>
    </row>
    <row r="32" spans="2:24" s="128" customFormat="1" ht="40.15" customHeight="1" x14ac:dyDescent="0.2">
      <c r="B32" s="107" t="str">
        <f>'TM5_parques de estacionamento'!C57</f>
        <v>Automóvel a combustão- gasolina</v>
      </c>
      <c r="C32" s="631">
        <f>'TM5_parques de estacionamento'!E57/100</f>
        <v>0</v>
      </c>
      <c r="D32" s="109"/>
      <c r="E32" s="101"/>
      <c r="F32" s="101"/>
      <c r="G32" s="130"/>
      <c r="H32" s="130"/>
      <c r="I32" s="101"/>
      <c r="J32" s="106"/>
      <c r="K32" s="106"/>
      <c r="L32" s="106"/>
      <c r="M32" s="106"/>
      <c r="N32" s="106"/>
      <c r="O32" s="106"/>
      <c r="P32" s="129"/>
      <c r="Q32" s="129"/>
      <c r="R32" s="129"/>
      <c r="S32" s="129"/>
      <c r="T32" s="129"/>
      <c r="U32" s="129"/>
      <c r="V32" s="129"/>
      <c r="W32" s="118"/>
      <c r="X32" s="140"/>
    </row>
    <row r="33" spans="1:24" s="128" customFormat="1" ht="40.15" customHeight="1" x14ac:dyDescent="0.2">
      <c r="B33" s="107" t="str">
        <f>'TM5_parques de estacionamento'!C58</f>
        <v>Automóvel a combustão- GPL</v>
      </c>
      <c r="C33" s="631">
        <f>'TM5_parques de estacionamento'!E58/100</f>
        <v>0</v>
      </c>
      <c r="D33" s="109"/>
      <c r="E33" s="106"/>
      <c r="F33" s="106"/>
      <c r="G33" s="106"/>
      <c r="H33" s="106"/>
      <c r="I33" s="106"/>
      <c r="J33" s="106"/>
      <c r="K33" s="106"/>
      <c r="L33" s="106"/>
      <c r="M33" s="106"/>
      <c r="N33" s="106"/>
      <c r="O33" s="106"/>
      <c r="P33" s="129"/>
      <c r="Q33" s="129"/>
      <c r="R33" s="129"/>
      <c r="S33" s="129"/>
      <c r="T33" s="129"/>
      <c r="U33" s="129"/>
      <c r="V33" s="129"/>
      <c r="W33" s="118">
        <v>2037</v>
      </c>
      <c r="X33" s="140">
        <v>444</v>
      </c>
    </row>
    <row r="34" spans="1:24" s="128" customFormat="1" ht="40.15" customHeight="1" x14ac:dyDescent="0.2">
      <c r="A34" s="131"/>
      <c r="B34" s="107" t="str">
        <f>'TM5_parques de estacionamento'!C59</f>
        <v>Automóvel elétrico-bateria (iões de lítio)</v>
      </c>
      <c r="C34" s="631">
        <f>'TM5_parques de estacionamento'!E59/100</f>
        <v>0</v>
      </c>
      <c r="D34" s="109"/>
      <c r="E34" s="106"/>
      <c r="F34" s="106"/>
      <c r="G34" s="106"/>
      <c r="H34" s="106"/>
      <c r="I34" s="106"/>
      <c r="J34" s="106"/>
      <c r="K34" s="106"/>
      <c r="L34" s="106"/>
      <c r="M34" s="106"/>
      <c r="N34" s="106"/>
      <c r="O34" s="106"/>
      <c r="W34" s="118">
        <v>2038</v>
      </c>
      <c r="X34" s="140">
        <v>471</v>
      </c>
    </row>
    <row r="35" spans="1:24" s="128" customFormat="1" ht="40.15" customHeight="1" x14ac:dyDescent="0.2">
      <c r="B35" s="260" t="str">
        <f>'TM5_parques de estacionamento'!C60</f>
        <v>Automóvel hibrido (Plug In)</v>
      </c>
      <c r="C35" s="631">
        <f>'TM5_parques de estacionamento'!E60/100</f>
        <v>0</v>
      </c>
      <c r="D35" s="109"/>
      <c r="E35" s="106"/>
      <c r="F35" s="106"/>
      <c r="G35" s="106"/>
      <c r="H35" s="106"/>
      <c r="I35" s="106"/>
      <c r="J35" s="106"/>
      <c r="K35" s="106"/>
      <c r="L35" s="106"/>
      <c r="M35" s="106"/>
      <c r="N35" s="106"/>
      <c r="O35" s="106"/>
      <c r="W35" s="118">
        <v>2039</v>
      </c>
      <c r="X35" s="140">
        <v>498</v>
      </c>
    </row>
    <row r="36" spans="1:24" s="128" customFormat="1" ht="40.15" customHeight="1" x14ac:dyDescent="0.2">
      <c r="B36" s="260" t="str">
        <f>'TM5_parques de estacionamento'!C61</f>
        <v>Automóvel hibrido (motor desconhecido)</v>
      </c>
      <c r="C36" s="631">
        <f>'TM5_parques de estacionamento'!E61/100</f>
        <v>0</v>
      </c>
      <c r="D36" s="109"/>
      <c r="E36" s="106"/>
      <c r="F36" s="106"/>
      <c r="G36" s="106"/>
      <c r="H36" s="106"/>
      <c r="I36" s="106"/>
      <c r="J36" s="106"/>
      <c r="K36" s="106"/>
      <c r="L36" s="106"/>
      <c r="M36" s="106"/>
      <c r="N36" s="106"/>
      <c r="O36" s="106"/>
      <c r="W36" s="118">
        <v>2040</v>
      </c>
      <c r="X36" s="140">
        <v>325</v>
      </c>
    </row>
    <row r="37" spans="1:24" s="123" customFormat="1" ht="32.450000000000003" customHeight="1" x14ac:dyDescent="0.2">
      <c r="B37" s="260" t="str">
        <f>'TM5_parques de estacionamento'!C62</f>
        <v>Outro tipo de veículo</v>
      </c>
      <c r="C37" s="631">
        <f>'TM5_parques de estacionamento'!E62/100</f>
        <v>0</v>
      </c>
      <c r="D37" s="109"/>
      <c r="E37" s="124"/>
      <c r="F37" s="124"/>
      <c r="G37" s="124"/>
      <c r="H37" s="124"/>
      <c r="I37" s="124"/>
      <c r="J37" s="124"/>
      <c r="K37" s="124"/>
      <c r="L37" s="124"/>
      <c r="M37" s="124"/>
      <c r="N37" s="124"/>
      <c r="O37" s="124"/>
    </row>
    <row r="38" spans="1:24" s="123" customFormat="1" ht="35.450000000000003" customHeight="1" x14ac:dyDescent="0.2">
      <c r="B38" s="260"/>
      <c r="C38" s="631"/>
      <c r="D38" s="109"/>
      <c r="E38" s="124"/>
      <c r="F38" s="124"/>
      <c r="G38" s="124"/>
      <c r="H38" s="124"/>
      <c r="I38" s="124"/>
      <c r="J38" s="124"/>
      <c r="K38" s="124"/>
      <c r="L38" s="124"/>
      <c r="M38" s="124"/>
      <c r="N38" s="124"/>
      <c r="O38" s="124"/>
    </row>
    <row r="39" spans="1:24" s="123" customFormat="1" ht="12.75" x14ac:dyDescent="0.2">
      <c r="D39" s="124"/>
      <c r="E39" s="124"/>
      <c r="F39" s="124"/>
      <c r="G39" s="124"/>
      <c r="H39" s="124"/>
      <c r="I39" s="124"/>
      <c r="J39" s="124"/>
      <c r="K39" s="124"/>
      <c r="L39" s="124"/>
      <c r="M39" s="124"/>
      <c r="N39" s="124"/>
      <c r="O39" s="124"/>
    </row>
    <row r="40" spans="1:24" s="121" customFormat="1" ht="12.75" x14ac:dyDescent="0.2">
      <c r="B40" s="120" t="s">
        <v>1039</v>
      </c>
      <c r="D40" s="122"/>
      <c r="E40" s="122"/>
      <c r="F40" s="122"/>
      <c r="G40" s="122"/>
      <c r="H40" s="122"/>
      <c r="I40" s="122"/>
      <c r="J40" s="122"/>
      <c r="K40" s="122"/>
      <c r="L40" s="122"/>
      <c r="M40" s="122"/>
      <c r="N40" s="122"/>
      <c r="O40" s="122"/>
    </row>
    <row r="41" spans="1:24" s="175" customFormat="1" ht="12.75" x14ac:dyDescent="0.2">
      <c r="B41" s="176"/>
      <c r="D41" s="177"/>
      <c r="E41" s="177"/>
      <c r="F41" s="177"/>
      <c r="G41" s="177"/>
      <c r="H41" s="177"/>
      <c r="I41" s="177"/>
      <c r="J41" s="177"/>
      <c r="K41" s="177"/>
      <c r="L41" s="177"/>
      <c r="M41" s="177"/>
      <c r="N41" s="177"/>
      <c r="O41" s="177"/>
    </row>
    <row r="42" spans="1:24" s="175" customFormat="1" ht="12.75" x14ac:dyDescent="0.2">
      <c r="B42" s="176" t="s">
        <v>252</v>
      </c>
      <c r="D42" s="177"/>
      <c r="E42" s="177"/>
      <c r="F42" s="177"/>
      <c r="G42" s="177"/>
      <c r="H42" s="177"/>
      <c r="I42" s="177"/>
      <c r="J42" s="177"/>
      <c r="K42" s="177"/>
      <c r="L42" s="177"/>
      <c r="M42" s="177"/>
      <c r="N42" s="177"/>
      <c r="O42" s="177"/>
    </row>
    <row r="43" spans="1:24" s="175" customFormat="1" ht="12.75" x14ac:dyDescent="0.2">
      <c r="B43" s="176"/>
      <c r="D43" s="177"/>
      <c r="E43" s="177"/>
      <c r="F43" s="177"/>
      <c r="G43" s="177"/>
      <c r="H43" s="177"/>
      <c r="I43" s="177"/>
      <c r="J43" s="177"/>
      <c r="K43" s="177"/>
      <c r="L43" s="177"/>
      <c r="M43" s="177"/>
      <c r="N43" s="177"/>
      <c r="O43" s="177"/>
    </row>
    <row r="44" spans="1:24" s="175" customFormat="1" ht="12.75" x14ac:dyDescent="0.2">
      <c r="B44" s="120" t="s">
        <v>1046</v>
      </c>
      <c r="C44" s="179" t="s">
        <v>77</v>
      </c>
      <c r="D44" s="122" t="s">
        <v>909</v>
      </c>
      <c r="E44" s="122" t="s">
        <v>256</v>
      </c>
      <c r="F44" s="177"/>
      <c r="G44" s="120" t="s">
        <v>286</v>
      </c>
      <c r="H44" s="179" t="s">
        <v>77</v>
      </c>
      <c r="I44" s="122" t="s">
        <v>909</v>
      </c>
      <c r="J44" s="122" t="s">
        <v>256</v>
      </c>
      <c r="K44" s="177"/>
      <c r="L44" s="177"/>
      <c r="M44" s="177"/>
      <c r="N44" s="177"/>
      <c r="O44" s="177"/>
    </row>
    <row r="45" spans="1:24" s="175" customFormat="1" ht="12.75" x14ac:dyDescent="0.2">
      <c r="B45" s="176" t="s">
        <v>125</v>
      </c>
      <c r="C45" s="178">
        <v>0.55000000000000004</v>
      </c>
      <c r="D45" s="180">
        <f>'Fatores de Emissão'!$E$99</f>
        <v>0.12029271250000002</v>
      </c>
      <c r="E45" s="181">
        <f t="shared" ref="E45:E50" si="3">C45*D45</f>
        <v>6.6160991875000019E-2</v>
      </c>
      <c r="F45" s="177"/>
      <c r="G45" s="176" t="s">
        <v>125</v>
      </c>
      <c r="H45" s="178">
        <v>0.84</v>
      </c>
      <c r="I45" s="177">
        <f>'Fatores de Emissão'!$E$63</f>
        <v>8.29704311418685E-2</v>
      </c>
      <c r="J45" s="181">
        <f>H45*I45</f>
        <v>6.9695162159169544E-2</v>
      </c>
      <c r="K45" s="177"/>
      <c r="L45" s="177"/>
      <c r="M45" s="177"/>
      <c r="N45" s="177"/>
      <c r="O45" s="177"/>
    </row>
    <row r="46" spans="1:24" s="175" customFormat="1" ht="12.75" x14ac:dyDescent="0.2">
      <c r="B46" s="176" t="s">
        <v>227</v>
      </c>
      <c r="C46" s="178">
        <v>0.38</v>
      </c>
      <c r="D46" s="180">
        <f>'Fatores de Emissão'!$E$93</f>
        <v>0.12633856874999999</v>
      </c>
      <c r="E46" s="181">
        <f t="shared" si="3"/>
        <v>4.8008656125E-2</v>
      </c>
      <c r="F46" s="177"/>
      <c r="G46" s="176" t="s">
        <v>89</v>
      </c>
      <c r="H46" s="178">
        <v>0.16</v>
      </c>
      <c r="I46" s="177">
        <f>'Fatores de Emissão'!$E$68</f>
        <v>9.3486387543252586E-2</v>
      </c>
      <c r="J46" s="181">
        <f>H46*I46</f>
        <v>1.4957822006920415E-2</v>
      </c>
      <c r="K46" s="177"/>
      <c r="L46" s="177"/>
      <c r="M46" s="177"/>
      <c r="N46" s="177"/>
      <c r="O46" s="177"/>
    </row>
    <row r="47" spans="1:24" s="175" customFormat="1" ht="12.75" x14ac:dyDescent="0.2">
      <c r="B47" s="176" t="s">
        <v>230</v>
      </c>
      <c r="C47" s="178">
        <v>0.01</v>
      </c>
      <c r="D47" s="180">
        <f>'Fatores de Emissão'!E102</f>
        <v>0.119959</v>
      </c>
      <c r="E47" s="181">
        <f t="shared" si="3"/>
        <v>1.1995899999999999E-3</v>
      </c>
      <c r="F47" s="177"/>
      <c r="G47" s="182" t="s">
        <v>246</v>
      </c>
      <c r="H47" s="183"/>
      <c r="I47" s="184"/>
      <c r="J47" s="185">
        <f>SUM(J41:J46)</f>
        <v>8.4652984166089962E-2</v>
      </c>
      <c r="K47" s="177"/>
      <c r="L47" s="177"/>
      <c r="M47" s="177"/>
      <c r="N47" s="177"/>
      <c r="O47" s="177"/>
    </row>
    <row r="48" spans="1:24" s="175" customFormat="1" ht="12.75" x14ac:dyDescent="0.2">
      <c r="B48" s="176" t="s">
        <v>255</v>
      </c>
      <c r="C48" s="178">
        <v>0.02</v>
      </c>
      <c r="D48" s="180">
        <f>'Fatores de Emissão'!$E$9</f>
        <v>1.3839724576271188E-2</v>
      </c>
      <c r="E48" s="181">
        <f t="shared" si="3"/>
        <v>2.7679449152542379E-4</v>
      </c>
      <c r="F48" s="177"/>
      <c r="G48" s="177"/>
      <c r="H48" s="177"/>
      <c r="I48" s="177"/>
      <c r="J48" s="177"/>
      <c r="K48" s="177"/>
      <c r="L48" s="177"/>
      <c r="M48" s="177"/>
      <c r="N48" s="177"/>
      <c r="O48" s="177"/>
    </row>
    <row r="49" spans="2:15" s="175" customFormat="1" ht="12.75" x14ac:dyDescent="0.2">
      <c r="B49" s="176" t="s">
        <v>254</v>
      </c>
      <c r="C49" s="178">
        <v>0.02</v>
      </c>
      <c r="D49" s="180">
        <f>'Fatores de Emissão'!$E$96</f>
        <v>8.0156249999999998E-2</v>
      </c>
      <c r="E49" s="181">
        <f t="shared" si="3"/>
        <v>1.6031249999999999E-3</v>
      </c>
      <c r="F49" s="177"/>
      <c r="G49" s="177"/>
      <c r="H49" s="177"/>
      <c r="I49" s="177"/>
      <c r="J49" s="177"/>
      <c r="K49" s="177"/>
      <c r="L49" s="177"/>
      <c r="M49" s="177"/>
      <c r="N49" s="177"/>
      <c r="O49" s="177"/>
    </row>
    <row r="50" spans="2:15" s="175" customFormat="1" ht="12.75" x14ac:dyDescent="0.2">
      <c r="B50" s="176" t="s">
        <v>260</v>
      </c>
      <c r="C50" s="178">
        <v>0.02</v>
      </c>
      <c r="D50" s="180">
        <f>'Fatores de Emissão'!$E$10</f>
        <v>4.4243290960451981E-3</v>
      </c>
      <c r="E50" s="181">
        <f t="shared" si="3"/>
        <v>8.8486581920903967E-5</v>
      </c>
      <c r="F50" s="177"/>
      <c r="G50" s="188" t="s">
        <v>263</v>
      </c>
      <c r="H50" s="186" t="s">
        <v>9</v>
      </c>
      <c r="I50" s="177"/>
      <c r="J50" s="177"/>
      <c r="K50" s="177"/>
      <c r="L50" s="177"/>
      <c r="M50" s="177"/>
      <c r="N50" s="177"/>
      <c r="O50" s="177"/>
    </row>
    <row r="51" spans="2:15" s="175" customFormat="1" ht="12.75" x14ac:dyDescent="0.2">
      <c r="B51" s="182" t="s">
        <v>246</v>
      </c>
      <c r="C51" s="183"/>
      <c r="D51" s="184"/>
      <c r="E51" s="185">
        <f>SUM(E45:E50)</f>
        <v>0.11733764407344634</v>
      </c>
      <c r="F51" s="177"/>
      <c r="G51" s="187" t="s">
        <v>205</v>
      </c>
      <c r="H51" s="177" t="e">
        <f>VLOOKUP($C$13,FAListas!$C$20:$D$28,2,FALSE)</f>
        <v>#N/A</v>
      </c>
      <c r="I51" s="177"/>
      <c r="J51" s="177"/>
      <c r="K51" s="177"/>
      <c r="L51" s="177"/>
      <c r="M51" s="177"/>
      <c r="N51" s="177"/>
      <c r="O51" s="177"/>
    </row>
    <row r="52" spans="2:15" s="175" customFormat="1" ht="12.75" x14ac:dyDescent="0.2">
      <c r="D52" s="177"/>
      <c r="E52" s="177"/>
      <c r="F52" s="177"/>
      <c r="G52" s="187" t="s">
        <v>1057</v>
      </c>
      <c r="H52" s="177">
        <f>'Fatores de Emissão'!E60</f>
        <v>1.8710000000000001E-2</v>
      </c>
      <c r="I52" s="177"/>
      <c r="J52" s="177"/>
      <c r="K52" s="177"/>
      <c r="L52" s="177"/>
      <c r="M52" s="177"/>
      <c r="N52" s="177"/>
      <c r="O52" s="177"/>
    </row>
    <row r="53" spans="2:15" s="175" customFormat="1" ht="12.75" x14ac:dyDescent="0.2">
      <c r="D53" s="177"/>
      <c r="E53" s="177"/>
      <c r="F53" s="177"/>
      <c r="G53" s="187" t="s">
        <v>154</v>
      </c>
      <c r="H53" s="177">
        <f>'Fatores de Emissão'!$E$47</f>
        <v>8.9999999999999993E-3</v>
      </c>
      <c r="I53" s="177"/>
      <c r="J53" s="177"/>
      <c r="K53" s="177"/>
      <c r="L53" s="177"/>
      <c r="M53" s="177"/>
      <c r="N53" s="177"/>
      <c r="O53" s="177"/>
    </row>
    <row r="54" spans="2:15" s="175" customFormat="1" ht="12.75" x14ac:dyDescent="0.2">
      <c r="B54" s="120" t="s">
        <v>285</v>
      </c>
      <c r="C54" s="179" t="s">
        <v>77</v>
      </c>
      <c r="D54" s="122" t="s">
        <v>909</v>
      </c>
      <c r="E54" s="122" t="s">
        <v>256</v>
      </c>
      <c r="F54" s="177"/>
      <c r="G54" s="187" t="s">
        <v>110</v>
      </c>
      <c r="H54" s="177">
        <v>0</v>
      </c>
      <c r="I54" s="177"/>
      <c r="J54" s="177"/>
      <c r="K54" s="177"/>
      <c r="L54" s="177"/>
      <c r="M54" s="177"/>
      <c r="N54" s="177"/>
      <c r="O54" s="177"/>
    </row>
    <row r="55" spans="2:15" s="175" customFormat="1" ht="12.75" x14ac:dyDescent="0.2">
      <c r="B55" s="176" t="s">
        <v>125</v>
      </c>
      <c r="C55" s="837">
        <f>C31</f>
        <v>0</v>
      </c>
      <c r="D55" s="180">
        <f>C19</f>
        <v>0</v>
      </c>
      <c r="E55" s="181">
        <f t="shared" ref="E55:E60" si="4">C55*D55</f>
        <v>0</v>
      </c>
      <c r="F55" s="177"/>
      <c r="G55" s="187" t="s">
        <v>266</v>
      </c>
      <c r="H55" s="177">
        <v>0</v>
      </c>
      <c r="I55" s="177"/>
      <c r="J55" s="177"/>
      <c r="K55" s="177"/>
      <c r="L55" s="177"/>
      <c r="M55" s="177"/>
      <c r="N55" s="177"/>
      <c r="O55" s="177"/>
    </row>
    <row r="56" spans="2:15" s="175" customFormat="1" ht="12.75" x14ac:dyDescent="0.2">
      <c r="B56" s="176" t="s">
        <v>227</v>
      </c>
      <c r="C56" s="837">
        <f>C32</f>
        <v>0</v>
      </c>
      <c r="D56" s="180">
        <f>C20</f>
        <v>0</v>
      </c>
      <c r="E56" s="181">
        <f t="shared" si="4"/>
        <v>0</v>
      </c>
      <c r="F56" s="177"/>
      <c r="G56" s="187" t="s">
        <v>109</v>
      </c>
      <c r="H56" s="177">
        <f>'Fatores de Emissão'!$E$14</f>
        <v>5.6709999999999998E-3</v>
      </c>
      <c r="I56" s="177"/>
      <c r="J56" s="177"/>
      <c r="K56" s="177"/>
      <c r="L56" s="177"/>
      <c r="M56" s="177"/>
      <c r="N56" s="177"/>
      <c r="O56" s="177"/>
    </row>
    <row r="57" spans="2:15" s="175" customFormat="1" ht="12.75" x14ac:dyDescent="0.2">
      <c r="B57" s="176" t="s">
        <v>230</v>
      </c>
      <c r="C57" s="837">
        <f>C33</f>
        <v>0</v>
      </c>
      <c r="D57" s="180">
        <f>C21</f>
        <v>0</v>
      </c>
      <c r="E57" s="181">
        <f t="shared" si="4"/>
        <v>0</v>
      </c>
      <c r="F57" s="177"/>
      <c r="G57" s="187" t="s">
        <v>267</v>
      </c>
      <c r="H57" s="177">
        <f>'Fatores de Emissão'!E13</f>
        <v>4.3977E-3</v>
      </c>
      <c r="I57" s="177"/>
      <c r="J57" s="177"/>
      <c r="K57" s="177"/>
      <c r="L57" s="177"/>
      <c r="M57" s="177"/>
      <c r="N57" s="177"/>
      <c r="O57" s="177"/>
    </row>
    <row r="58" spans="2:15" s="175" customFormat="1" ht="12.75" x14ac:dyDescent="0.2">
      <c r="B58" s="176" t="s">
        <v>255</v>
      </c>
      <c r="C58" s="837">
        <f>C34</f>
        <v>0</v>
      </c>
      <c r="D58" s="180">
        <f>C16</f>
        <v>0</v>
      </c>
      <c r="E58" s="181">
        <f t="shared" si="4"/>
        <v>0</v>
      </c>
      <c r="F58" s="177"/>
      <c r="G58" s="187" t="s">
        <v>268</v>
      </c>
      <c r="H58" s="177">
        <f>'Fatores de Emissão'!E11</f>
        <v>3.10086E-3</v>
      </c>
      <c r="I58" s="177"/>
      <c r="J58" s="177"/>
      <c r="K58" s="177"/>
      <c r="L58" s="177"/>
      <c r="M58" s="177"/>
      <c r="N58" s="177"/>
      <c r="O58" s="177"/>
    </row>
    <row r="59" spans="2:15" s="175" customFormat="1" ht="12.75" x14ac:dyDescent="0.2">
      <c r="B59" s="176" t="s">
        <v>254</v>
      </c>
      <c r="C59" s="837">
        <f>C36</f>
        <v>0</v>
      </c>
      <c r="D59" s="180">
        <f>C18</f>
        <v>0</v>
      </c>
      <c r="E59" s="181">
        <f t="shared" si="4"/>
        <v>0</v>
      </c>
      <c r="F59" s="177"/>
      <c r="G59" s="187"/>
      <c r="H59" s="177"/>
      <c r="I59" s="177"/>
      <c r="J59" s="177"/>
      <c r="K59" s="177"/>
      <c r="L59" s="177"/>
      <c r="M59" s="177"/>
      <c r="N59" s="177"/>
      <c r="O59" s="177"/>
    </row>
    <row r="60" spans="2:15" s="175" customFormat="1" ht="12.75" x14ac:dyDescent="0.2">
      <c r="B60" s="176" t="s">
        <v>260</v>
      </c>
      <c r="C60" s="837">
        <f>C35</f>
        <v>0</v>
      </c>
      <c r="D60" s="180">
        <f>C17</f>
        <v>0</v>
      </c>
      <c r="E60" s="181">
        <f t="shared" si="4"/>
        <v>0</v>
      </c>
      <c r="F60" s="177"/>
      <c r="G60" s="187"/>
      <c r="H60" s="177"/>
      <c r="I60" s="177"/>
      <c r="J60" s="177"/>
      <c r="K60" s="177"/>
      <c r="L60" s="177"/>
      <c r="M60" s="177"/>
      <c r="N60" s="177"/>
      <c r="O60" s="177"/>
    </row>
    <row r="61" spans="2:15" s="175" customFormat="1" ht="12.75" x14ac:dyDescent="0.2">
      <c r="B61" s="182" t="s">
        <v>246</v>
      </c>
      <c r="C61" s="183"/>
      <c r="D61" s="184"/>
      <c r="E61" s="185">
        <f>SUM(E55:E60)</f>
        <v>0</v>
      </c>
      <c r="F61" s="177"/>
      <c r="G61" s="187"/>
      <c r="H61" s="177"/>
      <c r="I61" s="177"/>
      <c r="J61" s="177"/>
      <c r="K61" s="177"/>
      <c r="L61" s="177"/>
      <c r="M61" s="177"/>
      <c r="N61" s="177"/>
      <c r="O61" s="177"/>
    </row>
    <row r="62" spans="2:15" s="175" customFormat="1" ht="12.75" x14ac:dyDescent="0.2">
      <c r="D62" s="177"/>
      <c r="E62" s="177"/>
      <c r="F62" s="177"/>
      <c r="G62" s="187"/>
      <c r="H62" s="177"/>
      <c r="I62" s="177"/>
      <c r="J62" s="177"/>
      <c r="K62" s="177"/>
      <c r="L62" s="177"/>
      <c r="M62" s="177"/>
      <c r="N62" s="177"/>
      <c r="O62" s="177"/>
    </row>
    <row r="63" spans="2:15" s="175" customFormat="1" ht="12.75" x14ac:dyDescent="0.2">
      <c r="D63" s="177"/>
      <c r="E63" s="177"/>
      <c r="F63" s="177"/>
      <c r="G63" s="187"/>
      <c r="H63" s="177"/>
      <c r="I63" s="177"/>
      <c r="J63" s="177"/>
      <c r="K63" s="177"/>
      <c r="L63" s="177"/>
      <c r="M63" s="177"/>
      <c r="N63" s="177"/>
      <c r="O63" s="177"/>
    </row>
    <row r="64" spans="2:15" s="175" customFormat="1" ht="12.75" x14ac:dyDescent="0.2">
      <c r="D64" s="177"/>
      <c r="E64" s="177"/>
      <c r="F64" s="177"/>
      <c r="G64" s="187"/>
      <c r="H64" s="177"/>
      <c r="I64" s="177"/>
      <c r="J64" s="177"/>
      <c r="K64" s="177"/>
      <c r="L64" s="177"/>
      <c r="M64" s="177"/>
      <c r="N64" s="177"/>
      <c r="O64" s="177"/>
    </row>
    <row r="65" spans="1:23" s="175" customFormat="1" ht="31.5" x14ac:dyDescent="0.5">
      <c r="B65" s="249"/>
      <c r="D65" s="249" t="s">
        <v>1045</v>
      </c>
      <c r="E65" s="177"/>
      <c r="F65" s="249"/>
      <c r="I65" s="249" t="s">
        <v>969</v>
      </c>
      <c r="J65" s="177"/>
      <c r="L65" s="177"/>
      <c r="M65" s="177"/>
      <c r="N65" s="177"/>
      <c r="O65" s="249"/>
      <c r="T65" s="249"/>
    </row>
    <row r="66" spans="1:23" s="123" customFormat="1" ht="12.75" x14ac:dyDescent="0.2">
      <c r="D66" s="209"/>
      <c r="E66" s="124"/>
      <c r="F66" s="124"/>
      <c r="G66" s="124"/>
      <c r="H66" s="124"/>
      <c r="I66" s="209"/>
      <c r="J66" s="124"/>
      <c r="K66" s="124"/>
      <c r="L66" s="124"/>
      <c r="M66" s="124"/>
      <c r="N66" s="124"/>
      <c r="O66" s="124"/>
    </row>
    <row r="67" spans="1:23" s="123" customFormat="1" ht="40.15" customHeight="1" x14ac:dyDescent="0.2">
      <c r="A67" s="101"/>
      <c r="B67" s="835" t="s">
        <v>264</v>
      </c>
      <c r="C67" s="151"/>
      <c r="D67" s="108" t="s">
        <v>172</v>
      </c>
      <c r="E67" s="108" t="s">
        <v>1044</v>
      </c>
      <c r="F67" s="608"/>
      <c r="G67" s="608"/>
      <c r="H67" s="608"/>
      <c r="I67" s="835" t="s">
        <v>172</v>
      </c>
      <c r="J67" s="108"/>
      <c r="K67" s="101"/>
      <c r="L67" s="101"/>
      <c r="M67" s="101"/>
      <c r="N67" s="101"/>
      <c r="O67" s="101"/>
      <c r="P67" s="101"/>
      <c r="Q67" s="101"/>
      <c r="R67" s="101"/>
      <c r="S67" s="101"/>
      <c r="T67" s="101"/>
      <c r="U67" s="101"/>
      <c r="V67" s="101"/>
      <c r="W67" s="101"/>
    </row>
    <row r="68" spans="1:23" s="123" customFormat="1" ht="40.15" customHeight="1" x14ac:dyDescent="0.2">
      <c r="A68" s="101"/>
      <c r="B68" s="840" t="s">
        <v>1049</v>
      </c>
      <c r="C68" s="839"/>
      <c r="D68" s="841" t="str">
        <f>IFERROR(IF($D$30=FAListas!$C$62,'TM5_parques de estacionamento'!$E$82/100,"0"),"")</f>
        <v>0</v>
      </c>
      <c r="E68" s="841" t="str">
        <f>IFERROR(IF($D$30=FAListas!$C$62,'TM5_parques de estacionamento'!E92/100,"0"),"")</f>
        <v>0</v>
      </c>
      <c r="F68" s="608"/>
      <c r="G68" s="608"/>
      <c r="H68" s="608"/>
      <c r="I68" s="841" t="str">
        <f>IFERROR(IF($D$30=FAListas!$C$63,'TM5_parques de estacionamento'!E82/100,""),"")</f>
        <v/>
      </c>
      <c r="J68" s="841"/>
      <c r="K68" s="101"/>
      <c r="L68" s="101"/>
      <c r="M68" s="101"/>
      <c r="N68" s="101"/>
      <c r="O68" s="101"/>
      <c r="P68" s="101"/>
      <c r="Q68" s="101"/>
      <c r="R68" s="101"/>
      <c r="S68" s="101"/>
      <c r="T68" s="101"/>
      <c r="U68" s="101"/>
      <c r="V68" s="101"/>
      <c r="W68" s="101"/>
    </row>
    <row r="69" spans="1:23" s="123" customFormat="1" ht="40.15" customHeight="1" x14ac:dyDescent="0.2">
      <c r="A69" s="101"/>
      <c r="B69" s="840" t="s">
        <v>1050</v>
      </c>
      <c r="C69" s="839"/>
      <c r="D69" s="841" t="str">
        <f>IFERROR(IF($D$30=FAListas!$C$62,'TM5_parques de estacionamento'!E83/100,"0"),"")</f>
        <v>0</v>
      </c>
      <c r="E69" s="841" t="str">
        <f>IFERROR(IF($D$30=FAListas!$C$62,'TM5_parques de estacionamento'!E93/100,"0"),"")</f>
        <v>0</v>
      </c>
      <c r="F69" s="608"/>
      <c r="G69" s="608"/>
      <c r="H69" s="608"/>
      <c r="I69" s="841" t="str">
        <f>IFERROR(IF($D$30=FAListas!$C$63,'TM5_parques de estacionamento'!E83/100,""),"")</f>
        <v/>
      </c>
      <c r="J69" s="841"/>
      <c r="K69" s="101"/>
      <c r="L69" s="101"/>
      <c r="M69" s="101"/>
      <c r="N69" s="101"/>
      <c r="O69" s="101"/>
      <c r="P69" s="101"/>
      <c r="Q69" s="101"/>
      <c r="R69" s="101"/>
      <c r="S69" s="101"/>
      <c r="T69" s="101"/>
      <c r="U69" s="101"/>
      <c r="V69" s="101"/>
      <c r="W69" s="101"/>
    </row>
    <row r="70" spans="1:23" s="123" customFormat="1" ht="40.15" customHeight="1" x14ac:dyDescent="0.2">
      <c r="A70" s="101"/>
      <c r="B70" s="840" t="s">
        <v>1051</v>
      </c>
      <c r="C70" s="839"/>
      <c r="D70" s="841" t="str">
        <f>IFERROR(IF($D$30=FAListas!$C$62,'TM5_parques de estacionamento'!E84/100,"0"),"")</f>
        <v>0</v>
      </c>
      <c r="E70" s="841" t="str">
        <f>IFERROR(IF($D$30=FAListas!$C$62,'TM5_parques de estacionamento'!E94/100,"0"),"")</f>
        <v>0</v>
      </c>
      <c r="F70" s="608"/>
      <c r="G70" s="608"/>
      <c r="H70" s="608"/>
      <c r="I70" s="841" t="str">
        <f>IFERROR(IF($D$30=FAListas!$C$63,'TM5_parques de estacionamento'!E84/100,""),"")</f>
        <v/>
      </c>
      <c r="J70" s="841"/>
      <c r="K70" s="101"/>
      <c r="L70" s="101"/>
      <c r="M70" s="101"/>
      <c r="N70" s="101"/>
      <c r="O70" s="101"/>
      <c r="P70" s="101"/>
      <c r="Q70" s="101"/>
      <c r="R70" s="101"/>
      <c r="S70" s="101"/>
      <c r="T70" s="101"/>
      <c r="U70" s="101"/>
      <c r="V70" s="101"/>
      <c r="W70" s="101"/>
    </row>
    <row r="71" spans="1:23" s="123" customFormat="1" ht="40.15" customHeight="1" x14ac:dyDescent="0.2">
      <c r="A71" s="349"/>
      <c r="B71" s="840" t="s">
        <v>261</v>
      </c>
      <c r="C71" s="153"/>
      <c r="D71" s="841" t="str">
        <f>IFERROR(IF($D$30=FAListas!$C$62,'TM5_parques de estacionamento'!E85/100,"0"),"")</f>
        <v>0</v>
      </c>
      <c r="E71" s="841" t="str">
        <f>IFERROR(IF($D$30=FAListas!$C$62,'TM5_parques de estacionamento'!E95/100,"0"),"")</f>
        <v>0</v>
      </c>
      <c r="F71" s="836"/>
      <c r="G71" s="836"/>
      <c r="H71" s="836"/>
      <c r="I71" s="841" t="str">
        <f>IFERROR(IF($D$30=FAListas!$C$63,'TM5_parques de estacionamento'!E85/100,""),"")</f>
        <v/>
      </c>
      <c r="J71" s="841"/>
      <c r="K71" s="349"/>
      <c r="L71" s="349"/>
      <c r="M71" s="349"/>
      <c r="N71" s="157"/>
      <c r="O71" s="157"/>
      <c r="P71" s="157"/>
      <c r="Q71" s="157"/>
      <c r="R71" s="157"/>
      <c r="S71" s="349"/>
      <c r="T71" s="349"/>
      <c r="U71" s="349"/>
      <c r="V71" s="349"/>
      <c r="W71" s="349"/>
    </row>
    <row r="72" spans="1:23" s="123" customFormat="1" ht="40.15" customHeight="1" x14ac:dyDescent="0.2">
      <c r="A72" s="349"/>
      <c r="B72" s="840" t="s">
        <v>205</v>
      </c>
      <c r="C72" s="153"/>
      <c r="D72" s="841" t="str">
        <f>IFERROR(IF($D$30=FAListas!$C$62,'TM5_parques de estacionamento'!E86/100,"0"),"")</f>
        <v>0</v>
      </c>
      <c r="E72" s="841" t="str">
        <f>IFERROR(IF($D$30=FAListas!$C$62,'TM5_parques de estacionamento'!E96/100,"0"),"")</f>
        <v>0</v>
      </c>
      <c r="F72" s="836"/>
      <c r="G72" s="836"/>
      <c r="H72" s="836"/>
      <c r="I72" s="841" t="str">
        <f>IFERROR(IF($D$30=FAListas!$C$63,'TM5_parques de estacionamento'!E86/100,""),"")</f>
        <v/>
      </c>
      <c r="J72" s="841"/>
      <c r="K72" s="349"/>
      <c r="L72" s="349"/>
      <c r="M72" s="349"/>
      <c r="N72" s="157"/>
      <c r="O72" s="157"/>
      <c r="P72" s="157"/>
      <c r="Q72" s="157"/>
      <c r="R72" s="157"/>
      <c r="S72" s="349"/>
      <c r="T72" s="349"/>
      <c r="U72" s="349"/>
      <c r="V72" s="349"/>
      <c r="W72" s="349"/>
    </row>
    <row r="73" spans="1:23" s="123" customFormat="1" ht="40.15" customHeight="1" x14ac:dyDescent="0.2">
      <c r="A73" s="349"/>
      <c r="B73" s="840" t="s">
        <v>154</v>
      </c>
      <c r="C73" s="153"/>
      <c r="D73" s="841" t="str">
        <f>IFERROR(IF($D$30=FAListas!$C$62,'TM5_parques de estacionamento'!E87/100,"0"),"")</f>
        <v>0</v>
      </c>
      <c r="E73" s="841" t="str">
        <f>IFERROR(IF($D$30=FAListas!$C$62,'TM5_parques de estacionamento'!E97/100,"0"),"")</f>
        <v>0</v>
      </c>
      <c r="F73" s="836"/>
      <c r="G73" s="836"/>
      <c r="H73" s="836"/>
      <c r="I73" s="841" t="str">
        <f>IFERROR(IF($D$30=FAListas!$C$63,'TM5_parques de estacionamento'!E87/100,""),"")</f>
        <v/>
      </c>
      <c r="J73" s="841"/>
      <c r="K73" s="349"/>
      <c r="L73" s="349"/>
      <c r="M73" s="349"/>
      <c r="N73" s="157"/>
      <c r="O73" s="157"/>
      <c r="P73" s="157"/>
      <c r="Q73" s="157"/>
      <c r="R73" s="157"/>
      <c r="S73" s="349"/>
      <c r="T73" s="349"/>
      <c r="U73" s="349"/>
      <c r="V73" s="349"/>
      <c r="W73" s="349"/>
    </row>
    <row r="74" spans="1:23" s="123" customFormat="1" ht="40.15" customHeight="1" x14ac:dyDescent="0.2">
      <c r="A74" s="349"/>
      <c r="B74" s="840" t="s">
        <v>1052</v>
      </c>
      <c r="C74" s="153"/>
      <c r="D74" s="841" t="str">
        <f>IFERROR(IF($D$30=FAListas!$C$62,'TM5_parques de estacionamento'!E88/100,"0"),"")</f>
        <v>0</v>
      </c>
      <c r="E74" s="841" t="str">
        <f>IFERROR(IF($D$30=FAListas!$C$62,'TM5_parques de estacionamento'!E98/100,"0"),"")</f>
        <v>0</v>
      </c>
      <c r="F74" s="836"/>
      <c r="G74" s="836"/>
      <c r="H74" s="836"/>
      <c r="I74" s="841" t="str">
        <f>IFERROR(IF($D$30=FAListas!$C$63,'TM5_parques de estacionamento'!E88/100,""),"")</f>
        <v/>
      </c>
      <c r="J74" s="841"/>
      <c r="K74" s="349"/>
      <c r="L74" s="349"/>
      <c r="M74" s="349"/>
      <c r="N74" s="157"/>
      <c r="O74" s="157"/>
      <c r="P74" s="157"/>
      <c r="Q74" s="157"/>
      <c r="R74" s="157"/>
      <c r="S74" s="349"/>
      <c r="T74" s="349"/>
      <c r="U74" s="349"/>
      <c r="V74" s="349"/>
      <c r="W74" s="349"/>
    </row>
    <row r="75" spans="1:23" s="123" customFormat="1" ht="40.15" customHeight="1" x14ac:dyDescent="0.2">
      <c r="A75" s="349"/>
      <c r="B75" s="840" t="s">
        <v>765</v>
      </c>
      <c r="C75" s="153"/>
      <c r="D75" s="841" t="str">
        <f>IFERROR(IF($D$30=FAListas!$C$62,'TM5_parques de estacionamento'!E89/100,"0"),"")</f>
        <v>0</v>
      </c>
      <c r="E75" s="841" t="str">
        <f>IFERROR(IF($D$30=FAListas!$C$62,'TM5_parques de estacionamento'!E99/100,"0"),"")</f>
        <v>0</v>
      </c>
      <c r="F75" s="836"/>
      <c r="G75" s="836"/>
      <c r="H75" s="836"/>
      <c r="I75" s="841" t="str">
        <f>IFERROR(IF($D$30=FAListas!$C$63,'TM5_parques de estacionamento'!E89/100,""),"")</f>
        <v/>
      </c>
      <c r="J75" s="841"/>
      <c r="K75" s="349"/>
      <c r="L75" s="349"/>
      <c r="M75" s="349"/>
      <c r="N75" s="157"/>
      <c r="O75" s="157"/>
      <c r="P75" s="157"/>
      <c r="Q75" s="157"/>
      <c r="R75" s="157"/>
      <c r="S75" s="349"/>
      <c r="T75" s="349"/>
      <c r="U75" s="349"/>
      <c r="V75" s="349"/>
      <c r="W75" s="349"/>
    </row>
    <row r="76" spans="1:23" s="123" customFormat="1" ht="40.15" customHeight="1" x14ac:dyDescent="0.2">
      <c r="A76" s="349"/>
      <c r="B76" s="838"/>
      <c r="C76" s="153"/>
      <c r="D76" s="253"/>
      <c r="E76" s="253"/>
      <c r="F76" s="832"/>
      <c r="G76" s="832"/>
      <c r="H76" s="832"/>
      <c r="I76" s="454"/>
      <c r="J76" s="454"/>
      <c r="K76" s="349"/>
      <c r="L76" s="349"/>
      <c r="M76" s="349"/>
      <c r="N76" s="157"/>
      <c r="O76" s="157"/>
      <c r="P76" s="157"/>
      <c r="Q76" s="157"/>
      <c r="R76" s="157"/>
      <c r="S76" s="349"/>
      <c r="T76" s="349"/>
      <c r="U76" s="349"/>
      <c r="V76" s="349"/>
      <c r="W76" s="349"/>
    </row>
    <row r="77" spans="1:23" s="123" customFormat="1" ht="40.15" customHeight="1" x14ac:dyDescent="0.2">
      <c r="B77" s="454"/>
      <c r="C77" s="153"/>
      <c r="D77" s="253"/>
      <c r="E77" s="253"/>
      <c r="F77" s="157"/>
      <c r="G77" s="157"/>
      <c r="H77" s="157"/>
      <c r="I77" s="252"/>
      <c r="J77" s="252"/>
      <c r="K77" s="141"/>
      <c r="L77" s="141"/>
      <c r="M77" s="141"/>
      <c r="N77" s="124"/>
      <c r="O77" s="124"/>
      <c r="S77" s="141"/>
      <c r="T77" s="141"/>
      <c r="U77" s="141"/>
      <c r="V77" s="141"/>
      <c r="W77" s="141"/>
    </row>
    <row r="78" spans="1:23" s="123" customFormat="1" ht="40.15" customHeight="1" x14ac:dyDescent="0.2">
      <c r="B78" s="171" t="s">
        <v>1053</v>
      </c>
      <c r="C78" s="844"/>
      <c r="D78" s="108" t="s">
        <v>172</v>
      </c>
      <c r="E78" s="108" t="s">
        <v>1044</v>
      </c>
      <c r="F78" s="608"/>
      <c r="G78" s="608"/>
      <c r="H78" s="608"/>
      <c r="I78" s="835" t="s">
        <v>172</v>
      </c>
      <c r="J78" s="108"/>
      <c r="K78" s="608"/>
      <c r="L78" s="608"/>
      <c r="M78" s="608"/>
      <c r="N78" s="101"/>
      <c r="O78" s="101"/>
      <c r="P78" s="101"/>
      <c r="Q78" s="101"/>
      <c r="R78" s="101"/>
      <c r="S78" s="101"/>
      <c r="T78" s="101"/>
      <c r="U78" s="101"/>
      <c r="V78" s="101"/>
      <c r="W78" s="101"/>
    </row>
    <row r="79" spans="1:23" s="123" customFormat="1" ht="40.15" customHeight="1" x14ac:dyDescent="0.2">
      <c r="B79" s="840" t="s">
        <v>1049</v>
      </c>
      <c r="C79" s="844"/>
      <c r="D79" s="114">
        <f>SUM($G$14:$G$19)*D68</f>
        <v>0</v>
      </c>
      <c r="E79" s="114">
        <f>$G$20*E68</f>
        <v>0</v>
      </c>
      <c r="F79" s="608"/>
      <c r="G79" s="608"/>
      <c r="H79" s="608"/>
      <c r="I79" s="114" t="str">
        <f>IFERROR(SUM($H$14:$H$19)*I68,"")</f>
        <v/>
      </c>
      <c r="J79" s="114">
        <f t="shared" ref="J79:J86" si="5">IFERROR($G$20*J68,"")</f>
        <v>0</v>
      </c>
      <c r="K79" s="608"/>
      <c r="L79" s="608"/>
      <c r="M79" s="608"/>
      <c r="N79" s="101"/>
      <c r="O79" s="101"/>
      <c r="P79" s="101"/>
      <c r="Q79" s="101"/>
      <c r="R79" s="101"/>
      <c r="S79" s="101"/>
      <c r="T79" s="101"/>
      <c r="U79" s="101"/>
      <c r="V79" s="101"/>
      <c r="W79" s="101"/>
    </row>
    <row r="80" spans="1:23" s="123" customFormat="1" ht="40.15" customHeight="1" x14ac:dyDescent="0.2">
      <c r="B80" s="840" t="s">
        <v>1050</v>
      </c>
      <c r="C80" s="844"/>
      <c r="D80" s="114">
        <f t="shared" ref="D80:D86" si="6">SUM($G$14:$G$19)*D69</f>
        <v>0</v>
      </c>
      <c r="E80" s="114">
        <f t="shared" ref="E80:E86" si="7">$G$20*E69</f>
        <v>0</v>
      </c>
      <c r="F80" s="608"/>
      <c r="G80" s="608"/>
      <c r="H80" s="608"/>
      <c r="I80" s="114" t="str">
        <f t="shared" ref="I80:I84" si="8">IFERROR(SUM($H$14:$H$19)*I69,"")</f>
        <v/>
      </c>
      <c r="J80" s="114">
        <f t="shared" si="5"/>
        <v>0</v>
      </c>
      <c r="K80" s="608"/>
      <c r="L80" s="608"/>
      <c r="M80" s="608"/>
      <c r="N80" s="101"/>
      <c r="O80" s="101"/>
      <c r="P80" s="101"/>
      <c r="Q80" s="101"/>
      <c r="R80" s="101"/>
      <c r="S80" s="101"/>
      <c r="T80" s="101"/>
      <c r="U80" s="101"/>
      <c r="V80" s="101"/>
      <c r="W80" s="101"/>
    </row>
    <row r="81" spans="1:23" s="123" customFormat="1" ht="40.15" customHeight="1" x14ac:dyDescent="0.2">
      <c r="B81" s="840" t="s">
        <v>1051</v>
      </c>
      <c r="C81" s="146"/>
      <c r="D81" s="114">
        <f t="shared" si="6"/>
        <v>0</v>
      </c>
      <c r="E81" s="114">
        <f t="shared" si="7"/>
        <v>0</v>
      </c>
      <c r="F81" s="842"/>
      <c r="G81" s="842"/>
      <c r="H81" s="842"/>
      <c r="I81" s="114" t="str">
        <f t="shared" si="8"/>
        <v/>
      </c>
      <c r="J81" s="114">
        <f t="shared" si="5"/>
        <v>0</v>
      </c>
      <c r="K81" s="842"/>
      <c r="L81" s="842"/>
      <c r="M81" s="842"/>
      <c r="N81" s="141"/>
      <c r="O81" s="141"/>
      <c r="P81" s="141"/>
      <c r="Q81" s="141"/>
      <c r="R81" s="141"/>
      <c r="S81" s="157"/>
      <c r="T81" s="157"/>
      <c r="U81" s="157"/>
      <c r="V81" s="157"/>
      <c r="W81" s="157"/>
    </row>
    <row r="82" spans="1:23" s="123" customFormat="1" ht="40.15" customHeight="1" x14ac:dyDescent="0.2">
      <c r="B82" s="840" t="s">
        <v>261</v>
      </c>
      <c r="C82" s="146"/>
      <c r="D82" s="114">
        <f t="shared" si="6"/>
        <v>0</v>
      </c>
      <c r="E82" s="114">
        <f t="shared" si="7"/>
        <v>0</v>
      </c>
      <c r="F82" s="842"/>
      <c r="G82" s="842"/>
      <c r="H82" s="842"/>
      <c r="I82" s="114" t="str">
        <f t="shared" si="8"/>
        <v/>
      </c>
      <c r="J82" s="114">
        <f t="shared" si="5"/>
        <v>0</v>
      </c>
      <c r="K82" s="842"/>
      <c r="L82" s="842"/>
      <c r="M82" s="842"/>
      <c r="N82" s="141"/>
      <c r="O82" s="141"/>
      <c r="P82" s="141"/>
      <c r="Q82" s="141"/>
      <c r="R82" s="141"/>
      <c r="S82" s="157"/>
      <c r="T82" s="157"/>
      <c r="U82" s="157"/>
      <c r="V82" s="157"/>
      <c r="W82" s="157"/>
    </row>
    <row r="83" spans="1:23" s="123" customFormat="1" ht="40.15" customHeight="1" x14ac:dyDescent="0.2">
      <c r="B83" s="840" t="s">
        <v>205</v>
      </c>
      <c r="C83" s="149"/>
      <c r="D83" s="114">
        <f t="shared" si="6"/>
        <v>0</v>
      </c>
      <c r="E83" s="114">
        <f t="shared" si="7"/>
        <v>0</v>
      </c>
      <c r="F83" s="842"/>
      <c r="G83" s="842"/>
      <c r="H83" s="842"/>
      <c r="I83" s="114" t="str">
        <f>IFERROR(SUM($H$14:$H$19)*I72,"")</f>
        <v/>
      </c>
      <c r="J83" s="114">
        <f t="shared" si="5"/>
        <v>0</v>
      </c>
      <c r="K83" s="842"/>
      <c r="L83" s="842"/>
      <c r="M83" s="842"/>
      <c r="N83" s="141"/>
      <c r="O83" s="141"/>
      <c r="P83" s="141"/>
      <c r="Q83" s="141"/>
      <c r="R83" s="141"/>
      <c r="S83" s="157"/>
      <c r="T83" s="157"/>
      <c r="U83" s="157"/>
      <c r="V83" s="157"/>
      <c r="W83" s="157"/>
    </row>
    <row r="84" spans="1:23" s="123" customFormat="1" ht="40.15" customHeight="1" x14ac:dyDescent="0.2">
      <c r="B84" s="840" t="s">
        <v>154</v>
      </c>
      <c r="C84" s="149"/>
      <c r="D84" s="114">
        <f t="shared" si="6"/>
        <v>0</v>
      </c>
      <c r="E84" s="114">
        <f t="shared" si="7"/>
        <v>0</v>
      </c>
      <c r="F84" s="842"/>
      <c r="G84" s="842"/>
      <c r="H84" s="842"/>
      <c r="I84" s="114" t="str">
        <f t="shared" si="8"/>
        <v/>
      </c>
      <c r="J84" s="114">
        <f t="shared" si="5"/>
        <v>0</v>
      </c>
      <c r="K84" s="842"/>
      <c r="L84" s="842"/>
      <c r="M84" s="842"/>
      <c r="N84" s="141"/>
      <c r="O84" s="141"/>
      <c r="P84" s="141"/>
      <c r="Q84" s="141"/>
      <c r="R84" s="141"/>
      <c r="S84" s="157"/>
      <c r="T84" s="157"/>
      <c r="U84" s="157"/>
      <c r="V84" s="157"/>
      <c r="W84" s="157"/>
    </row>
    <row r="85" spans="1:23" s="123" customFormat="1" ht="40.15" customHeight="1" x14ac:dyDescent="0.2">
      <c r="B85" s="840" t="s">
        <v>1052</v>
      </c>
      <c r="C85" s="149"/>
      <c r="D85" s="114">
        <f t="shared" si="6"/>
        <v>0</v>
      </c>
      <c r="E85" s="114">
        <f t="shared" si="7"/>
        <v>0</v>
      </c>
      <c r="F85" s="842"/>
      <c r="G85" s="842"/>
      <c r="H85" s="842"/>
      <c r="I85" s="114" t="str">
        <f>IFERROR(SUM($H$14:$H$19)*I74,"")</f>
        <v/>
      </c>
      <c r="J85" s="114">
        <f t="shared" si="5"/>
        <v>0</v>
      </c>
      <c r="K85" s="842"/>
      <c r="L85" s="842"/>
      <c r="M85" s="842"/>
      <c r="N85" s="141"/>
      <c r="O85" s="141"/>
      <c r="P85" s="141"/>
      <c r="Q85" s="141"/>
      <c r="R85" s="141"/>
      <c r="S85" s="157"/>
      <c r="T85" s="157"/>
      <c r="U85" s="157"/>
      <c r="V85" s="157"/>
      <c r="W85" s="157"/>
    </row>
    <row r="86" spans="1:23" s="123" customFormat="1" ht="40.15" customHeight="1" x14ac:dyDescent="0.2">
      <c r="B86" s="840" t="s">
        <v>1056</v>
      </c>
      <c r="C86" s="149"/>
      <c r="D86" s="114">
        <f t="shared" si="6"/>
        <v>0</v>
      </c>
      <c r="E86" s="114">
        <f t="shared" si="7"/>
        <v>0</v>
      </c>
      <c r="F86" s="842"/>
      <c r="G86" s="842"/>
      <c r="H86" s="842"/>
      <c r="I86" s="114">
        <v>0</v>
      </c>
      <c r="J86" s="114">
        <f t="shared" si="5"/>
        <v>0</v>
      </c>
      <c r="K86" s="842"/>
      <c r="L86" s="842"/>
      <c r="M86" s="842"/>
      <c r="N86" s="141"/>
      <c r="O86" s="141"/>
      <c r="P86" s="141"/>
      <c r="Q86" s="141"/>
      <c r="R86" s="141"/>
      <c r="S86" s="157"/>
      <c r="T86" s="157"/>
      <c r="U86" s="157"/>
      <c r="V86" s="157"/>
      <c r="W86" s="157"/>
    </row>
    <row r="87" spans="1:23" s="123" customFormat="1" ht="20.45" customHeight="1" x14ac:dyDescent="0.2">
      <c r="B87" s="156"/>
      <c r="C87" s="149"/>
      <c r="D87" s="124"/>
      <c r="E87" s="124"/>
      <c r="F87" s="124"/>
      <c r="G87" s="124"/>
      <c r="H87" s="124"/>
      <c r="I87" s="124"/>
      <c r="J87" s="124"/>
      <c r="K87" s="124"/>
      <c r="L87" s="124"/>
      <c r="M87" s="124"/>
      <c r="N87" s="124"/>
      <c r="O87" s="124"/>
      <c r="S87" s="124"/>
      <c r="T87" s="124"/>
      <c r="U87" s="124"/>
      <c r="V87" s="124"/>
      <c r="W87" s="124"/>
    </row>
    <row r="88" spans="1:23" s="123" customFormat="1" ht="40.15" customHeight="1" x14ac:dyDescent="0.2">
      <c r="B88" s="845" t="s">
        <v>964</v>
      </c>
      <c r="C88" s="846"/>
      <c r="D88" s="847" t="s">
        <v>172</v>
      </c>
      <c r="E88" s="847" t="s">
        <v>1044</v>
      </c>
      <c r="F88" s="848"/>
      <c r="G88" s="848"/>
      <c r="H88" s="848"/>
      <c r="I88" s="835" t="s">
        <v>172</v>
      </c>
      <c r="J88" s="108" t="s">
        <v>1044</v>
      </c>
      <c r="K88" s="848"/>
      <c r="L88" s="848"/>
      <c r="M88" s="848"/>
      <c r="N88" s="101"/>
      <c r="O88" s="101"/>
      <c r="P88" s="101"/>
      <c r="Q88" s="101"/>
      <c r="R88" s="101"/>
      <c r="S88" s="101"/>
      <c r="T88" s="101"/>
      <c r="U88" s="101"/>
      <c r="V88" s="101"/>
      <c r="W88" s="101"/>
    </row>
    <row r="89" spans="1:23" s="123" customFormat="1" ht="40.15" customHeight="1" x14ac:dyDescent="0.2">
      <c r="B89" s="840" t="s">
        <v>1049</v>
      </c>
      <c r="C89" s="849"/>
      <c r="D89" s="157">
        <f>IFERROR((D79*$H$55/1000),"")</f>
        <v>0</v>
      </c>
      <c r="E89" s="157">
        <f>IFERROR((E79*$H$55/1000),"")</f>
        <v>0</v>
      </c>
      <c r="F89" s="850"/>
      <c r="G89" s="850"/>
      <c r="H89" s="850"/>
      <c r="I89" s="157" t="str">
        <f>IFERROR((I79*$H$55/1000),"")</f>
        <v/>
      </c>
      <c r="J89" s="157">
        <f>IFERROR((J79*$H$55/1000),"")</f>
        <v>0</v>
      </c>
      <c r="K89" s="850"/>
      <c r="L89" s="850"/>
      <c r="M89" s="850"/>
      <c r="N89" s="101"/>
      <c r="O89" s="101"/>
      <c r="P89" s="101"/>
      <c r="Q89" s="101"/>
      <c r="R89" s="101"/>
      <c r="S89" s="101"/>
      <c r="T89" s="101"/>
      <c r="U89" s="101"/>
      <c r="V89" s="101"/>
      <c r="W89" s="101"/>
    </row>
    <row r="90" spans="1:23" s="123" customFormat="1" ht="40.15" customHeight="1" x14ac:dyDescent="0.2">
      <c r="B90" s="840" t="s">
        <v>1050</v>
      </c>
      <c r="C90" s="849"/>
      <c r="D90" s="157">
        <f>IFERROR((D80*$H$56/1000),"")</f>
        <v>0</v>
      </c>
      <c r="E90" s="157">
        <f>IFERROR((E80*$H$56/1000),"")</f>
        <v>0</v>
      </c>
      <c r="F90" s="850"/>
      <c r="G90" s="850"/>
      <c r="H90" s="850"/>
      <c r="I90" s="157" t="str">
        <f>IFERROR((I80*$H$56/1000),"")</f>
        <v/>
      </c>
      <c r="J90" s="157">
        <f>IFERROR((J80*$H$56/1000),"")</f>
        <v>0</v>
      </c>
      <c r="K90" s="850"/>
      <c r="L90" s="850"/>
      <c r="M90" s="850"/>
      <c r="N90" s="101"/>
      <c r="O90" s="101"/>
      <c r="P90" s="101"/>
      <c r="Q90" s="101"/>
      <c r="R90" s="101"/>
      <c r="S90" s="101"/>
      <c r="T90" s="101"/>
      <c r="U90" s="101"/>
      <c r="V90" s="101"/>
      <c r="W90" s="101"/>
    </row>
    <row r="91" spans="1:23" s="123" customFormat="1" ht="40.15" customHeight="1" x14ac:dyDescent="0.2">
      <c r="B91" s="840" t="s">
        <v>1051</v>
      </c>
      <c r="C91" s="849"/>
      <c r="D91" s="157">
        <f>IFERROR((D81*$H$58/1000),"")</f>
        <v>0</v>
      </c>
      <c r="E91" s="157">
        <f>IFERROR((E81*$H$58/1000),"")</f>
        <v>0</v>
      </c>
      <c r="F91" s="850"/>
      <c r="G91" s="850"/>
      <c r="H91" s="850"/>
      <c r="I91" s="157" t="str">
        <f>IFERROR((I81*$H$58/1000),"")</f>
        <v/>
      </c>
      <c r="J91" s="157">
        <f>IFERROR((J81*$H$58/1000),"")</f>
        <v>0</v>
      </c>
      <c r="K91" s="850"/>
      <c r="L91" s="850"/>
      <c r="M91" s="850"/>
      <c r="N91" s="101"/>
      <c r="O91" s="101"/>
      <c r="P91" s="101"/>
      <c r="Q91" s="101"/>
      <c r="R91" s="101"/>
      <c r="S91" s="101"/>
      <c r="T91" s="101"/>
      <c r="U91" s="101"/>
      <c r="V91" s="101"/>
      <c r="W91" s="101"/>
    </row>
    <row r="92" spans="1:23" s="123" customFormat="1" ht="40.15" customHeight="1" x14ac:dyDescent="0.2">
      <c r="B92" s="840" t="s">
        <v>261</v>
      </c>
      <c r="C92" s="150"/>
      <c r="D92" s="157">
        <f>IFERROR((D82*$J$47/1000),"")</f>
        <v>0</v>
      </c>
      <c r="E92" s="157">
        <f>IFERROR((E82*$J$47/1000),"")</f>
        <v>0</v>
      </c>
      <c r="F92" s="836"/>
      <c r="G92" s="836"/>
      <c r="H92" s="836"/>
      <c r="I92" s="157" t="str">
        <f>IFERROR((I82*$J$47/1000),"")</f>
        <v/>
      </c>
      <c r="J92" s="157">
        <f>IFERROR((J82*$J$47/1000),"")</f>
        <v>0</v>
      </c>
      <c r="K92" s="836"/>
      <c r="L92" s="836"/>
      <c r="M92" s="836"/>
      <c r="N92" s="157"/>
      <c r="O92" s="157"/>
      <c r="P92" s="157"/>
      <c r="Q92" s="157"/>
      <c r="R92" s="157"/>
      <c r="S92" s="157"/>
      <c r="T92" s="157"/>
      <c r="U92" s="157"/>
      <c r="V92" s="157"/>
      <c r="W92" s="157"/>
    </row>
    <row r="93" spans="1:23" s="123" customFormat="1" ht="40.15" customHeight="1" x14ac:dyDescent="0.2">
      <c r="A93" s="158"/>
      <c r="B93" s="840" t="s">
        <v>205</v>
      </c>
      <c r="C93" s="150"/>
      <c r="D93" s="157" t="str">
        <f>IFERROR((D83*$H$51/1000),"")</f>
        <v/>
      </c>
      <c r="E93" s="157" t="str">
        <f>IFERROR((E83*$H$51/1000),"")</f>
        <v/>
      </c>
      <c r="F93" s="836"/>
      <c r="G93" s="836"/>
      <c r="H93" s="836"/>
      <c r="I93" s="157" t="str">
        <f>IFERROR((I83*$H$51/1000),"")</f>
        <v/>
      </c>
      <c r="J93" s="157" t="str">
        <f>IFERROR((J83*$H$51/1000),"")</f>
        <v/>
      </c>
      <c r="K93" s="836"/>
      <c r="L93" s="836"/>
      <c r="M93" s="836"/>
      <c r="N93" s="157"/>
      <c r="O93" s="157"/>
      <c r="P93" s="157"/>
      <c r="Q93" s="157"/>
      <c r="R93" s="157"/>
      <c r="S93" s="157"/>
      <c r="T93" s="157"/>
      <c r="U93" s="157"/>
      <c r="V93" s="157"/>
      <c r="W93" s="157"/>
    </row>
    <row r="94" spans="1:23" s="123" customFormat="1" ht="40.15" customHeight="1" x14ac:dyDescent="0.2">
      <c r="B94" s="840" t="s">
        <v>154</v>
      </c>
      <c r="C94" s="150"/>
      <c r="D94" s="157">
        <f>IFERROR((D84*$H$53/1000),"")</f>
        <v>0</v>
      </c>
      <c r="E94" s="157">
        <f>IFERROR((E84*$H$53/1000),"")</f>
        <v>0</v>
      </c>
      <c r="F94" s="836"/>
      <c r="G94" s="836"/>
      <c r="H94" s="836"/>
      <c r="I94" s="157" t="str">
        <f>IFERROR((I84*$H$53/1000),"")</f>
        <v/>
      </c>
      <c r="J94" s="157">
        <f>IFERROR((J84*$H$53/1000),"")</f>
        <v>0</v>
      </c>
      <c r="K94" s="836"/>
      <c r="L94" s="836"/>
      <c r="M94" s="836"/>
      <c r="N94" s="157"/>
      <c r="O94" s="157"/>
      <c r="P94" s="157"/>
      <c r="Q94" s="157"/>
      <c r="R94" s="157"/>
      <c r="S94" s="157"/>
      <c r="T94" s="157"/>
      <c r="U94" s="157"/>
      <c r="V94" s="157"/>
      <c r="W94" s="157"/>
    </row>
    <row r="95" spans="1:23" s="123" customFormat="1" ht="40.15" customHeight="1" x14ac:dyDescent="0.2">
      <c r="B95" s="840" t="s">
        <v>1052</v>
      </c>
      <c r="C95" s="150"/>
      <c r="D95" s="157">
        <f>IFERROR((D85*$H$52/1000),"")</f>
        <v>0</v>
      </c>
      <c r="E95" s="157">
        <f>IFERROR((E85*$H$52/1000),"")</f>
        <v>0</v>
      </c>
      <c r="F95" s="836"/>
      <c r="G95" s="836"/>
      <c r="H95" s="836"/>
      <c r="I95" s="157" t="str">
        <f>IFERROR((I85*$H$52/1000),"")</f>
        <v/>
      </c>
      <c r="J95" s="157">
        <f>IFERROR((J85*$H$52/1000),"")</f>
        <v>0</v>
      </c>
      <c r="K95" s="836"/>
      <c r="L95" s="836"/>
      <c r="M95" s="836"/>
      <c r="N95" s="157"/>
      <c r="O95" s="157"/>
      <c r="P95" s="157"/>
      <c r="Q95" s="157"/>
      <c r="R95" s="157"/>
      <c r="S95" s="157"/>
      <c r="T95" s="157"/>
      <c r="U95" s="157"/>
      <c r="V95" s="157"/>
      <c r="W95" s="157"/>
    </row>
    <row r="96" spans="1:23" s="123" customFormat="1" ht="40.15" customHeight="1" x14ac:dyDescent="0.2">
      <c r="B96" s="840" t="s">
        <v>1056</v>
      </c>
      <c r="C96" s="150"/>
      <c r="D96" s="157">
        <f>IFERROR((D86*$H$54/1000),"")</f>
        <v>0</v>
      </c>
      <c r="E96" s="157">
        <f>IFERROR((E86*$H$54/1000),"")</f>
        <v>0</v>
      </c>
      <c r="F96" s="836"/>
      <c r="G96" s="836"/>
      <c r="H96" s="836"/>
      <c r="I96" s="157">
        <f>IFERROR((I86*$H$54/1000),"")</f>
        <v>0</v>
      </c>
      <c r="J96" s="157">
        <f>IFERROR((J86*$H$54/1000),"")</f>
        <v>0</v>
      </c>
      <c r="K96" s="836"/>
      <c r="L96" s="836"/>
      <c r="M96" s="836"/>
      <c r="N96" s="157"/>
      <c r="O96" s="157"/>
      <c r="P96" s="157"/>
      <c r="Q96" s="157"/>
      <c r="R96" s="157"/>
      <c r="S96" s="157"/>
      <c r="T96" s="157"/>
      <c r="U96" s="157"/>
      <c r="V96" s="157"/>
      <c r="W96" s="157"/>
    </row>
    <row r="97" spans="2:23" ht="40.15" customHeight="1" x14ac:dyDescent="0.25">
      <c r="B97" s="250" t="s">
        <v>5</v>
      </c>
      <c r="C97" s="173"/>
      <c r="D97" s="456">
        <f>SUM(D89:D96)</f>
        <v>0</v>
      </c>
      <c r="E97" s="456">
        <f>SUM(E89:E96)</f>
        <v>0</v>
      </c>
      <c r="F97" s="843"/>
      <c r="G97" s="843"/>
      <c r="H97" s="843"/>
      <c r="I97" s="455">
        <f>SUM(I89:I96)</f>
        <v>0</v>
      </c>
      <c r="J97" s="455">
        <f>SUM(J89:J96)</f>
        <v>0</v>
      </c>
      <c r="K97" s="843"/>
      <c r="L97" s="843"/>
      <c r="M97" s="843"/>
      <c r="N97" s="189"/>
      <c r="O97" s="189"/>
      <c r="P97" s="189"/>
      <c r="Q97" s="189"/>
      <c r="R97" s="189"/>
      <c r="S97" s="189"/>
      <c r="T97" s="189"/>
      <c r="U97" s="189"/>
      <c r="V97" s="189"/>
      <c r="W97" s="189"/>
    </row>
    <row r="98" spans="2:23" ht="40.15" customHeight="1" x14ac:dyDescent="0.25">
      <c r="B98" s="3"/>
      <c r="C98" s="3"/>
      <c r="D98" s="189"/>
      <c r="E98" s="189"/>
      <c r="F98" s="268" t="s">
        <v>877</v>
      </c>
      <c r="G98" s="269">
        <f>SUM(D97:E97)</f>
        <v>0</v>
      </c>
      <c r="H98" s="124"/>
      <c r="I98" s="189"/>
      <c r="J98" s="189"/>
      <c r="K98" s="189"/>
      <c r="L98" s="268" t="s">
        <v>878</v>
      </c>
      <c r="M98" s="269">
        <f>SUM(I97:J97)</f>
        <v>0</v>
      </c>
      <c r="N98" s="189"/>
      <c r="O98" s="189"/>
      <c r="P98" s="360"/>
      <c r="Q98" s="361"/>
      <c r="R98" s="124"/>
      <c r="S98" s="189"/>
      <c r="T98" s="189"/>
      <c r="U98" s="189"/>
      <c r="V98" s="360"/>
      <c r="W98" s="361"/>
    </row>
    <row r="99" spans="2:23" ht="40.15" customHeight="1" x14ac:dyDescent="0.25">
      <c r="B99" s="3"/>
      <c r="C99" s="3"/>
      <c r="D99" s="189"/>
      <c r="E99" s="189"/>
      <c r="F99" s="189"/>
      <c r="G99" s="189"/>
      <c r="H99" s="124"/>
      <c r="I99" s="189"/>
      <c r="J99" s="189"/>
      <c r="K99" s="189"/>
      <c r="L99" s="189"/>
      <c r="M99" s="189"/>
    </row>
    <row r="100" spans="2:23" ht="40.15" customHeight="1" x14ac:dyDescent="0.25">
      <c r="B100" s="3"/>
      <c r="C100" s="3"/>
      <c r="D100" s="189"/>
      <c r="E100" s="189"/>
      <c r="F100" s="189"/>
      <c r="G100" s="189"/>
      <c r="H100" s="124"/>
      <c r="I100" s="189"/>
      <c r="J100" s="189"/>
      <c r="K100" s="189"/>
      <c r="L100" s="189"/>
      <c r="M100" s="189"/>
    </row>
    <row r="101" spans="2:23" s="190" customFormat="1" ht="75" customHeight="1" x14ac:dyDescent="0.35">
      <c r="B101" s="193" t="s">
        <v>1178</v>
      </c>
      <c r="C101" s="725">
        <f>G98+M98</f>
        <v>0</v>
      </c>
      <c r="D101" s="191"/>
      <c r="E101" s="457"/>
      <c r="F101" s="517"/>
      <c r="G101" s="191"/>
      <c r="H101" s="192"/>
      <c r="I101" s="191"/>
      <c r="J101" s="191"/>
      <c r="K101" s="191"/>
      <c r="L101" s="191"/>
      <c r="M101" s="191"/>
      <c r="N101" s="192"/>
      <c r="O101" s="192"/>
    </row>
    <row r="102" spans="2:23" s="194" customFormat="1" ht="75" customHeight="1" x14ac:dyDescent="0.35">
      <c r="B102" s="195"/>
      <c r="C102" s="196"/>
      <c r="D102" s="196"/>
      <c r="E102" s="196"/>
      <c r="F102" s="196"/>
      <c r="G102" s="196"/>
      <c r="H102" s="197"/>
      <c r="I102" s="196"/>
      <c r="J102" s="196"/>
      <c r="K102" s="196"/>
      <c r="L102" s="196"/>
      <c r="M102" s="196"/>
      <c r="N102" s="197"/>
      <c r="O102" s="197"/>
    </row>
    <row r="103" spans="2:23" s="198" customFormat="1" ht="40.15" customHeight="1" x14ac:dyDescent="0.25">
      <c r="B103" s="202" t="s">
        <v>881</v>
      </c>
      <c r="C103" s="199"/>
      <c r="D103" s="200"/>
      <c r="E103" s="200"/>
      <c r="F103" s="200"/>
      <c r="G103" s="200"/>
      <c r="H103" s="201"/>
      <c r="I103" s="200"/>
      <c r="J103" s="200"/>
      <c r="K103" s="200"/>
      <c r="L103" s="200"/>
      <c r="M103" s="200"/>
      <c r="N103" s="201"/>
      <c r="O103" s="201"/>
    </row>
    <row r="104" spans="2:23" ht="40.15" customHeight="1" x14ac:dyDescent="0.25">
      <c r="B104" s="3"/>
      <c r="C104" s="3"/>
      <c r="D104" s="189"/>
      <c r="E104" s="189"/>
      <c r="F104" s="189"/>
      <c r="G104" s="189"/>
      <c r="I104" s="189"/>
      <c r="J104" s="189"/>
      <c r="K104" s="189"/>
      <c r="L104" s="189"/>
      <c r="M104" s="189"/>
    </row>
    <row r="105" spans="2:23" ht="19.899999999999999" customHeight="1" x14ac:dyDescent="0.25">
      <c r="B105" s="176" t="s">
        <v>252</v>
      </c>
      <c r="C105" s="175"/>
      <c r="D105" s="177"/>
      <c r="E105" s="177"/>
      <c r="F105" s="177"/>
      <c r="G105" s="177"/>
      <c r="H105" s="177"/>
      <c r="I105" s="177"/>
      <c r="J105" s="177"/>
      <c r="K105" s="189"/>
      <c r="L105" s="189"/>
      <c r="M105" s="189"/>
    </row>
    <row r="106" spans="2:23" ht="19.899999999999999" customHeight="1" x14ac:dyDescent="0.25">
      <c r="B106" s="176"/>
      <c r="C106" s="175"/>
      <c r="D106" s="177"/>
      <c r="E106" s="177"/>
      <c r="F106" s="177"/>
      <c r="G106" s="177"/>
      <c r="H106" s="177"/>
      <c r="I106" s="177"/>
      <c r="J106" s="177"/>
      <c r="K106" s="189"/>
      <c r="L106" s="189"/>
      <c r="M106" s="189"/>
    </row>
    <row r="107" spans="2:23" ht="19.899999999999999" customHeight="1" x14ac:dyDescent="0.25">
      <c r="B107" s="120" t="s">
        <v>253</v>
      </c>
      <c r="C107" s="179" t="s">
        <v>77</v>
      </c>
      <c r="D107" s="122" t="s">
        <v>879</v>
      </c>
      <c r="E107" s="122" t="s">
        <v>256</v>
      </c>
      <c r="F107" s="177"/>
      <c r="G107" s="120" t="s">
        <v>258</v>
      </c>
      <c r="H107" s="179" t="s">
        <v>77</v>
      </c>
      <c r="I107" s="122" t="s">
        <v>880</v>
      </c>
      <c r="J107" s="122" t="s">
        <v>256</v>
      </c>
      <c r="K107" s="189"/>
      <c r="L107" s="189"/>
      <c r="M107" s="189"/>
    </row>
    <row r="108" spans="2:23" ht="19.899999999999999" customHeight="1" x14ac:dyDescent="0.25">
      <c r="B108" s="176" t="s">
        <v>125</v>
      </c>
      <c r="C108" s="178">
        <v>0.55000000000000004</v>
      </c>
      <c r="D108" s="180">
        <f>'Fatores de Emissão'!I99</f>
        <v>3.0562499999999999E-2</v>
      </c>
      <c r="E108" s="181">
        <f t="shared" ref="E108:E113" si="9">C108*D108</f>
        <v>1.6809375000000001E-2</v>
      </c>
      <c r="F108" s="177"/>
      <c r="G108" s="176" t="s">
        <v>125</v>
      </c>
      <c r="H108" s="178">
        <v>0.84</v>
      </c>
      <c r="I108" s="177">
        <f>'Fatores de Emissão'!I63</f>
        <v>6.4276816608996538E-3</v>
      </c>
      <c r="J108" s="181">
        <f>H108*I108</f>
        <v>5.3992525951557088E-3</v>
      </c>
      <c r="K108" s="189"/>
      <c r="L108" s="189"/>
      <c r="M108" s="189"/>
    </row>
    <row r="109" spans="2:23" ht="19.899999999999999" customHeight="1" x14ac:dyDescent="0.25">
      <c r="B109" s="176" t="s">
        <v>227</v>
      </c>
      <c r="C109" s="178">
        <v>0.38</v>
      </c>
      <c r="D109" s="180">
        <f>'Fatores de Emissão'!I93</f>
        <v>3.0562499999999999E-2</v>
      </c>
      <c r="E109" s="181">
        <f t="shared" si="9"/>
        <v>1.1613749999999999E-2</v>
      </c>
      <c r="F109" s="177"/>
      <c r="G109" s="176" t="s">
        <v>89</v>
      </c>
      <c r="H109" s="178">
        <v>0.16</v>
      </c>
      <c r="I109" s="177">
        <f>'Fatores de Emissão'!I68</f>
        <v>6.2449826989619374E-3</v>
      </c>
      <c r="J109" s="181">
        <f>H109*I109</f>
        <v>9.9919723183390999E-4</v>
      </c>
      <c r="K109" s="189"/>
      <c r="L109" s="189"/>
      <c r="M109" s="189"/>
    </row>
    <row r="110" spans="2:23" ht="19.899999999999999" customHeight="1" x14ac:dyDescent="0.25">
      <c r="B110" s="176" t="s">
        <v>230</v>
      </c>
      <c r="C110" s="178">
        <v>0.01</v>
      </c>
      <c r="D110" s="180">
        <f>'Fatores de Emissão'!I102</f>
        <v>3.0562499999999999E-2</v>
      </c>
      <c r="E110" s="181">
        <f t="shared" si="9"/>
        <v>3.0562500000000002E-4</v>
      </c>
      <c r="F110" s="177"/>
      <c r="G110" s="182" t="s">
        <v>246</v>
      </c>
      <c r="H110" s="183"/>
      <c r="I110" s="184"/>
      <c r="J110" s="185">
        <f>SUM(J104:J109)</f>
        <v>6.3984498269896188E-3</v>
      </c>
      <c r="K110" s="189"/>
      <c r="L110" s="189"/>
      <c r="M110" s="189"/>
    </row>
    <row r="111" spans="2:23" ht="19.899999999999999" customHeight="1" x14ac:dyDescent="0.25">
      <c r="B111" s="176" t="s">
        <v>255</v>
      </c>
      <c r="C111" s="178">
        <v>0.02</v>
      </c>
      <c r="D111" s="180">
        <f>'Fatores de Emissão'!G9</f>
        <v>8.712499999999998E-2</v>
      </c>
      <c r="E111" s="181">
        <f t="shared" si="9"/>
        <v>1.7424999999999997E-3</v>
      </c>
      <c r="F111" s="177"/>
      <c r="G111" s="177"/>
      <c r="H111" s="177"/>
      <c r="I111" s="177"/>
      <c r="J111" s="177"/>
      <c r="K111" s="189"/>
      <c r="L111" s="189"/>
      <c r="M111" s="189"/>
    </row>
    <row r="112" spans="2:23" ht="19.899999999999999" customHeight="1" x14ac:dyDescent="0.25">
      <c r="B112" s="176" t="s">
        <v>254</v>
      </c>
      <c r="C112" s="178">
        <v>0.02</v>
      </c>
      <c r="D112" s="180">
        <f>'Fatores de Emissão'!I96</f>
        <v>3.0562499999999999E-2</v>
      </c>
      <c r="E112" s="181">
        <f t="shared" si="9"/>
        <v>6.1125000000000003E-4</v>
      </c>
      <c r="F112" s="177"/>
      <c r="G112" s="177"/>
      <c r="H112" s="177"/>
      <c r="I112" s="177"/>
      <c r="J112" s="177"/>
      <c r="K112" s="189"/>
      <c r="L112" s="189"/>
      <c r="M112" s="189"/>
    </row>
    <row r="113" spans="1:23" ht="19.899999999999999" customHeight="1" x14ac:dyDescent="0.25">
      <c r="B113" s="176" t="s">
        <v>260</v>
      </c>
      <c r="C113" s="178">
        <v>0.02</v>
      </c>
      <c r="D113" s="180">
        <f>'Fatores de Emissão'!G10</f>
        <v>4.5937499999999992E-2</v>
      </c>
      <c r="E113" s="181">
        <f t="shared" si="9"/>
        <v>9.1874999999999986E-4</v>
      </c>
      <c r="F113" s="177"/>
      <c r="G113" s="188" t="s">
        <v>263</v>
      </c>
      <c r="H113" s="186" t="s">
        <v>9</v>
      </c>
      <c r="I113" s="177"/>
      <c r="J113" s="177"/>
      <c r="K113" s="189"/>
      <c r="L113" s="189"/>
      <c r="M113" s="189"/>
    </row>
    <row r="114" spans="1:23" ht="19.899999999999999" customHeight="1" x14ac:dyDescent="0.25">
      <c r="B114" s="182" t="s">
        <v>246</v>
      </c>
      <c r="C114" s="183"/>
      <c r="D114" s="184"/>
      <c r="E114" s="185">
        <f>SUM(E108:E113)</f>
        <v>3.2001250000000002E-2</v>
      </c>
      <c r="F114" s="177"/>
      <c r="G114" s="187" t="s">
        <v>275</v>
      </c>
      <c r="H114" s="177">
        <f>'Fatores de Emissão'!G50</f>
        <v>2E-3</v>
      </c>
      <c r="I114" s="177"/>
      <c r="J114" s="177"/>
      <c r="K114" s="189"/>
      <c r="L114" s="189"/>
      <c r="M114" s="189"/>
    </row>
    <row r="115" spans="1:23" ht="19.899999999999999" customHeight="1" x14ac:dyDescent="0.25">
      <c r="B115" s="175"/>
      <c r="C115" s="175"/>
      <c r="D115" s="177"/>
      <c r="E115" s="177"/>
      <c r="F115" s="177"/>
      <c r="G115" s="204"/>
      <c r="H115" s="270"/>
      <c r="I115" s="177"/>
      <c r="J115" s="177"/>
      <c r="K115" s="189"/>
      <c r="L115" s="189"/>
      <c r="M115" s="189"/>
    </row>
    <row r="116" spans="1:23" ht="19.899999999999999" customHeight="1" x14ac:dyDescent="0.25">
      <c r="B116" s="175"/>
      <c r="C116" s="175"/>
      <c r="D116" s="177"/>
      <c r="E116" s="177"/>
      <c r="F116" s="177"/>
      <c r="G116" s="187" t="s">
        <v>154</v>
      </c>
      <c r="H116" s="177">
        <f>'Fatores de Emissão'!G47</f>
        <v>2E-3</v>
      </c>
      <c r="I116" s="177"/>
      <c r="J116" s="177"/>
      <c r="K116" s="189"/>
      <c r="L116" s="189"/>
      <c r="M116" s="189"/>
    </row>
    <row r="117" spans="1:23" ht="19.899999999999999" customHeight="1" x14ac:dyDescent="0.25">
      <c r="B117" s="175"/>
      <c r="C117" s="175"/>
      <c r="D117" s="177"/>
      <c r="E117" s="177"/>
      <c r="F117" s="177"/>
      <c r="G117" s="187" t="s">
        <v>110</v>
      </c>
      <c r="H117" s="177">
        <v>0</v>
      </c>
      <c r="I117" s="177"/>
      <c r="J117" s="177"/>
      <c r="K117" s="189"/>
      <c r="L117" s="189"/>
      <c r="M117" s="189"/>
    </row>
    <row r="118" spans="1:23" ht="19.899999999999999" customHeight="1" x14ac:dyDescent="0.25">
      <c r="B118" s="175"/>
      <c r="C118" s="175"/>
      <c r="D118" s="177"/>
      <c r="E118" s="177"/>
      <c r="F118" s="177"/>
      <c r="G118" s="187" t="s">
        <v>266</v>
      </c>
      <c r="H118" s="177">
        <f>'Fatores de Emissão'!C54</f>
        <v>2.3E-2</v>
      </c>
      <c r="I118" s="177"/>
      <c r="J118" s="177"/>
      <c r="K118" s="189"/>
      <c r="L118" s="189"/>
      <c r="M118" s="189"/>
    </row>
    <row r="119" spans="1:23" ht="19.899999999999999" customHeight="1" x14ac:dyDescent="0.25">
      <c r="B119" s="175"/>
      <c r="C119" s="175"/>
      <c r="D119" s="177"/>
      <c r="E119" s="177"/>
      <c r="F119" s="177"/>
      <c r="G119" s="187" t="s">
        <v>109</v>
      </c>
      <c r="H119" s="177">
        <f>'Fatores de Emissão'!G14</f>
        <v>3.6999999999999998E-2</v>
      </c>
      <c r="I119" s="177"/>
      <c r="J119" s="177"/>
      <c r="K119" s="189"/>
      <c r="L119" s="189"/>
      <c r="M119" s="189"/>
    </row>
    <row r="120" spans="1:23" ht="19.899999999999999" customHeight="1" x14ac:dyDescent="0.25">
      <c r="B120" s="175"/>
      <c r="C120" s="175"/>
      <c r="D120" s="177"/>
      <c r="E120" s="177"/>
      <c r="F120" s="177"/>
      <c r="G120" s="187" t="s">
        <v>267</v>
      </c>
      <c r="H120" s="177">
        <f>'Fatores de Emissão'!G13</f>
        <v>0.01</v>
      </c>
      <c r="I120" s="177"/>
      <c r="J120" s="177"/>
      <c r="K120" s="189"/>
      <c r="L120" s="189"/>
      <c r="M120" s="189"/>
    </row>
    <row r="121" spans="1:23" ht="19.899999999999999" customHeight="1" x14ac:dyDescent="0.25">
      <c r="B121" s="175"/>
      <c r="C121" s="175"/>
      <c r="D121" s="177"/>
      <c r="E121" s="177"/>
      <c r="F121" s="177"/>
      <c r="G121" s="187" t="s">
        <v>304</v>
      </c>
      <c r="H121" s="177">
        <f>'Fatores de Emissão'!G11</f>
        <v>0.94353999999999993</v>
      </c>
      <c r="I121" s="177"/>
      <c r="J121" s="177"/>
      <c r="K121" s="189"/>
      <c r="L121" s="189"/>
      <c r="M121" s="189"/>
    </row>
    <row r="122" spans="1:23" ht="40.15" customHeight="1" x14ac:dyDescent="0.25">
      <c r="B122" s="3"/>
      <c r="C122" s="3"/>
      <c r="D122" s="189"/>
      <c r="E122" s="189"/>
      <c r="F122" s="189"/>
      <c r="G122" s="187"/>
      <c r="I122" s="189"/>
      <c r="J122" s="189"/>
      <c r="K122" s="189"/>
      <c r="L122" s="189"/>
      <c r="M122" s="189"/>
    </row>
    <row r="123" spans="1:23" ht="30" customHeight="1" x14ac:dyDescent="0.25">
      <c r="B123" s="176"/>
      <c r="C123" s="175"/>
      <c r="D123" s="177"/>
      <c r="E123" s="177"/>
      <c r="F123" s="177"/>
      <c r="G123" s="175"/>
      <c r="H123" s="175"/>
      <c r="I123" s="177"/>
      <c r="J123" s="177"/>
      <c r="K123" s="177"/>
      <c r="L123" s="177"/>
      <c r="M123" s="177"/>
    </row>
    <row r="124" spans="1:23" ht="30" customHeight="1" x14ac:dyDescent="0.4">
      <c r="B124" s="123"/>
      <c r="C124" s="123"/>
      <c r="D124" s="458" t="s">
        <v>875</v>
      </c>
      <c r="E124" s="124"/>
      <c r="G124" s="124"/>
      <c r="H124" s="124"/>
      <c r="I124" s="458" t="s">
        <v>876</v>
      </c>
      <c r="J124" s="458"/>
      <c r="K124" s="124"/>
      <c r="L124" s="124"/>
      <c r="M124" s="124"/>
      <c r="P124" s="458"/>
      <c r="Q124" s="124"/>
      <c r="R124" s="124"/>
      <c r="S124" s="124"/>
      <c r="T124" s="458"/>
      <c r="U124" s="124"/>
    </row>
    <row r="125" spans="1:23" ht="49.9" customHeight="1" x14ac:dyDescent="0.25">
      <c r="A125" s="123"/>
      <c r="B125" s="851" t="s">
        <v>1058</v>
      </c>
      <c r="C125" s="855"/>
      <c r="D125" s="847" t="s">
        <v>172</v>
      </c>
      <c r="E125" s="847" t="s">
        <v>1044</v>
      </c>
      <c r="F125" s="852"/>
      <c r="G125" s="852"/>
      <c r="H125" s="852"/>
      <c r="I125" s="847" t="s">
        <v>172</v>
      </c>
      <c r="J125" s="847" t="s">
        <v>1044</v>
      </c>
      <c r="K125" s="101"/>
      <c r="L125" s="101"/>
      <c r="M125" s="101"/>
      <c r="N125" s="853"/>
      <c r="O125" s="854"/>
      <c r="P125" s="854"/>
      <c r="Q125" s="854"/>
      <c r="R125" s="854"/>
      <c r="S125" s="854"/>
      <c r="T125" s="854"/>
      <c r="U125" s="854"/>
      <c r="V125" s="854"/>
      <c r="W125" s="854"/>
    </row>
    <row r="126" spans="1:23" ht="49.9" customHeight="1" x14ac:dyDescent="0.25">
      <c r="A126" s="123"/>
      <c r="B126" s="840" t="s">
        <v>1049</v>
      </c>
      <c r="C126" s="849"/>
      <c r="D126" s="157">
        <f>IFERROR((D79*$H$118/1000),"")</f>
        <v>0</v>
      </c>
      <c r="E126" s="157">
        <f>IFERROR((E79*$H$118/1000),"")</f>
        <v>0</v>
      </c>
      <c r="F126" s="850"/>
      <c r="G126" s="850"/>
      <c r="H126" s="850"/>
      <c r="I126" s="157" t="str">
        <f>IFERROR((I79*$H$118/1000),"")</f>
        <v/>
      </c>
      <c r="J126" s="157">
        <f>IFERROR((J79*$H$118/1000),"")</f>
        <v>0</v>
      </c>
      <c r="K126" s="101"/>
      <c r="L126" s="101"/>
      <c r="M126" s="101"/>
      <c r="N126" s="101"/>
      <c r="O126" s="101"/>
      <c r="P126" s="101"/>
      <c r="Q126" s="101"/>
      <c r="R126" s="101"/>
      <c r="S126" s="101"/>
      <c r="T126" s="101"/>
      <c r="U126" s="101"/>
      <c r="V126" s="101"/>
      <c r="W126" s="101"/>
    </row>
    <row r="127" spans="1:23" ht="49.9" customHeight="1" x14ac:dyDescent="0.25">
      <c r="A127" s="123"/>
      <c r="B127" s="840" t="s">
        <v>1050</v>
      </c>
      <c r="C127" s="849"/>
      <c r="D127" s="157">
        <f>IFERROR((D80*$H$119/1000),"")</f>
        <v>0</v>
      </c>
      <c r="E127" s="157">
        <f>IFERROR((E80*$H$119/1000),"")</f>
        <v>0</v>
      </c>
      <c r="F127" s="850"/>
      <c r="G127" s="850"/>
      <c r="H127" s="850"/>
      <c r="I127" s="157" t="str">
        <f>IFERROR((I80*$H$119/1000),"")</f>
        <v/>
      </c>
      <c r="J127" s="157">
        <f>IFERROR((J80*$H$119/1000),"")</f>
        <v>0</v>
      </c>
      <c r="K127" s="101"/>
      <c r="L127" s="101"/>
      <c r="M127" s="101"/>
      <c r="N127" s="101"/>
      <c r="O127" s="101"/>
      <c r="P127" s="101"/>
      <c r="Q127" s="101"/>
      <c r="R127" s="101"/>
      <c r="S127" s="101"/>
      <c r="T127" s="101"/>
      <c r="U127" s="101"/>
      <c r="V127" s="101"/>
      <c r="W127" s="101"/>
    </row>
    <row r="128" spans="1:23" ht="49.9" customHeight="1" x14ac:dyDescent="0.25">
      <c r="A128" s="123"/>
      <c r="B128" s="840" t="s">
        <v>1051</v>
      </c>
      <c r="C128" s="849"/>
      <c r="D128" s="157">
        <f>IFERROR((D81*$H$121/1000),"")</f>
        <v>0</v>
      </c>
      <c r="E128" s="157">
        <f>IFERROR((E81*$H$121/1000),"")</f>
        <v>0</v>
      </c>
      <c r="F128" s="850"/>
      <c r="G128" s="850"/>
      <c r="H128" s="850"/>
      <c r="I128" s="157" t="str">
        <f>IFERROR((I81*$H$121/1000),"")</f>
        <v/>
      </c>
      <c r="J128" s="157">
        <f>IFERROR((J81*$H$121/1000),"")</f>
        <v>0</v>
      </c>
      <c r="K128" s="101"/>
      <c r="L128" s="101"/>
      <c r="M128" s="101"/>
      <c r="N128" s="101"/>
      <c r="O128" s="101"/>
      <c r="P128" s="101"/>
      <c r="Q128" s="101"/>
      <c r="R128" s="101"/>
      <c r="S128" s="101"/>
      <c r="T128" s="101"/>
      <c r="U128" s="101"/>
      <c r="V128" s="101"/>
      <c r="W128" s="101"/>
    </row>
    <row r="129" spans="1:31" ht="49.9" customHeight="1" x14ac:dyDescent="0.25">
      <c r="A129" s="123"/>
      <c r="B129" s="840" t="s">
        <v>261</v>
      </c>
      <c r="C129" s="150"/>
      <c r="D129" s="157">
        <f>IFERROR((D82*$J$110/1000),"")</f>
        <v>0</v>
      </c>
      <c r="E129" s="157">
        <f>IFERROR((E82*$J$110/1000),"")</f>
        <v>0</v>
      </c>
      <c r="F129" s="832"/>
      <c r="G129" s="832"/>
      <c r="H129" s="832"/>
      <c r="I129" s="157" t="str">
        <f>IFERROR((I82*$J$110/1000),"")</f>
        <v/>
      </c>
      <c r="J129" s="157">
        <f>IFERROR((J82*$J$110/1000),"")</f>
        <v>0</v>
      </c>
      <c r="K129" s="157"/>
      <c r="L129" s="157"/>
      <c r="M129" s="157"/>
      <c r="N129" s="157"/>
      <c r="O129" s="157"/>
      <c r="P129" s="157"/>
      <c r="Q129" s="157"/>
      <c r="R129" s="157"/>
      <c r="S129" s="726"/>
      <c r="T129" s="726"/>
      <c r="U129" s="726"/>
      <c r="V129" s="726"/>
      <c r="W129" s="726"/>
    </row>
    <row r="130" spans="1:31" ht="49.9" customHeight="1" x14ac:dyDescent="0.25">
      <c r="A130" s="158"/>
      <c r="B130" s="840" t="s">
        <v>205</v>
      </c>
      <c r="C130" s="150"/>
      <c r="D130" s="157">
        <f>IFERROR((D83*$H$114/1000),"")</f>
        <v>0</v>
      </c>
      <c r="E130" s="157">
        <f>IFERROR((E83*$H$114/1000),"")</f>
        <v>0</v>
      </c>
      <c r="F130" s="832"/>
      <c r="G130" s="832"/>
      <c r="H130" s="832"/>
      <c r="I130" s="157" t="str">
        <f>IFERROR((I83*$H$114/1000),"")</f>
        <v/>
      </c>
      <c r="J130" s="157">
        <f>IFERROR((J83*$H$114/1000),"")</f>
        <v>0</v>
      </c>
      <c r="K130" s="157"/>
      <c r="L130" s="157"/>
      <c r="M130" s="157"/>
      <c r="N130" s="157"/>
      <c r="O130" s="157"/>
      <c r="P130" s="157"/>
      <c r="Q130" s="157"/>
      <c r="R130" s="157"/>
      <c r="S130" s="726"/>
      <c r="T130" s="726"/>
      <c r="U130" s="726"/>
      <c r="V130" s="726"/>
      <c r="W130" s="726"/>
    </row>
    <row r="131" spans="1:31" ht="49.9" customHeight="1" x14ac:dyDescent="0.25">
      <c r="A131" s="123"/>
      <c r="B131" s="840" t="s">
        <v>154</v>
      </c>
      <c r="C131" s="150"/>
      <c r="D131" s="157">
        <f>IFERROR((D84*$H$116/1000),"")</f>
        <v>0</v>
      </c>
      <c r="E131" s="157">
        <f>IFERROR((E84*$H$116/1000),"")</f>
        <v>0</v>
      </c>
      <c r="F131" s="832"/>
      <c r="G131" s="832"/>
      <c r="H131" s="832"/>
      <c r="I131" s="157" t="str">
        <f>IFERROR((I84*$H$116/1000),"")</f>
        <v/>
      </c>
      <c r="J131" s="157">
        <f>IFERROR((J84*$H$116/1000),"")</f>
        <v>0</v>
      </c>
      <c r="K131" s="157"/>
      <c r="L131" s="157"/>
      <c r="M131" s="157"/>
      <c r="N131" s="157"/>
      <c r="O131" s="157"/>
      <c r="P131" s="157"/>
      <c r="Q131" s="157"/>
      <c r="R131" s="157"/>
      <c r="S131" s="726"/>
      <c r="T131" s="726"/>
      <c r="U131" s="726"/>
      <c r="V131" s="726"/>
      <c r="W131" s="726"/>
    </row>
    <row r="132" spans="1:31" ht="40.9" customHeight="1" x14ac:dyDescent="0.25">
      <c r="A132" s="123"/>
      <c r="B132" s="840" t="s">
        <v>307</v>
      </c>
      <c r="C132" s="150"/>
      <c r="D132" s="157">
        <f>IFERROR((D85*$H$117/1000),"")</f>
        <v>0</v>
      </c>
      <c r="E132" s="157">
        <f>IFERROR((E85*$H$117/1000),"")</f>
        <v>0</v>
      </c>
      <c r="F132" s="832"/>
      <c r="G132" s="832"/>
      <c r="H132" s="832"/>
      <c r="I132" s="157" t="str">
        <f>IFERROR((I85*$H$117/1000),"")</f>
        <v/>
      </c>
      <c r="J132" s="157">
        <f>IFERROR((J85*$H$117/1000),"")</f>
        <v>0</v>
      </c>
      <c r="K132" s="157"/>
      <c r="L132" s="157"/>
      <c r="M132" s="157"/>
      <c r="N132" s="157"/>
      <c r="O132" s="157"/>
      <c r="P132" s="157"/>
      <c r="Q132" s="157"/>
      <c r="R132" s="157"/>
      <c r="S132" s="726"/>
      <c r="T132" s="726"/>
      <c r="U132" s="726"/>
      <c r="V132" s="726"/>
      <c r="W132" s="726"/>
    </row>
    <row r="133" spans="1:31" ht="49.9" customHeight="1" x14ac:dyDescent="0.25">
      <c r="B133" s="250" t="s">
        <v>5</v>
      </c>
      <c r="C133" s="173"/>
      <c r="D133" s="174">
        <f>SUM(D126:D132)</f>
        <v>0</v>
      </c>
      <c r="E133" s="174">
        <f>SUM(E126:E132)</f>
        <v>0</v>
      </c>
      <c r="F133" s="833"/>
      <c r="G133" s="833"/>
      <c r="H133" s="833"/>
      <c r="I133" s="174">
        <f>SUM(I126:I132)</f>
        <v>0</v>
      </c>
      <c r="J133" s="174">
        <f>SUM(J126:J132)</f>
        <v>0</v>
      </c>
      <c r="K133" s="189"/>
      <c r="L133" s="189"/>
      <c r="M133" s="189"/>
      <c r="N133" s="189"/>
      <c r="O133" s="189"/>
      <c r="P133" s="189"/>
      <c r="Q133" s="189"/>
      <c r="R133" s="189"/>
      <c r="S133" s="189"/>
      <c r="T133" s="189"/>
      <c r="U133" s="189"/>
      <c r="V133" s="189"/>
      <c r="W133" s="189"/>
    </row>
    <row r="134" spans="1:31" ht="30" customHeight="1" x14ac:dyDescent="0.25">
      <c r="B134" s="3"/>
      <c r="C134" s="3"/>
      <c r="D134" s="189"/>
      <c r="E134" s="189"/>
      <c r="F134" s="268" t="s">
        <v>877</v>
      </c>
      <c r="G134" s="269">
        <f>SUM(D133:E133)</f>
        <v>0</v>
      </c>
      <c r="H134" s="124"/>
      <c r="I134" s="268" t="s">
        <v>878</v>
      </c>
      <c r="J134" s="834">
        <f>SUM(I133:J133)</f>
        <v>0</v>
      </c>
      <c r="K134" s="361"/>
      <c r="N134" s="189"/>
      <c r="O134" s="189"/>
      <c r="P134" s="360"/>
      <c r="Q134" s="727"/>
      <c r="R134" s="124"/>
      <c r="S134" s="189"/>
      <c r="T134" s="189"/>
      <c r="U134" s="189"/>
      <c r="V134" s="360"/>
      <c r="W134" s="728"/>
    </row>
    <row r="135" spans="1:31" ht="25.15" customHeight="1" x14ac:dyDescent="0.25"/>
    <row r="137" spans="1:31" s="1" customFormat="1" ht="23.25" x14ac:dyDescent="0.25">
      <c r="A137"/>
      <c r="B137" s="193" t="s">
        <v>1179</v>
      </c>
      <c r="C137" s="725">
        <f>G134+J134</f>
        <v>0</v>
      </c>
      <c r="D137" s="191"/>
      <c r="E137" s="193"/>
      <c r="F137" s="191"/>
      <c r="G137" s="191"/>
      <c r="H137" s="192"/>
      <c r="I137" s="191"/>
      <c r="J137" s="191"/>
      <c r="K137" s="191"/>
      <c r="L137" s="191"/>
      <c r="M137" s="191"/>
      <c r="P137"/>
      <c r="Q137"/>
      <c r="R137"/>
      <c r="S137"/>
      <c r="T137"/>
      <c r="U137"/>
      <c r="V137"/>
      <c r="W137"/>
      <c r="X137"/>
      <c r="Y137"/>
      <c r="Z137"/>
      <c r="AA137"/>
      <c r="AB137"/>
      <c r="AC137"/>
      <c r="AD137"/>
      <c r="AE137"/>
    </row>
    <row r="139" spans="1:31" s="1" customFormat="1" ht="46.5" x14ac:dyDescent="0.25">
      <c r="A139"/>
      <c r="B139" s="193" t="s">
        <v>1180</v>
      </c>
      <c r="C139" s="517">
        <f>C137+C101</f>
        <v>0</v>
      </c>
      <c r="P139"/>
      <c r="Q139"/>
      <c r="R139"/>
      <c r="S139"/>
      <c r="T139"/>
      <c r="U139"/>
      <c r="V139"/>
      <c r="W139"/>
      <c r="X139"/>
      <c r="Y139"/>
      <c r="Z139"/>
      <c r="AA139"/>
      <c r="AB139"/>
      <c r="AC139"/>
      <c r="AD139"/>
      <c r="AE139"/>
    </row>
    <row r="142" spans="1:31" s="1" customFormat="1" ht="23.25" x14ac:dyDescent="0.35">
      <c r="A142"/>
      <c r="B142" s="729"/>
      <c r="C142"/>
      <c r="P142"/>
      <c r="Q142"/>
      <c r="R142"/>
      <c r="S142"/>
      <c r="T142"/>
      <c r="U142"/>
      <c r="V142"/>
      <c r="W142"/>
      <c r="X142"/>
      <c r="Y142"/>
      <c r="Z142"/>
      <c r="AA142"/>
      <c r="AB142"/>
      <c r="AC142"/>
      <c r="AD142"/>
      <c r="AE142"/>
    </row>
    <row r="146" spans="1:31" s="1" customFormat="1" ht="49.9" customHeight="1" x14ac:dyDescent="0.25">
      <c r="A146"/>
      <c r="B146" s="533"/>
      <c r="C146" s="533"/>
      <c r="D146" s="533"/>
      <c r="E146" s="533"/>
      <c r="G146" s="1517"/>
      <c r="H146" s="1517"/>
      <c r="I146" s="1517"/>
      <c r="J146" s="1517"/>
      <c r="P146"/>
      <c r="Q146"/>
      <c r="R146"/>
      <c r="S146"/>
      <c r="T146"/>
      <c r="U146"/>
      <c r="V146"/>
      <c r="W146"/>
      <c r="X146"/>
      <c r="Y146"/>
      <c r="Z146"/>
      <c r="AA146"/>
      <c r="AB146"/>
      <c r="AC146"/>
      <c r="AD146"/>
      <c r="AE146"/>
    </row>
    <row r="147" spans="1:31" s="1" customFormat="1" ht="49.9" customHeight="1" x14ac:dyDescent="0.25">
      <c r="A147"/>
      <c r="B147" s="223"/>
      <c r="C147" s="211"/>
      <c r="D147" s="211"/>
      <c r="E147" s="211"/>
      <c r="G147" s="1256"/>
      <c r="H147" s="211"/>
      <c r="I147" s="211"/>
      <c r="J147" s="211"/>
      <c r="P147"/>
      <c r="Q147"/>
      <c r="R147"/>
      <c r="S147"/>
      <c r="T147"/>
      <c r="U147"/>
      <c r="V147"/>
      <c r="W147"/>
      <c r="X147"/>
      <c r="Y147"/>
      <c r="Z147"/>
      <c r="AA147"/>
      <c r="AB147"/>
      <c r="AC147"/>
      <c r="AD147"/>
      <c r="AE147"/>
    </row>
    <row r="148" spans="1:31" s="1" customFormat="1" ht="49.9" customHeight="1" x14ac:dyDescent="0.25">
      <c r="A148"/>
      <c r="B148" s="291"/>
      <c r="C148" s="394"/>
      <c r="D148" s="503"/>
      <c r="E148" s="503"/>
      <c r="G148" s="856"/>
      <c r="H148" s="857"/>
      <c r="I148" s="67"/>
      <c r="J148" s="764"/>
      <c r="P148"/>
      <c r="Q148"/>
      <c r="R148"/>
      <c r="S148"/>
      <c r="T148"/>
      <c r="U148"/>
      <c r="V148"/>
      <c r="W148"/>
      <c r="X148"/>
      <c r="Y148"/>
      <c r="Z148"/>
      <c r="AA148"/>
      <c r="AB148"/>
      <c r="AC148"/>
      <c r="AD148"/>
      <c r="AE148"/>
    </row>
    <row r="149" spans="1:31" s="1" customFormat="1" ht="49.9" customHeight="1" x14ac:dyDescent="0.25">
      <c r="A149"/>
      <c r="B149" s="291"/>
      <c r="C149" s="394"/>
      <c r="D149" s="503"/>
      <c r="E149" s="503"/>
      <c r="G149" s="596"/>
      <c r="H149" s="812"/>
      <c r="I149" s="731"/>
      <c r="J149" s="731"/>
      <c r="P149"/>
      <c r="Q149"/>
      <c r="R149"/>
      <c r="S149"/>
      <c r="T149"/>
      <c r="U149"/>
      <c r="V149"/>
      <c r="W149"/>
      <c r="X149"/>
      <c r="Y149"/>
      <c r="Z149"/>
      <c r="AA149"/>
      <c r="AB149"/>
      <c r="AC149"/>
      <c r="AD149"/>
      <c r="AE149"/>
    </row>
    <row r="150" spans="1:31" s="1" customFormat="1" ht="49.9" customHeight="1" x14ac:dyDescent="0.25">
      <c r="A150"/>
      <c r="B150" s="291"/>
      <c r="C150" s="394"/>
      <c r="D150" s="650"/>
      <c r="E150" s="650"/>
      <c r="G150" s="596"/>
      <c r="H150" s="812"/>
      <c r="I150" s="734"/>
      <c r="J150" s="734"/>
      <c r="P150"/>
      <c r="Q150"/>
      <c r="R150"/>
      <c r="S150"/>
      <c r="T150"/>
      <c r="U150"/>
      <c r="V150"/>
      <c r="W150"/>
      <c r="X150"/>
      <c r="Y150"/>
      <c r="Z150"/>
      <c r="AA150"/>
      <c r="AB150"/>
      <c r="AC150"/>
      <c r="AD150"/>
      <c r="AE150"/>
    </row>
    <row r="151" spans="1:31" s="1" customFormat="1" ht="49.9" customHeight="1" x14ac:dyDescent="0.25">
      <c r="A151"/>
      <c r="B151" s="291"/>
      <c r="C151" s="394"/>
      <c r="D151" s="503"/>
      <c r="E151" s="730"/>
      <c r="G151" s="596"/>
      <c r="H151" s="812"/>
      <c r="I151" s="734"/>
      <c r="J151" s="734"/>
      <c r="P151"/>
      <c r="Q151"/>
      <c r="R151"/>
      <c r="S151"/>
      <c r="T151"/>
      <c r="U151"/>
      <c r="V151"/>
      <c r="W151"/>
      <c r="X151"/>
      <c r="Y151"/>
      <c r="Z151"/>
      <c r="AA151"/>
      <c r="AB151"/>
      <c r="AC151"/>
      <c r="AD151"/>
      <c r="AE151"/>
    </row>
    <row r="152" spans="1:31" s="1" customFormat="1" ht="49.9" customHeight="1" x14ac:dyDescent="0.25">
      <c r="A152"/>
      <c r="B152" s="291"/>
      <c r="C152" s="394"/>
      <c r="D152" s="503"/>
      <c r="E152" s="730"/>
      <c r="G152" s="856"/>
      <c r="H152" s="857"/>
      <c r="I152" s="67"/>
      <c r="J152" s="764"/>
      <c r="P152"/>
      <c r="Q152"/>
      <c r="R152"/>
      <c r="S152"/>
      <c r="T152"/>
      <c r="U152"/>
      <c r="V152"/>
      <c r="W152"/>
      <c r="X152"/>
      <c r="Y152"/>
      <c r="Z152"/>
      <c r="AA152"/>
      <c r="AB152"/>
      <c r="AC152"/>
      <c r="AD152"/>
      <c r="AE152"/>
    </row>
    <row r="153" spans="1:31" s="1" customFormat="1" ht="49.9" customHeight="1" x14ac:dyDescent="0.25">
      <c r="A153"/>
      <c r="B153" s="291"/>
      <c r="C153" s="307"/>
      <c r="D153" s="653"/>
      <c r="E153" s="653"/>
      <c r="G153" s="596"/>
      <c r="H153" s="394"/>
      <c r="I153" s="731"/>
      <c r="J153" s="731"/>
      <c r="P153"/>
      <c r="Q153"/>
      <c r="R153"/>
      <c r="S153"/>
      <c r="T153"/>
      <c r="U153"/>
      <c r="V153"/>
      <c r="W153"/>
      <c r="X153"/>
      <c r="Y153"/>
      <c r="Z153"/>
      <c r="AA153"/>
      <c r="AB153"/>
      <c r="AC153"/>
      <c r="AD153"/>
      <c r="AE153"/>
    </row>
    <row r="154" spans="1:31" s="1" customFormat="1" ht="49.9" customHeight="1" x14ac:dyDescent="0.25">
      <c r="A154"/>
      <c r="B154" s="87"/>
      <c r="C154" s="88"/>
      <c r="D154" s="88"/>
      <c r="E154" s="88"/>
      <c r="G154" s="596"/>
      <c r="H154" s="394"/>
      <c r="I154" s="730"/>
      <c r="J154" s="730"/>
      <c r="P154"/>
      <c r="Q154"/>
      <c r="R154"/>
      <c r="S154"/>
      <c r="T154"/>
      <c r="U154"/>
      <c r="V154"/>
      <c r="W154"/>
      <c r="X154"/>
      <c r="Y154"/>
      <c r="Z154"/>
      <c r="AA154"/>
      <c r="AB154"/>
      <c r="AC154"/>
      <c r="AD154"/>
      <c r="AE154"/>
    </row>
    <row r="155" spans="1:31" s="1" customFormat="1" ht="49.9" customHeight="1" x14ac:dyDescent="0.25">
      <c r="A155"/>
      <c r="B155" s="486" t="s">
        <v>778</v>
      </c>
      <c r="C155" s="210"/>
      <c r="D155" s="210"/>
      <c r="E155" s="210"/>
      <c r="G155" s="596"/>
      <c r="H155" s="394"/>
      <c r="I155" s="734"/>
      <c r="J155" s="734"/>
      <c r="P155"/>
      <c r="Q155"/>
      <c r="R155"/>
      <c r="S155"/>
      <c r="T155"/>
      <c r="U155"/>
      <c r="V155"/>
      <c r="W155"/>
      <c r="X155"/>
      <c r="Y155"/>
      <c r="Z155"/>
      <c r="AA155"/>
      <c r="AB155"/>
      <c r="AC155"/>
      <c r="AD155"/>
      <c r="AE155"/>
    </row>
    <row r="156" spans="1:31" s="1" customFormat="1" ht="49.9" customHeight="1" x14ac:dyDescent="0.25">
      <c r="A156"/>
      <c r="B156" s="231" t="s">
        <v>114</v>
      </c>
      <c r="C156" s="228" t="s">
        <v>3</v>
      </c>
      <c r="D156" s="228" t="s">
        <v>756</v>
      </c>
      <c r="E156" s="228" t="s">
        <v>757</v>
      </c>
      <c r="G156" s="856"/>
      <c r="H156" s="857"/>
      <c r="I156" s="67"/>
      <c r="J156" s="764"/>
      <c r="P156"/>
      <c r="Q156"/>
      <c r="R156"/>
      <c r="S156"/>
      <c r="T156"/>
      <c r="U156"/>
      <c r="V156"/>
      <c r="W156"/>
      <c r="X156"/>
      <c r="Y156"/>
      <c r="Z156"/>
      <c r="AA156"/>
      <c r="AB156"/>
      <c r="AC156"/>
      <c r="AD156"/>
      <c r="AE156"/>
    </row>
    <row r="157" spans="1:31" s="1" customFormat="1" ht="49.9" customHeight="1" x14ac:dyDescent="0.25">
      <c r="A157"/>
      <c r="B157" s="311" t="s">
        <v>488</v>
      </c>
      <c r="C157" s="312" t="s">
        <v>353</v>
      </c>
      <c r="D157" s="520">
        <f>D158-D159</f>
        <v>0</v>
      </c>
      <c r="E157" s="521">
        <f>E158-E159</f>
        <v>0</v>
      </c>
      <c r="G157" s="596"/>
      <c r="H157" s="394"/>
      <c r="I157" s="731"/>
      <c r="J157" s="731"/>
      <c r="P157"/>
      <c r="Q157"/>
      <c r="R157"/>
      <c r="S157"/>
      <c r="T157"/>
      <c r="U157"/>
      <c r="V157"/>
      <c r="W157"/>
      <c r="X157"/>
      <c r="Y157"/>
      <c r="Z157"/>
      <c r="AA157"/>
      <c r="AB157"/>
      <c r="AC157"/>
      <c r="AD157"/>
      <c r="AE157"/>
    </row>
    <row r="158" spans="1:31" s="1" customFormat="1" ht="49.9" customHeight="1" x14ac:dyDescent="0.25">
      <c r="A158"/>
      <c r="B158" s="313" t="s">
        <v>354</v>
      </c>
      <c r="C158" s="314" t="s">
        <v>353</v>
      </c>
      <c r="D158" s="315">
        <f>C101</f>
        <v>0</v>
      </c>
      <c r="E158" s="324">
        <f>C139</f>
        <v>0</v>
      </c>
      <c r="G158" s="596"/>
      <c r="H158" s="394"/>
      <c r="I158" s="730"/>
      <c r="J158" s="730"/>
      <c r="P158"/>
      <c r="Q158"/>
      <c r="R158"/>
      <c r="S158"/>
      <c r="T158"/>
      <c r="U158"/>
      <c r="V158"/>
      <c r="W158"/>
      <c r="X158"/>
      <c r="Y158"/>
      <c r="Z158"/>
      <c r="AA158"/>
      <c r="AB158"/>
      <c r="AC158"/>
      <c r="AD158"/>
      <c r="AE158"/>
    </row>
    <row r="159" spans="1:31" s="1" customFormat="1" ht="49.9" customHeight="1" x14ac:dyDescent="0.25">
      <c r="A159"/>
      <c r="B159" s="316" t="s">
        <v>355</v>
      </c>
      <c r="C159" s="317" t="s">
        <v>353</v>
      </c>
      <c r="D159" s="318">
        <f>K21</f>
        <v>0</v>
      </c>
      <c r="E159" s="319">
        <f>N21</f>
        <v>0</v>
      </c>
      <c r="G159" s="596"/>
      <c r="H159" s="394"/>
      <c r="I159" s="734"/>
      <c r="J159" s="734"/>
      <c r="P159"/>
      <c r="Q159"/>
      <c r="R159"/>
      <c r="S159"/>
      <c r="T159"/>
      <c r="U159"/>
      <c r="V159"/>
      <c r="W159"/>
      <c r="X159"/>
      <c r="Y159"/>
      <c r="Z159"/>
      <c r="AA159"/>
      <c r="AB159"/>
      <c r="AC159"/>
      <c r="AD159"/>
      <c r="AE159"/>
    </row>
    <row r="160" spans="1:31" s="1" customFormat="1" ht="49.9" customHeight="1" x14ac:dyDescent="0.25">
      <c r="A160"/>
      <c r="B160" s="320" t="s">
        <v>466</v>
      </c>
      <c r="C160" s="323" t="s">
        <v>357</v>
      </c>
      <c r="D160" s="448" t="e">
        <f>D157*$Y$13</f>
        <v>#N/A</v>
      </c>
      <c r="E160" s="1259" t="e">
        <f>E157*$Y$13</f>
        <v>#N/A</v>
      </c>
      <c r="G160" s="596"/>
      <c r="H160" s="394"/>
      <c r="I160" s="730"/>
      <c r="J160" s="730"/>
      <c r="P160"/>
      <c r="Q160"/>
      <c r="R160"/>
      <c r="S160"/>
      <c r="T160"/>
      <c r="U160"/>
      <c r="V160"/>
      <c r="W160"/>
      <c r="X160"/>
      <c r="Y160"/>
      <c r="Z160"/>
      <c r="AA160"/>
      <c r="AB160"/>
      <c r="AC160"/>
      <c r="AD160"/>
      <c r="AE160"/>
    </row>
    <row r="161" spans="1:31" s="1" customFormat="1" ht="49.9" customHeight="1" x14ac:dyDescent="0.25">
      <c r="A161"/>
      <c r="B161" s="87"/>
      <c r="C161" s="88"/>
      <c r="D161" s="244"/>
      <c r="E161" s="88"/>
      <c r="G161" s="596"/>
      <c r="H161" s="394"/>
      <c r="I161" s="734"/>
      <c r="J161" s="734"/>
      <c r="P161"/>
      <c r="Q161"/>
      <c r="R161"/>
      <c r="S161"/>
      <c r="T161"/>
      <c r="U161"/>
      <c r="V161"/>
      <c r="W161"/>
      <c r="X161"/>
      <c r="Y161"/>
      <c r="Z161"/>
      <c r="AA161"/>
      <c r="AB161"/>
      <c r="AC161"/>
      <c r="AD161"/>
      <c r="AE161"/>
    </row>
    <row r="162" spans="1:31" s="1" customFormat="1" ht="49.9" customHeight="1" x14ac:dyDescent="0.25">
      <c r="A162"/>
      <c r="B162" s="533"/>
      <c r="C162" s="533"/>
      <c r="D162" s="533"/>
      <c r="E162" s="533"/>
      <c r="G162" s="856"/>
      <c r="H162" s="857"/>
      <c r="I162" s="67"/>
      <c r="J162" s="764"/>
      <c r="P162"/>
      <c r="Q162"/>
      <c r="R162"/>
      <c r="S162"/>
      <c r="T162"/>
      <c r="U162"/>
      <c r="V162"/>
      <c r="W162"/>
      <c r="X162"/>
      <c r="Y162"/>
      <c r="Z162"/>
      <c r="AA162"/>
      <c r="AB162"/>
      <c r="AC162"/>
      <c r="AD162"/>
      <c r="AE162"/>
    </row>
    <row r="163" spans="1:31" s="1" customFormat="1" ht="49.9" customHeight="1" x14ac:dyDescent="0.25">
      <c r="A163"/>
      <c r="B163" s="223"/>
      <c r="C163" s="211"/>
      <c r="D163" s="211"/>
      <c r="E163" s="211"/>
      <c r="G163" s="596"/>
      <c r="H163" s="89"/>
      <c r="I163" s="731"/>
      <c r="J163" s="731"/>
      <c r="P163"/>
      <c r="Q163"/>
      <c r="R163"/>
      <c r="S163"/>
      <c r="T163"/>
      <c r="U163"/>
      <c r="V163"/>
      <c r="W163"/>
      <c r="X163"/>
      <c r="Y163"/>
      <c r="Z163"/>
      <c r="AA163"/>
      <c r="AB163"/>
      <c r="AC163"/>
      <c r="AD163"/>
      <c r="AE163"/>
    </row>
    <row r="164" spans="1:31" s="1" customFormat="1" ht="49.9" customHeight="1" x14ac:dyDescent="0.25">
      <c r="A164"/>
      <c r="B164" s="291"/>
      <c r="C164" s="394"/>
      <c r="D164" s="731"/>
      <c r="E164" s="732"/>
      <c r="G164" s="596"/>
      <c r="H164" s="89"/>
      <c r="I164" s="1257"/>
      <c r="J164" s="1257"/>
      <c r="P164"/>
      <c r="Q164"/>
      <c r="R164"/>
      <c r="S164"/>
      <c r="T164"/>
      <c r="U164"/>
      <c r="V164"/>
      <c r="W164"/>
      <c r="X164"/>
      <c r="Y164"/>
      <c r="Z164"/>
      <c r="AA164"/>
      <c r="AB164"/>
      <c r="AC164"/>
      <c r="AD164"/>
      <c r="AE164"/>
    </row>
    <row r="165" spans="1:31" s="1" customFormat="1" ht="49.9" customHeight="1" x14ac:dyDescent="0.25">
      <c r="A165"/>
      <c r="B165" s="291"/>
      <c r="C165" s="394"/>
      <c r="D165" s="730"/>
      <c r="E165" s="733"/>
      <c r="G165" s="596"/>
      <c r="H165" s="89"/>
      <c r="I165" s="1258"/>
      <c r="J165" s="1258"/>
      <c r="P165"/>
      <c r="Q165"/>
      <c r="R165"/>
      <c r="S165"/>
      <c r="T165"/>
      <c r="U165"/>
      <c r="V165"/>
      <c r="W165"/>
      <c r="X165"/>
      <c r="Y165"/>
      <c r="Z165"/>
      <c r="AA165"/>
      <c r="AB165"/>
      <c r="AC165"/>
      <c r="AD165"/>
      <c r="AE165"/>
    </row>
    <row r="166" spans="1:31" s="1" customFormat="1" ht="49.9" customHeight="1" x14ac:dyDescent="0.25">
      <c r="A166"/>
      <c r="B166" s="291"/>
      <c r="C166" s="394"/>
      <c r="D166" s="734"/>
      <c r="E166" s="735"/>
      <c r="P166"/>
      <c r="Q166"/>
      <c r="R166"/>
      <c r="S166"/>
      <c r="T166"/>
      <c r="U166"/>
      <c r="V166"/>
      <c r="W166"/>
      <c r="X166"/>
      <c r="Y166"/>
      <c r="Z166"/>
      <c r="AA166"/>
      <c r="AB166"/>
      <c r="AC166"/>
      <c r="AD166"/>
      <c r="AE166"/>
    </row>
    <row r="167" spans="1:31" s="1" customFormat="1" ht="49.9" customHeight="1" x14ac:dyDescent="0.25">
      <c r="A167"/>
      <c r="B167" s="291"/>
      <c r="C167" s="394"/>
      <c r="D167" s="503"/>
      <c r="E167" s="730"/>
      <c r="P167"/>
      <c r="Q167"/>
      <c r="R167"/>
      <c r="S167"/>
      <c r="T167"/>
      <c r="U167"/>
      <c r="V167"/>
      <c r="W167"/>
      <c r="X167"/>
      <c r="Y167"/>
      <c r="Z167"/>
      <c r="AA167"/>
      <c r="AB167"/>
      <c r="AC167"/>
      <c r="AD167"/>
      <c r="AE167"/>
    </row>
    <row r="168" spans="1:31" s="1" customFormat="1" ht="49.9" customHeight="1" x14ac:dyDescent="0.25">
      <c r="A168"/>
      <c r="B168" s="291"/>
      <c r="C168" s="394"/>
      <c r="D168" s="730"/>
      <c r="E168" s="730"/>
      <c r="F168" s="485"/>
      <c r="P168"/>
      <c r="Q168"/>
      <c r="R168"/>
      <c r="S168"/>
      <c r="T168"/>
      <c r="U168"/>
      <c r="V168"/>
      <c r="W168"/>
      <c r="X168"/>
      <c r="Y168"/>
      <c r="Z168"/>
      <c r="AA168"/>
      <c r="AB168"/>
      <c r="AC168"/>
      <c r="AD168"/>
      <c r="AE168"/>
    </row>
    <row r="169" spans="1:31" s="1" customFormat="1" ht="49.9" customHeight="1" x14ac:dyDescent="0.25">
      <c r="A169"/>
      <c r="B169" s="291"/>
      <c r="C169" s="307"/>
      <c r="D169" s="653"/>
      <c r="E169" s="653"/>
      <c r="P169"/>
      <c r="Q169"/>
      <c r="R169"/>
      <c r="S169"/>
      <c r="T169"/>
      <c r="U169"/>
      <c r="V169"/>
      <c r="W169"/>
      <c r="X169"/>
      <c r="Y169"/>
      <c r="Z169"/>
      <c r="AA169"/>
      <c r="AB169"/>
      <c r="AC169"/>
      <c r="AD169"/>
      <c r="AE169"/>
    </row>
  </sheetData>
  <mergeCells count="2">
    <mergeCell ref="Z8:AD8"/>
    <mergeCell ref="G146:J146"/>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 id="{F7A35DED-CD23-46F4-BBB4-F77AEF8C1C40}">
            <xm:f>IF($E$49=FAListas!$C$6,TRUE, IF($E$49=FAListas!#REF!, TRUE,""))</xm:f>
            <x14:dxf>
              <fill>
                <patternFill>
                  <bgColor theme="1"/>
                </patternFill>
              </fill>
            </x14:dxf>
          </x14:cfRule>
          <xm:sqref>D148:E148 I149:J149 I153:J153 D157:E157 I157:J157 I163:J163 D164:E164</xm:sqref>
        </x14:conditionalFormatting>
        <x14:conditionalFormatting xmlns:xm="http://schemas.microsoft.com/office/excel/2006/main">
          <x14:cfRule type="expression" priority="3" id="{29AAB063-E902-4AAA-8D33-0BE4304A5026}">
            <xm:f>IF(#REF!=FAListas!$C$6,TRUE, IF(#REF!=FAListas!#REF!, TRUE,""))</xm:f>
            <x14:dxf>
              <fill>
                <patternFill>
                  <bgColor theme="1"/>
                </patternFill>
              </fill>
            </x14:dxf>
          </x14:cfRule>
          <xm:sqref>D149:E153</xm:sqref>
        </x14:conditionalFormatting>
        <x14:conditionalFormatting xmlns:xm="http://schemas.microsoft.com/office/excel/2006/main">
          <x14:cfRule type="expression" priority="4" id="{B07110B9-038E-4C72-BD6C-3ED98F3B0DF5}">
            <xm:f>#REF!=FAListas!#REF!</xm:f>
            <x14:dxf>
              <fill>
                <patternFill>
                  <bgColor theme="1"/>
                </patternFill>
              </fill>
            </x14:dxf>
          </x14:cfRule>
          <xm:sqref>D158:E160 D167:E169</xm:sqref>
        </x14:conditionalFormatting>
        <x14:conditionalFormatting xmlns:xm="http://schemas.microsoft.com/office/excel/2006/main">
          <x14:cfRule type="expression" priority="1" id="{1EE74500-2491-48FF-A7F8-D55B33FCD9D8}">
            <xm:f>#REF!=FAListas!$C$6</xm:f>
            <x14:dxf>
              <fill>
                <patternFill>
                  <bgColor theme="1"/>
                </patternFill>
              </fill>
            </x14:dxf>
          </x14:cfRule>
          <xm:sqref>D165:E166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71A15-05C1-4B5F-9CE9-1D3ACCE102FB}">
  <sheetPr codeName="Sheet18">
    <tabColor rgb="FFA9D08E"/>
  </sheetPr>
  <dimension ref="A2:AP61"/>
  <sheetViews>
    <sheetView showGridLines="0" zoomScale="55" zoomScaleNormal="55" workbookViewId="0"/>
  </sheetViews>
  <sheetFormatPr defaultRowHeight="30" customHeight="1" x14ac:dyDescent="0.25"/>
  <cols>
    <col min="1" max="1" width="3.7109375" customWidth="1"/>
    <col min="2" max="2" width="3.28515625" customWidth="1"/>
    <col min="3" max="3" width="51.5703125" customWidth="1"/>
    <col min="4" max="4" width="24.28515625" customWidth="1"/>
    <col min="5" max="12" width="25.7109375" customWidth="1"/>
    <col min="13" max="14" width="30.7109375" customWidth="1"/>
    <col min="15" max="15" width="3.7109375" customWidth="1"/>
    <col min="16" max="16" width="33.7109375" customWidth="1"/>
    <col min="35" max="35" width="13.28515625" style="645" customWidth="1"/>
    <col min="36" max="36" width="13.7109375" style="645" bestFit="1" customWidth="1"/>
  </cols>
  <sheetData>
    <row r="2" spans="1:42" s="461" customFormat="1" ht="70.150000000000006" customHeight="1" x14ac:dyDescent="0.25">
      <c r="A2" s="297"/>
      <c r="B2" s="460"/>
      <c r="C2" s="480" t="s">
        <v>480</v>
      </c>
      <c r="D2" s="460"/>
      <c r="E2" s="460"/>
      <c r="F2" s="460"/>
      <c r="G2" s="460"/>
      <c r="H2" s="460"/>
      <c r="I2" s="460"/>
      <c r="J2" s="460"/>
      <c r="K2" s="460"/>
      <c r="L2" s="460"/>
      <c r="M2" s="460"/>
      <c r="N2" s="460"/>
      <c r="O2" s="460"/>
      <c r="P2" s="460"/>
      <c r="Q2" s="460"/>
      <c r="R2" s="460"/>
      <c r="S2" s="460"/>
      <c r="T2" s="460"/>
      <c r="U2" s="460"/>
      <c r="V2" s="460"/>
      <c r="W2" s="460"/>
      <c r="X2" s="460"/>
      <c r="AI2" s="1017"/>
      <c r="AJ2" s="1017"/>
    </row>
    <row r="4" spans="1:42" ht="30" customHeight="1" x14ac:dyDescent="0.25">
      <c r="B4" s="1577" t="s">
        <v>799</v>
      </c>
      <c r="C4" s="1577"/>
      <c r="D4" s="1577"/>
      <c r="E4" s="1577"/>
      <c r="F4" s="1577"/>
      <c r="G4" s="1577"/>
      <c r="H4" s="1577"/>
      <c r="I4" s="1577"/>
      <c r="J4" s="1577"/>
    </row>
    <row r="5" spans="1:42" ht="70.150000000000006" customHeight="1" x14ac:dyDescent="0.25">
      <c r="B5" s="1371" t="s">
        <v>800</v>
      </c>
      <c r="C5" s="1371"/>
      <c r="D5" s="1378" t="s">
        <v>1124</v>
      </c>
      <c r="E5" s="1378"/>
      <c r="F5" s="1378"/>
      <c r="G5" s="1378"/>
      <c r="H5" s="1378"/>
      <c r="I5" s="1378"/>
      <c r="J5" s="1378"/>
      <c r="AH5" s="1022"/>
      <c r="AK5" s="1022"/>
      <c r="AL5" s="1022"/>
      <c r="AM5" s="1022"/>
      <c r="AN5" s="1022"/>
      <c r="AO5" s="1022"/>
      <c r="AP5" s="1022"/>
    </row>
    <row r="6" spans="1:42" ht="70.150000000000006" customHeight="1" x14ac:dyDescent="0.35">
      <c r="B6" s="1371"/>
      <c r="C6" s="1371"/>
      <c r="D6" s="1580" t="s">
        <v>1146</v>
      </c>
      <c r="E6" s="1580"/>
      <c r="F6" s="1580"/>
      <c r="G6" s="1580"/>
      <c r="H6" s="1580"/>
      <c r="I6" s="1580"/>
      <c r="J6" s="1580"/>
      <c r="N6" s="374"/>
      <c r="O6" s="374"/>
      <c r="P6" s="374"/>
      <c r="AH6" s="1022"/>
      <c r="AK6" s="1022"/>
      <c r="AL6" s="1022"/>
      <c r="AM6" s="1022"/>
      <c r="AN6" s="1022"/>
      <c r="AO6" s="1022"/>
      <c r="AP6" s="1022"/>
    </row>
    <row r="7" spans="1:42" s="43" customFormat="1" ht="43.9" customHeight="1" x14ac:dyDescent="0.25">
      <c r="B7" s="1371" t="s">
        <v>801</v>
      </c>
      <c r="C7" s="1371"/>
      <c r="D7" s="1580" t="s">
        <v>1142</v>
      </c>
      <c r="E7" s="1580"/>
      <c r="F7" s="1580"/>
      <c r="G7" s="1580"/>
      <c r="H7" s="1580"/>
      <c r="I7" s="1580"/>
      <c r="J7" s="1580"/>
      <c r="N7" s="1024"/>
      <c r="O7" s="1024"/>
      <c r="P7" s="683"/>
      <c r="AH7" s="1025"/>
      <c r="AI7" s="1026" t="s">
        <v>1121</v>
      </c>
      <c r="AJ7" s="1027">
        <f>I15</f>
        <v>0</v>
      </c>
      <c r="AK7" s="1025"/>
      <c r="AL7" s="1025"/>
      <c r="AM7" s="1025"/>
      <c r="AN7" s="1025"/>
      <c r="AO7" s="1025"/>
      <c r="AP7" s="1025"/>
    </row>
    <row r="8" spans="1:42" s="43" customFormat="1" ht="25.15" customHeight="1" x14ac:dyDescent="0.25">
      <c r="B8" s="1371"/>
      <c r="C8" s="1371"/>
      <c r="D8" s="1580" t="s">
        <v>1143</v>
      </c>
      <c r="E8" s="1580"/>
      <c r="F8" s="1580"/>
      <c r="G8" s="1580"/>
      <c r="H8" s="1580"/>
      <c r="I8" s="1580"/>
      <c r="J8" s="1580"/>
      <c r="N8" s="1024"/>
      <c r="O8" s="1024"/>
      <c r="P8" s="683" t="s">
        <v>512</v>
      </c>
      <c r="AH8" s="1025"/>
      <c r="AI8" s="1026" t="s">
        <v>1123</v>
      </c>
      <c r="AJ8" s="1027">
        <f>E15</f>
        <v>0</v>
      </c>
      <c r="AK8" s="1025"/>
      <c r="AL8" s="1025"/>
      <c r="AM8" s="1025"/>
      <c r="AN8" s="1025"/>
      <c r="AO8" s="1025"/>
      <c r="AP8" s="1025"/>
    </row>
    <row r="9" spans="1:42" s="43" customFormat="1" ht="39.6" customHeight="1" x14ac:dyDescent="0.25">
      <c r="B9" s="1371"/>
      <c r="C9" s="1371"/>
      <c r="D9" s="1580" t="s">
        <v>1213</v>
      </c>
      <c r="E9" s="1580"/>
      <c r="F9" s="1580"/>
      <c r="G9" s="1580"/>
      <c r="H9" s="1580"/>
      <c r="I9" s="1580"/>
      <c r="J9" s="1580"/>
      <c r="N9" s="1024"/>
      <c r="O9" s="1024"/>
      <c r="P9" s="683"/>
      <c r="AH9" s="1025"/>
      <c r="AI9" s="1026" t="s">
        <v>1122</v>
      </c>
      <c r="AJ9" s="1027">
        <f>G15</f>
        <v>0</v>
      </c>
      <c r="AK9" s="1025"/>
      <c r="AL9" s="1025"/>
      <c r="AM9" s="1025"/>
      <c r="AN9" s="1025"/>
      <c r="AO9" s="1025"/>
      <c r="AP9" s="1025"/>
    </row>
    <row r="10" spans="1:42" ht="16.899999999999999" customHeight="1" x14ac:dyDescent="0.35">
      <c r="C10" s="658"/>
      <c r="D10" s="688"/>
      <c r="E10" s="688"/>
      <c r="F10" s="688"/>
      <c r="G10" s="688"/>
      <c r="H10" s="688"/>
      <c r="I10" s="688"/>
      <c r="J10" s="688"/>
      <c r="N10" s="374"/>
      <c r="O10" s="374"/>
      <c r="P10" s="683"/>
      <c r="AH10" s="1022"/>
      <c r="AK10" s="1022"/>
      <c r="AL10" s="1022"/>
      <c r="AM10" s="1022"/>
      <c r="AN10" s="1022"/>
      <c r="AO10" s="1022"/>
      <c r="AP10" s="1022"/>
    </row>
    <row r="11" spans="1:42" ht="30" customHeight="1" x14ac:dyDescent="0.25">
      <c r="B11" s="1581" t="s">
        <v>802</v>
      </c>
      <c r="C11" s="1582"/>
      <c r="D11" s="1582"/>
      <c r="E11" s="1582"/>
      <c r="F11" s="1582"/>
      <c r="G11" s="1582"/>
      <c r="H11" s="1582"/>
      <c r="I11" s="1582"/>
      <c r="J11" s="1582"/>
      <c r="K11" s="1582"/>
      <c r="L11" s="1582"/>
      <c r="M11" s="1582"/>
      <c r="N11" s="710"/>
      <c r="O11" s="713"/>
      <c r="P11" s="683"/>
      <c r="AH11" s="1022"/>
      <c r="AI11" s="1022"/>
      <c r="AJ11" s="1023"/>
      <c r="AK11" s="1022"/>
      <c r="AL11" s="1022"/>
      <c r="AM11" s="1022"/>
      <c r="AN11" s="1022"/>
      <c r="AO11" s="1022"/>
      <c r="AP11" s="1022"/>
    </row>
    <row r="12" spans="1:42" ht="15" customHeight="1" thickBot="1" x14ac:dyDescent="0.3">
      <c r="B12" s="689"/>
      <c r="C12" s="464"/>
      <c r="D12" s="464"/>
      <c r="E12" s="464"/>
      <c r="F12" s="464"/>
      <c r="G12" s="464"/>
      <c r="H12" s="464"/>
      <c r="I12" s="464"/>
      <c r="J12" s="464"/>
      <c r="K12" s="464"/>
      <c r="L12" s="464"/>
      <c r="M12" s="464"/>
      <c r="N12" s="463"/>
      <c r="O12" s="690"/>
      <c r="P12" s="683"/>
      <c r="AH12" s="1022"/>
      <c r="AI12" s="1022"/>
      <c r="AJ12" s="1022"/>
      <c r="AK12" s="1022"/>
      <c r="AL12" s="1022"/>
      <c r="AM12" s="1022"/>
      <c r="AN12" s="1022"/>
      <c r="AO12" s="1022"/>
      <c r="AP12" s="1022"/>
    </row>
    <row r="13" spans="1:42" ht="79.150000000000006" customHeight="1" thickBot="1" x14ac:dyDescent="0.3">
      <c r="B13" s="691"/>
      <c r="C13" s="711" t="s">
        <v>443</v>
      </c>
      <c r="D13" s="712"/>
      <c r="E13" s="1583" t="s">
        <v>1137</v>
      </c>
      <c r="F13" s="1584"/>
      <c r="G13" s="1585" t="s">
        <v>1138</v>
      </c>
      <c r="H13" s="1586"/>
      <c r="I13" s="1573" t="s">
        <v>1144</v>
      </c>
      <c r="J13" s="1574"/>
      <c r="K13" s="1587" t="s">
        <v>1125</v>
      </c>
      <c r="L13" s="1588"/>
      <c r="M13" s="1589" t="s">
        <v>1305</v>
      </c>
      <c r="N13" s="1590"/>
      <c r="O13" s="692"/>
      <c r="P13" s="683"/>
      <c r="AH13" s="1022"/>
      <c r="AI13" s="1022"/>
      <c r="AJ13" s="1022"/>
      <c r="AK13" s="1022"/>
      <c r="AL13" s="1022"/>
      <c r="AM13" s="1022"/>
      <c r="AN13" s="1022"/>
      <c r="AO13" s="1022"/>
      <c r="AP13" s="1022"/>
    </row>
    <row r="14" spans="1:42" ht="40.15" customHeight="1" thickBot="1" x14ac:dyDescent="0.3">
      <c r="B14" s="691"/>
      <c r="C14" s="715"/>
      <c r="D14" s="716"/>
      <c r="E14" s="1039" t="s">
        <v>756</v>
      </c>
      <c r="F14" s="1039" t="s">
        <v>757</v>
      </c>
      <c r="G14" s="1039" t="s">
        <v>756</v>
      </c>
      <c r="H14" s="1039" t="s">
        <v>757</v>
      </c>
      <c r="I14" s="1039" t="s">
        <v>756</v>
      </c>
      <c r="J14" s="1039" t="s">
        <v>757</v>
      </c>
      <c r="K14" s="1039" t="s">
        <v>756</v>
      </c>
      <c r="L14" s="1039" t="s">
        <v>757</v>
      </c>
      <c r="M14" s="1039" t="s">
        <v>756</v>
      </c>
      <c r="N14" s="1039" t="s">
        <v>757</v>
      </c>
      <c r="O14" s="693"/>
      <c r="P14" s="683"/>
      <c r="AH14" s="1022"/>
      <c r="AI14" s="1022"/>
      <c r="AJ14" s="1022"/>
      <c r="AK14" s="1022"/>
      <c r="AL14" s="1022"/>
      <c r="AM14" s="1022"/>
      <c r="AN14" s="1022"/>
      <c r="AO14" s="1022"/>
      <c r="AP14" s="1022"/>
    </row>
    <row r="15" spans="1:42" ht="62.45" customHeight="1" thickBot="1" x14ac:dyDescent="0.3">
      <c r="B15" s="691"/>
      <c r="C15" s="1578" t="str">
        <f>IFERROR('ID_Identificação do projeto'!C6,"")</f>
        <v>Preencher com o nome do projeto</v>
      </c>
      <c r="D15" s="717" t="s">
        <v>1120</v>
      </c>
      <c r="E15" s="1018">
        <f t="shared" ref="E15:J15" si="0">IFERROR(E27+E45,"")</f>
        <v>0</v>
      </c>
      <c r="F15" s="1018">
        <f t="shared" si="0"/>
        <v>0</v>
      </c>
      <c r="G15" s="1018">
        <f t="shared" si="0"/>
        <v>0</v>
      </c>
      <c r="H15" s="1018">
        <f t="shared" si="0"/>
        <v>0</v>
      </c>
      <c r="I15" s="1018">
        <f t="shared" si="0"/>
        <v>0</v>
      </c>
      <c r="J15" s="1018">
        <f t="shared" si="0"/>
        <v>0</v>
      </c>
      <c r="K15" s="1133" t="str">
        <f>IFERROR((I15/G15)*100,"")</f>
        <v/>
      </c>
      <c r="L15" s="1133" t="str">
        <f>IFERROR((J15/H15)*100,"")</f>
        <v/>
      </c>
      <c r="M15" s="1018" t="str">
        <f>IFERROR(M27+M45,"")</f>
        <v/>
      </c>
      <c r="N15" s="1064" t="str">
        <f>IFERROR(N27+N45,"")</f>
        <v/>
      </c>
      <c r="O15" s="693"/>
      <c r="P15" s="683"/>
      <c r="AH15" s="1022"/>
      <c r="AI15" s="1022"/>
      <c r="AJ15" s="1022"/>
      <c r="AK15" s="1022"/>
      <c r="AL15" s="1022"/>
      <c r="AM15" s="1022"/>
      <c r="AN15" s="1022"/>
      <c r="AO15" s="1022"/>
      <c r="AP15" s="1022"/>
    </row>
    <row r="16" spans="1:42" ht="47.45" customHeight="1" thickBot="1" x14ac:dyDescent="0.3">
      <c r="B16" s="691"/>
      <c r="C16" s="1579"/>
      <c r="D16" s="714" t="s">
        <v>858</v>
      </c>
      <c r="E16" s="1021" t="str">
        <f>IFERROR((E28+E55),"")</f>
        <v/>
      </c>
      <c r="F16" s="1018" t="str">
        <f>IFERROR(F28+F55,"")</f>
        <v/>
      </c>
      <c r="G16" s="1018" t="str">
        <f>IFERROR(G28+G55,"")</f>
        <v/>
      </c>
      <c r="H16" s="1018" t="str">
        <f>IFERROR(H28+H55,"")</f>
        <v/>
      </c>
      <c r="I16" s="1018" t="str">
        <f>IFERROR(I28+I55,"")</f>
        <v/>
      </c>
      <c r="J16" s="1018" t="str">
        <f>IFERROR(J28+J55,"")</f>
        <v/>
      </c>
      <c r="K16" s="1133" t="str">
        <f>IFERROR((I16/G16)*100,"")</f>
        <v/>
      </c>
      <c r="L16" s="1133" t="str">
        <f>IFERROR((J16/H16)*100,"")</f>
        <v/>
      </c>
      <c r="M16" s="1018" t="str">
        <f>IFERROR(M28+M55,"")</f>
        <v/>
      </c>
      <c r="N16" s="1064" t="str">
        <f>IFERROR(N28+N55,"")</f>
        <v/>
      </c>
      <c r="O16" s="694"/>
      <c r="P16" s="683"/>
      <c r="AH16" s="1022"/>
      <c r="AI16" s="1022"/>
      <c r="AJ16" s="1022"/>
      <c r="AK16" s="1022"/>
      <c r="AL16" s="1022"/>
      <c r="AM16" s="1022"/>
      <c r="AN16" s="1022"/>
      <c r="AO16" s="1022"/>
      <c r="AP16" s="1022"/>
    </row>
    <row r="17" spans="2:16" ht="15" customHeight="1" x14ac:dyDescent="0.25">
      <c r="B17" s="695"/>
      <c r="C17" s="696"/>
      <c r="D17" s="697"/>
      <c r="E17" s="697"/>
      <c r="F17" s="697"/>
      <c r="G17" s="697"/>
      <c r="H17" s="697"/>
      <c r="I17" s="698"/>
      <c r="J17" s="698"/>
      <c r="K17" s="698"/>
      <c r="L17" s="697"/>
      <c r="M17" s="697"/>
      <c r="N17" s="699"/>
      <c r="O17" s="700"/>
    </row>
    <row r="18" spans="2:16" ht="15" customHeight="1" x14ac:dyDescent="0.25"/>
    <row r="19" spans="2:16" ht="240" customHeight="1" x14ac:dyDescent="0.25"/>
    <row r="20" spans="2:16" ht="274.89999999999998" customHeight="1" x14ac:dyDescent="0.25"/>
    <row r="21" spans="2:16" ht="75" customHeight="1" x14ac:dyDescent="0.25"/>
    <row r="22" spans="2:16" ht="30" customHeight="1" x14ac:dyDescent="0.25">
      <c r="B22" s="1596" t="s">
        <v>513</v>
      </c>
      <c r="C22" s="1597"/>
      <c r="D22" s="1597"/>
      <c r="E22" s="1597"/>
      <c r="F22" s="1597"/>
      <c r="G22" s="1597"/>
      <c r="H22" s="1597"/>
      <c r="I22" s="1597"/>
      <c r="J22" s="1597"/>
      <c r="K22" s="1597"/>
      <c r="L22" s="1597"/>
      <c r="M22" s="1597"/>
      <c r="N22" s="471"/>
      <c r="O22" s="472"/>
    </row>
    <row r="23" spans="2:16" ht="30" customHeight="1" x14ac:dyDescent="0.25">
      <c r="B23" s="466"/>
      <c r="C23" s="464"/>
      <c r="D23" s="464"/>
      <c r="E23" s="464"/>
      <c r="F23" s="464"/>
      <c r="G23" s="464"/>
      <c r="H23" s="464"/>
      <c r="I23" s="464"/>
      <c r="J23" s="464"/>
      <c r="K23" s="464"/>
      <c r="L23" s="464"/>
      <c r="M23" s="464"/>
      <c r="N23" s="463"/>
      <c r="O23" s="473"/>
    </row>
    <row r="24" spans="2:16" ht="49.9" customHeight="1" thickBot="1" x14ac:dyDescent="0.3">
      <c r="B24" s="466"/>
      <c r="C24" s="1030" t="s">
        <v>444</v>
      </c>
      <c r="D24" s="1029"/>
      <c r="E24" s="908"/>
      <c r="F24" s="908"/>
      <c r="G24" s="908"/>
      <c r="H24" s="908"/>
      <c r="I24" s="908"/>
      <c r="J24" s="908"/>
      <c r="K24" s="908"/>
      <c r="L24" s="908"/>
      <c r="M24" s="908"/>
      <c r="N24" s="1031"/>
      <c r="O24" s="473"/>
    </row>
    <row r="25" spans="2:16" ht="70.150000000000006" customHeight="1" thickBot="1" x14ac:dyDescent="0.3">
      <c r="B25" s="282"/>
      <c r="C25" s="1600" t="s">
        <v>1128</v>
      </c>
      <c r="D25" s="1601"/>
      <c r="E25" s="1569" t="s">
        <v>1139</v>
      </c>
      <c r="F25" s="1570"/>
      <c r="G25" s="1571" t="s">
        <v>1140</v>
      </c>
      <c r="H25" s="1572"/>
      <c r="I25" s="1573" t="s">
        <v>1141</v>
      </c>
      <c r="J25" s="1574"/>
      <c r="K25" s="1573" t="s">
        <v>1125</v>
      </c>
      <c r="L25" s="1574"/>
      <c r="M25" s="1591" t="s">
        <v>1305</v>
      </c>
      <c r="N25" s="1592"/>
      <c r="O25" s="283"/>
    </row>
    <row r="26" spans="2:16" ht="27" thickBot="1" x14ac:dyDescent="0.3">
      <c r="B26" s="282"/>
      <c r="C26" s="1028" t="str">
        <f>IFERROR('ID_Identificação do projeto'!C20,"")</f>
        <v>AA</v>
      </c>
      <c r="D26" s="1034"/>
      <c r="E26" s="1040" t="s">
        <v>756</v>
      </c>
      <c r="F26" s="1040" t="s">
        <v>757</v>
      </c>
      <c r="G26" s="1040" t="s">
        <v>756</v>
      </c>
      <c r="H26" s="1040" t="s">
        <v>757</v>
      </c>
      <c r="I26" s="1040" t="s">
        <v>756</v>
      </c>
      <c r="J26" s="1040" t="s">
        <v>757</v>
      </c>
      <c r="K26" s="1040" t="s">
        <v>756</v>
      </c>
      <c r="L26" s="1040" t="s">
        <v>757</v>
      </c>
      <c r="M26" s="1040" t="s">
        <v>756</v>
      </c>
      <c r="N26" s="1040" t="s">
        <v>757</v>
      </c>
      <c r="O26" s="474"/>
      <c r="P26" s="462"/>
    </row>
    <row r="27" spans="2:16" ht="79.900000000000006" customHeight="1" thickBot="1" x14ac:dyDescent="0.3">
      <c r="B27" s="282"/>
      <c r="C27" s="1598" t="s">
        <v>1130</v>
      </c>
      <c r="D27" s="1035" t="s">
        <v>1120</v>
      </c>
      <c r="E27" s="1037">
        <f>E29+E31+E33+E35+E37</f>
        <v>0</v>
      </c>
      <c r="F27" s="1037">
        <f t="shared" ref="F27:I27" si="1">F29+F31+F33+F35+F37</f>
        <v>0</v>
      </c>
      <c r="G27" s="1037">
        <f t="shared" si="1"/>
        <v>0</v>
      </c>
      <c r="H27" s="1037">
        <f>IFERROR(H29+H31+H33+H35+H37,"")</f>
        <v>0</v>
      </c>
      <c r="I27" s="1037">
        <f t="shared" si="1"/>
        <v>0</v>
      </c>
      <c r="J27" s="1037">
        <f>IFERROR(J29+J31+J33+J35+J37,"")</f>
        <v>0</v>
      </c>
      <c r="K27" s="1181" t="str">
        <f t="shared" ref="K27:L29" si="2">IFERROR((I27/G27)*100,"")</f>
        <v/>
      </c>
      <c r="L27" s="1181" t="str">
        <f t="shared" si="2"/>
        <v/>
      </c>
      <c r="M27" s="1037" t="str">
        <f>IFERROR(M29+M31+M33+M35+M37,"")</f>
        <v/>
      </c>
      <c r="N27" s="1037" t="str">
        <f>IFERROR(N29+N31+N33+N35+N37,"")</f>
        <v/>
      </c>
      <c r="O27" s="474"/>
      <c r="P27" s="462"/>
    </row>
    <row r="28" spans="2:16" ht="79.900000000000006" customHeight="1" thickBot="1" x14ac:dyDescent="0.3">
      <c r="B28" s="282"/>
      <c r="C28" s="1599"/>
      <c r="D28" s="1036" t="s">
        <v>858</v>
      </c>
      <c r="E28" s="1038" t="str">
        <f t="shared" ref="E28:J28" si="3">IFERROR(E30+E32+E34+E36+E38,"")</f>
        <v/>
      </c>
      <c r="F28" s="1038" t="str">
        <f t="shared" si="3"/>
        <v/>
      </c>
      <c r="G28" s="1038" t="str">
        <f t="shared" si="3"/>
        <v/>
      </c>
      <c r="H28" s="1038" t="str">
        <f t="shared" si="3"/>
        <v/>
      </c>
      <c r="I28" s="1038" t="str">
        <f t="shared" si="3"/>
        <v/>
      </c>
      <c r="J28" s="1038" t="str">
        <f t="shared" si="3"/>
        <v/>
      </c>
      <c r="K28" s="1182" t="str">
        <f>IFERROR((I28/G28)*100,"")</f>
        <v/>
      </c>
      <c r="L28" s="1182" t="str">
        <f t="shared" si="2"/>
        <v/>
      </c>
      <c r="M28" s="1038" t="str">
        <f>IFERROR(M30+M32+M34+M36+M38,"")</f>
        <v/>
      </c>
      <c r="N28" s="1038" t="str">
        <f>IFERROR(N30+N32+N34+N36+N38,"")</f>
        <v/>
      </c>
      <c r="O28" s="474"/>
      <c r="P28" s="462"/>
    </row>
    <row r="29" spans="2:16" ht="64.150000000000006" customHeight="1" x14ac:dyDescent="0.25">
      <c r="B29" s="282"/>
      <c r="C29" s="1566" t="s">
        <v>473</v>
      </c>
      <c r="D29" s="1033" t="s">
        <v>1120</v>
      </c>
      <c r="E29" s="1175">
        <f>IFERROR('IC_todos os projetos'!F33,"")</f>
        <v>0</v>
      </c>
      <c r="F29" s="1176">
        <f>IFERROR('IC_todos os projetos'!J33,"")</f>
        <v>0</v>
      </c>
      <c r="G29" s="1175">
        <f>IFERROR('IC_todos os projetos'!G33,"")</f>
        <v>0</v>
      </c>
      <c r="H29" s="1176">
        <f>IFERROR('IC_todos os projetos'!K33,"")</f>
        <v>0</v>
      </c>
      <c r="I29" s="1175">
        <f>IFERROR('IC_todos os projetos'!E33,"")</f>
        <v>0</v>
      </c>
      <c r="J29" s="1176">
        <f>IFERROR('IC_todos os projetos'!I33,"")</f>
        <v>0</v>
      </c>
      <c r="K29" s="1183" t="str">
        <f t="shared" si="2"/>
        <v/>
      </c>
      <c r="L29" s="1180" t="str">
        <f t="shared" si="2"/>
        <v/>
      </c>
      <c r="M29" s="1175" t="str">
        <f>IFERROR(I29*FACalc_micromobilidade!$Z$13,"")</f>
        <v/>
      </c>
      <c r="N29" s="1176" t="str">
        <f>IFERROR(J29*FACalc_micromobilidade!$Z$13,"")</f>
        <v/>
      </c>
      <c r="O29" s="475"/>
      <c r="P29" s="48"/>
    </row>
    <row r="30" spans="2:16" ht="60" customHeight="1" thickBot="1" x14ac:dyDescent="0.3">
      <c r="B30" s="282"/>
      <c r="C30" s="1568"/>
      <c r="D30" s="1032" t="s">
        <v>858</v>
      </c>
      <c r="E30" s="1177" t="str">
        <f t="shared" ref="E30:J30" si="4">IFERROR(E29*$C$26,"")</f>
        <v/>
      </c>
      <c r="F30" s="1178" t="str">
        <f t="shared" si="4"/>
        <v/>
      </c>
      <c r="G30" s="1177" t="str">
        <f t="shared" si="4"/>
        <v/>
      </c>
      <c r="H30" s="1178" t="str">
        <f t="shared" si="4"/>
        <v/>
      </c>
      <c r="I30" s="1177" t="str">
        <f t="shared" si="4"/>
        <v/>
      </c>
      <c r="J30" s="1178" t="str">
        <f t="shared" si="4"/>
        <v/>
      </c>
      <c r="K30" s="1184" t="str">
        <f>IFERROR((I30/G30)*100,"")</f>
        <v/>
      </c>
      <c r="L30" s="1185" t="str">
        <f>IFERROR((J30/H30)*100,"")</f>
        <v/>
      </c>
      <c r="M30" s="1177" t="str">
        <f>IFERROR((I30*FACalc_micromobilidade!$Z$13)*$C$26,"")</f>
        <v/>
      </c>
      <c r="N30" s="1178" t="str">
        <f>IFERROR((J30*FACalc_micromobilidade!$Z$13)*$C$26,"")</f>
        <v/>
      </c>
      <c r="O30" s="475"/>
      <c r="P30" s="48"/>
    </row>
    <row r="31" spans="2:16" ht="60" customHeight="1" x14ac:dyDescent="0.25">
      <c r="B31" s="282"/>
      <c r="C31" s="1564" t="s">
        <v>803</v>
      </c>
      <c r="D31" s="1033" t="s">
        <v>1120</v>
      </c>
      <c r="E31" s="1175">
        <f>IFERROR('IC_todos os projetos'!F62,"")</f>
        <v>0</v>
      </c>
      <c r="F31" s="1176">
        <f>IFERROR('IC_todos os projetos'!J62,"")</f>
        <v>0</v>
      </c>
      <c r="G31" s="1175">
        <f>IFERROR('IC_todos os projetos'!G62,"")</f>
        <v>0</v>
      </c>
      <c r="H31" s="1176">
        <f>IFERROR('IC_todos os projetos'!K62,"")</f>
        <v>0</v>
      </c>
      <c r="I31" s="1175">
        <f>IFERROR('IC_todos os projetos'!E62,"")</f>
        <v>0</v>
      </c>
      <c r="J31" s="1176">
        <f>IFERROR('IC_todos os projetos'!I62,"")</f>
        <v>0</v>
      </c>
      <c r="K31" s="1183" t="str">
        <f t="shared" ref="K31:L35" si="5">IFERROR((I31/G31)*100,"")</f>
        <v/>
      </c>
      <c r="L31" s="1180" t="str">
        <f t="shared" si="5"/>
        <v/>
      </c>
      <c r="M31" s="1175" t="str">
        <f>IFERROR(I31*FACalc_micromobilidade!$Z$13,"")</f>
        <v/>
      </c>
      <c r="N31" s="1176" t="str">
        <f>IFERROR(J31*FACalc_micromobilidade!$Z$13,"")</f>
        <v/>
      </c>
      <c r="O31" s="475"/>
      <c r="P31" s="48"/>
    </row>
    <row r="32" spans="2:16" ht="60" customHeight="1" thickBot="1" x14ac:dyDescent="0.3">
      <c r="B32" s="282"/>
      <c r="C32" s="1565"/>
      <c r="D32" s="1032" t="s">
        <v>858</v>
      </c>
      <c r="E32" s="1177" t="str">
        <f t="shared" ref="E32:J32" si="6">IFERROR(E31*$C$26,"")</f>
        <v/>
      </c>
      <c r="F32" s="1178" t="str">
        <f t="shared" si="6"/>
        <v/>
      </c>
      <c r="G32" s="1177" t="str">
        <f t="shared" si="6"/>
        <v/>
      </c>
      <c r="H32" s="1179" t="str">
        <f t="shared" si="6"/>
        <v/>
      </c>
      <c r="I32" s="1177" t="str">
        <f t="shared" si="6"/>
        <v/>
      </c>
      <c r="J32" s="1179" t="str">
        <f t="shared" si="6"/>
        <v/>
      </c>
      <c r="K32" s="1184" t="str">
        <f>IFERROR((I32/G32)*100,"")</f>
        <v/>
      </c>
      <c r="L32" s="1185" t="str">
        <f>IFERROR((J31/H31)*100,"")</f>
        <v/>
      </c>
      <c r="M32" s="1177" t="str">
        <f>IFERROR((I32*FACalc_micromobilidade!$Z$13)*$C$26,"")</f>
        <v/>
      </c>
      <c r="N32" s="1178" t="str">
        <f>IFERROR((J32*FACalc_micromobilidade!$Z$13)*$C$26,"")</f>
        <v/>
      </c>
      <c r="O32" s="475"/>
      <c r="P32" s="48"/>
    </row>
    <row r="33" spans="2:16" ht="60" customHeight="1" x14ac:dyDescent="0.25">
      <c r="B33" s="282"/>
      <c r="C33" s="1566" t="s">
        <v>804</v>
      </c>
      <c r="D33" s="1033" t="s">
        <v>1120</v>
      </c>
      <c r="E33" s="1175">
        <f>IFERROR('IC_todos os projetos'!F89,"")</f>
        <v>0</v>
      </c>
      <c r="F33" s="1176">
        <f>IFERROR('IC_todos os projetos'!J89,"")</f>
        <v>0</v>
      </c>
      <c r="G33" s="1175">
        <f>IFERROR('IC_todos os projetos'!G89,"")</f>
        <v>0</v>
      </c>
      <c r="H33" s="1176">
        <f>IFERROR('IC_todos os projetos'!K89,"")</f>
        <v>0</v>
      </c>
      <c r="I33" s="1175">
        <f>IFERROR('IC_todos os projetos'!E89,"")</f>
        <v>0</v>
      </c>
      <c r="J33" s="1176">
        <f>IFERROR('IC_todos os projetos'!I89,"")</f>
        <v>0</v>
      </c>
      <c r="K33" s="1183" t="str">
        <f t="shared" si="5"/>
        <v/>
      </c>
      <c r="L33" s="1180" t="str">
        <f>IFERROR((J33/H33)*100,"")</f>
        <v/>
      </c>
      <c r="M33" s="1175" t="str">
        <f>IFERROR(I33*FACalc_micromobilidade!$Z$13,"")</f>
        <v/>
      </c>
      <c r="N33" s="1176" t="str">
        <f>IFERROR(J33*FACalc_micromobilidade!$Z$13,"")</f>
        <v/>
      </c>
      <c r="O33" s="475"/>
      <c r="P33" s="48"/>
    </row>
    <row r="34" spans="2:16" ht="60" customHeight="1" thickBot="1" x14ac:dyDescent="0.3">
      <c r="B34" s="282"/>
      <c r="C34" s="1567"/>
      <c r="D34" s="1032" t="s">
        <v>858</v>
      </c>
      <c r="E34" s="1177" t="str">
        <f t="shared" ref="E34:J34" si="7">IFERROR(E33*$C$26,"")</f>
        <v/>
      </c>
      <c r="F34" s="1178" t="str">
        <f t="shared" si="7"/>
        <v/>
      </c>
      <c r="G34" s="1177" t="str">
        <f t="shared" si="7"/>
        <v/>
      </c>
      <c r="H34" s="1179" t="str">
        <f t="shared" si="7"/>
        <v/>
      </c>
      <c r="I34" s="1177" t="str">
        <f t="shared" si="7"/>
        <v/>
      </c>
      <c r="J34" s="1179" t="str">
        <f t="shared" si="7"/>
        <v/>
      </c>
      <c r="K34" s="1184" t="str">
        <f>IFERROR((I34/G34)*100,"")</f>
        <v/>
      </c>
      <c r="L34" s="1185" t="str">
        <f>IFERROR((J34/H34)*100,"")</f>
        <v/>
      </c>
      <c r="M34" s="1177" t="str">
        <f>IFERROR((I34*FACalc_micromobilidade!$Z$13)*$C$26,"")</f>
        <v/>
      </c>
      <c r="N34" s="1178" t="str">
        <f>IFERROR((J34*FACalc_micromobilidade!$Z$13)*$C$26,"")</f>
        <v/>
      </c>
      <c r="O34" s="475"/>
      <c r="P34" s="48"/>
    </row>
    <row r="35" spans="2:16" ht="60" customHeight="1" x14ac:dyDescent="0.25">
      <c r="B35" s="282"/>
      <c r="C35" s="1566" t="s">
        <v>813</v>
      </c>
      <c r="D35" s="1033" t="s">
        <v>1120</v>
      </c>
      <c r="E35" s="1175">
        <f>IFERROR('IC_todos os projetos'!F106,"")</f>
        <v>0</v>
      </c>
      <c r="F35" s="1176">
        <f>IFERROR('IC_todos os projetos'!J106,"")</f>
        <v>0</v>
      </c>
      <c r="G35" s="1175">
        <f>IFERROR('IC_todos os projetos'!G106,"")</f>
        <v>0</v>
      </c>
      <c r="H35" s="1176">
        <f>IFERROR('IC_todos os projetos'!K106,"")</f>
        <v>0</v>
      </c>
      <c r="I35" s="1175">
        <f>IFERROR('IC_todos os projetos'!E106,"")</f>
        <v>0</v>
      </c>
      <c r="J35" s="1176">
        <f>IFERROR('IC_todos os projetos'!I106,"")</f>
        <v>0</v>
      </c>
      <c r="K35" s="1183" t="str">
        <f t="shared" si="5"/>
        <v/>
      </c>
      <c r="L35" s="1180" t="str">
        <f t="shared" si="5"/>
        <v/>
      </c>
      <c r="M35" s="1175" t="str">
        <f>IFERROR(I35*FACalc_micromobilidade!$Z$13,"")</f>
        <v/>
      </c>
      <c r="N35" s="1176" t="str">
        <f>IFERROR(J35*FACalc_micromobilidade!$Z$13,"")</f>
        <v/>
      </c>
      <c r="O35" s="475"/>
      <c r="P35" s="48"/>
    </row>
    <row r="36" spans="2:16" ht="60" customHeight="1" thickBot="1" x14ac:dyDescent="0.3">
      <c r="B36" s="282"/>
      <c r="C36" s="1568"/>
      <c r="D36" s="1032" t="s">
        <v>858</v>
      </c>
      <c r="E36" s="1177" t="str">
        <f t="shared" ref="E36:J36" si="8">IFERROR(E35*$C$26,"")</f>
        <v/>
      </c>
      <c r="F36" s="1178" t="str">
        <f t="shared" si="8"/>
        <v/>
      </c>
      <c r="G36" s="1177" t="str">
        <f t="shared" si="8"/>
        <v/>
      </c>
      <c r="H36" s="1179" t="str">
        <f t="shared" si="8"/>
        <v/>
      </c>
      <c r="I36" s="1177" t="str">
        <f t="shared" si="8"/>
        <v/>
      </c>
      <c r="J36" s="1179" t="str">
        <f t="shared" si="8"/>
        <v/>
      </c>
      <c r="K36" s="1184" t="str">
        <f t="shared" ref="K36:L38" si="9">IFERROR((I36/G36)*100,"")</f>
        <v/>
      </c>
      <c r="L36" s="1185" t="str">
        <f t="shared" si="9"/>
        <v/>
      </c>
      <c r="M36" s="1177" t="str">
        <f>IFERROR((I36*FACalc_micromobilidade!$Z$13)*$C$26,"")</f>
        <v/>
      </c>
      <c r="N36" s="1178" t="str">
        <f>IFERROR((J36*FACalc_micromobilidade!$Z$13)*$C$26,"")</f>
        <v/>
      </c>
      <c r="O36" s="475"/>
      <c r="P36" s="48"/>
    </row>
    <row r="37" spans="2:16" ht="60" customHeight="1" x14ac:dyDescent="0.25">
      <c r="B37" s="282"/>
      <c r="C37" s="1567" t="s">
        <v>1129</v>
      </c>
      <c r="D37" s="1033" t="s">
        <v>1120</v>
      </c>
      <c r="E37" s="1175">
        <f>IFERROR('IC_todos os projetos'!F131,"")</f>
        <v>0</v>
      </c>
      <c r="F37" s="1176">
        <f>IFERROR('IC_todos os projetos'!J131,"")</f>
        <v>0</v>
      </c>
      <c r="G37" s="1175">
        <f>IFERROR('IC_todos os projetos'!G131,"")</f>
        <v>0</v>
      </c>
      <c r="H37" s="1176">
        <f>IFERROR('IC_todos os projetos'!K131,"")</f>
        <v>0</v>
      </c>
      <c r="I37" s="1175">
        <f>IFERROR('IC_todos os projetos'!E131,"")</f>
        <v>0</v>
      </c>
      <c r="J37" s="1176">
        <f>IFERROR('IC_todos os projetos'!I131,"")</f>
        <v>0</v>
      </c>
      <c r="K37" s="1183" t="str">
        <f t="shared" si="9"/>
        <v/>
      </c>
      <c r="L37" s="1180" t="str">
        <f t="shared" si="9"/>
        <v/>
      </c>
      <c r="M37" s="1175" t="str">
        <f>IFERROR(I37*FACalc_micromobilidade!$Z$13,"")</f>
        <v/>
      </c>
      <c r="N37" s="1176" t="str">
        <f>IFERROR(J37*FACalc_micromobilidade!$Z$13,"")</f>
        <v/>
      </c>
      <c r="O37" s="475"/>
      <c r="P37" s="48"/>
    </row>
    <row r="38" spans="2:16" ht="60" customHeight="1" thickBot="1" x14ac:dyDescent="0.3">
      <c r="B38" s="282"/>
      <c r="C38" s="1568"/>
      <c r="D38" s="1032" t="s">
        <v>858</v>
      </c>
      <c r="E38" s="1177" t="str">
        <f t="shared" ref="E38:J38" si="10">IFERROR(E37*$C$26,"")</f>
        <v/>
      </c>
      <c r="F38" s="1178" t="str">
        <f t="shared" si="10"/>
        <v/>
      </c>
      <c r="G38" s="1177" t="str">
        <f t="shared" si="10"/>
        <v/>
      </c>
      <c r="H38" s="1179" t="str">
        <f t="shared" si="10"/>
        <v/>
      </c>
      <c r="I38" s="1177" t="str">
        <f t="shared" si="10"/>
        <v/>
      </c>
      <c r="J38" s="1179" t="str">
        <f t="shared" si="10"/>
        <v/>
      </c>
      <c r="K38" s="1184" t="str">
        <f t="shared" si="9"/>
        <v/>
      </c>
      <c r="L38" s="1185" t="str">
        <f t="shared" si="9"/>
        <v/>
      </c>
      <c r="M38" s="1177" t="str">
        <f>IFERROR((I38*FACalc_micromobilidade!$Z$13)*$C$26,"")</f>
        <v/>
      </c>
      <c r="N38" s="1178" t="str">
        <f>IFERROR((J38*FACalc_micromobilidade!$Z$13)*$C$26,"")</f>
        <v/>
      </c>
      <c r="O38" s="475"/>
      <c r="P38" s="48"/>
    </row>
    <row r="39" spans="2:16" ht="15" customHeight="1" x14ac:dyDescent="0.25">
      <c r="B39" s="467"/>
      <c r="C39" s="468"/>
      <c r="D39" s="701"/>
      <c r="E39" s="469"/>
      <c r="F39" s="469"/>
      <c r="G39" s="469"/>
      <c r="H39" s="469"/>
      <c r="I39" s="470"/>
      <c r="J39" s="470"/>
      <c r="K39" s="470"/>
      <c r="L39" s="469"/>
      <c r="M39" s="469"/>
      <c r="N39" s="476"/>
      <c r="O39" s="477"/>
      <c r="P39" s="48"/>
    </row>
    <row r="40" spans="2:16" ht="49.9" customHeight="1" x14ac:dyDescent="0.25">
      <c r="C40" s="44"/>
      <c r="D40" s="1"/>
      <c r="E40" s="1"/>
      <c r="F40" s="1"/>
      <c r="G40" s="1"/>
      <c r="H40" s="1"/>
      <c r="I40" s="51"/>
      <c r="J40" s="51"/>
      <c r="K40" s="51"/>
      <c r="L40" s="1"/>
      <c r="M40" s="1"/>
      <c r="N40" s="43"/>
      <c r="O40" s="43"/>
    </row>
    <row r="41" spans="2:16" ht="30" customHeight="1" x14ac:dyDescent="0.25">
      <c r="B41" s="1593" t="s">
        <v>514</v>
      </c>
      <c r="C41" s="1594"/>
      <c r="D41" s="1594"/>
      <c r="E41" s="1594"/>
      <c r="F41" s="1594"/>
      <c r="G41" s="1594"/>
      <c r="H41" s="1594"/>
      <c r="I41" s="1594"/>
      <c r="J41" s="1594"/>
      <c r="K41" s="1594"/>
      <c r="L41" s="1594"/>
      <c r="M41" s="1594"/>
      <c r="N41" s="1594"/>
      <c r="O41" s="1595"/>
    </row>
    <row r="42" spans="2:16" ht="19.149999999999999" customHeight="1" thickBot="1" x14ac:dyDescent="0.3">
      <c r="B42" s="637"/>
      <c r="C42" s="1050"/>
      <c r="D42" s="1050"/>
      <c r="E42" s="1050"/>
      <c r="F42" s="1050"/>
      <c r="G42" s="1050"/>
      <c r="H42" s="1050"/>
      <c r="I42" s="1050"/>
      <c r="J42" s="1050"/>
      <c r="K42" s="1050"/>
      <c r="L42" s="1050"/>
      <c r="M42" s="1050"/>
      <c r="N42" s="1050"/>
      <c r="O42" s="638"/>
    </row>
    <row r="43" spans="2:16" ht="80.45" customHeight="1" thickBot="1" x14ac:dyDescent="0.3">
      <c r="B43" s="465"/>
      <c r="C43" s="1602" t="s">
        <v>1132</v>
      </c>
      <c r="D43" s="479"/>
      <c r="E43" s="1569" t="s">
        <v>1135</v>
      </c>
      <c r="F43" s="1570"/>
      <c r="G43" s="1571" t="s">
        <v>1126</v>
      </c>
      <c r="H43" s="1572"/>
      <c r="I43" s="1573" t="s">
        <v>1136</v>
      </c>
      <c r="J43" s="1574"/>
      <c r="K43" s="1573" t="s">
        <v>1125</v>
      </c>
      <c r="L43" s="1574"/>
      <c r="M43" s="1591" t="s">
        <v>1305</v>
      </c>
      <c r="N43" s="1592"/>
      <c r="O43" s="481"/>
      <c r="P43" s="462"/>
    </row>
    <row r="44" spans="2:16" ht="34.9" customHeight="1" thickBot="1" x14ac:dyDescent="0.3">
      <c r="B44" s="465"/>
      <c r="C44" s="1603"/>
      <c r="D44" s="1058" t="s">
        <v>3</v>
      </c>
      <c r="E44" s="1041" t="s">
        <v>756</v>
      </c>
      <c r="F44" s="1042" t="s">
        <v>757</v>
      </c>
      <c r="G44" s="1041" t="s">
        <v>756</v>
      </c>
      <c r="H44" s="1042" t="s">
        <v>757</v>
      </c>
      <c r="I44" s="1041" t="s">
        <v>756</v>
      </c>
      <c r="J44" s="1042" t="s">
        <v>757</v>
      </c>
      <c r="K44" s="1041" t="s">
        <v>756</v>
      </c>
      <c r="L44" s="1042" t="s">
        <v>757</v>
      </c>
      <c r="M44" s="1041" t="s">
        <v>756</v>
      </c>
      <c r="N44" s="1042" t="s">
        <v>757</v>
      </c>
      <c r="O44" s="482"/>
      <c r="P44" s="48"/>
    </row>
    <row r="45" spans="2:16" ht="49.9" customHeight="1" thickBot="1" x14ac:dyDescent="0.3">
      <c r="B45" s="465"/>
      <c r="C45" s="1063" t="s">
        <v>1145</v>
      </c>
      <c r="D45" s="1061" t="s">
        <v>681</v>
      </c>
      <c r="E45" s="1060">
        <f t="shared" ref="E45:J45" si="11">IFERROR(SUM(E46:E50),"")</f>
        <v>0</v>
      </c>
      <c r="F45" s="1060">
        <f t="shared" si="11"/>
        <v>0</v>
      </c>
      <c r="G45" s="1060">
        <f t="shared" si="11"/>
        <v>0</v>
      </c>
      <c r="H45" s="1060">
        <f t="shared" si="11"/>
        <v>0</v>
      </c>
      <c r="I45" s="1060">
        <f t="shared" si="11"/>
        <v>0</v>
      </c>
      <c r="J45" s="1060">
        <f t="shared" si="11"/>
        <v>0</v>
      </c>
      <c r="K45" s="1060" t="str">
        <f t="shared" ref="K45:L50" si="12">IFERROR((I45/G45)*100,"")</f>
        <v/>
      </c>
      <c r="L45" s="1060" t="str">
        <f t="shared" si="12"/>
        <v/>
      </c>
      <c r="M45" s="1060">
        <f>IFERROR(SUM(M46:M50),"")</f>
        <v>0</v>
      </c>
      <c r="N45" s="1060">
        <f>IFERROR(SUM(N46:N50),"")</f>
        <v>0</v>
      </c>
      <c r="O45" s="482"/>
      <c r="P45" s="48"/>
    </row>
    <row r="46" spans="2:16" ht="49.9" customHeight="1" thickBot="1" x14ac:dyDescent="0.3">
      <c r="B46" s="465"/>
      <c r="C46" s="1043" t="s">
        <v>553</v>
      </c>
      <c r="D46" s="1059" t="s">
        <v>681</v>
      </c>
      <c r="E46" s="1186">
        <f>IFERROR('TM1_micromobilidade '!E158,"")</f>
        <v>0</v>
      </c>
      <c r="F46" s="1187">
        <f>IFERROR('TM1_micromobilidade '!F158,"")</f>
        <v>0</v>
      </c>
      <c r="G46" s="1186" t="str">
        <f>IFERROR('TM1_micromobilidade '!E159,"")</f>
        <v/>
      </c>
      <c r="H46" s="1187" t="str">
        <f>IFERROR('TM1_micromobilidade '!F159,"")</f>
        <v/>
      </c>
      <c r="I46" s="1186" t="str">
        <f>IFERROR('TM1_micromobilidade '!E157,"")</f>
        <v/>
      </c>
      <c r="J46" s="1187" t="str">
        <f>IFERROR('TM1_micromobilidade '!F157,"")</f>
        <v/>
      </c>
      <c r="K46" s="1186" t="str">
        <f t="shared" si="12"/>
        <v/>
      </c>
      <c r="L46" s="1187" t="str">
        <f t="shared" si="12"/>
        <v/>
      </c>
      <c r="M46" s="1186" t="str">
        <f>IFERROR('TM1_micromobilidade '!E163,"")</f>
        <v/>
      </c>
      <c r="N46" s="1187" t="str">
        <f>IFERROR('TM1_micromobilidade '!F163,"")</f>
        <v/>
      </c>
      <c r="O46" s="482"/>
      <c r="P46" s="48"/>
    </row>
    <row r="47" spans="2:16" ht="49.9" customHeight="1" thickBot="1" x14ac:dyDescent="0.3">
      <c r="B47" s="465"/>
      <c r="C47" s="1043" t="s">
        <v>554</v>
      </c>
      <c r="D47" s="1044" t="s">
        <v>681</v>
      </c>
      <c r="E47" s="1188">
        <f>IFERROR(TM2_rodovia!E124,"")</f>
        <v>0</v>
      </c>
      <c r="F47" s="1189">
        <f>IFERROR(TM2_rodovia!F124,"")</f>
        <v>0</v>
      </c>
      <c r="G47" s="1188" t="str">
        <f>IFERROR(TM2_rodovia!E125,"0")</f>
        <v/>
      </c>
      <c r="H47" s="1189" t="str">
        <f>IFERROR(TM2_rodovia!F125,"")</f>
        <v/>
      </c>
      <c r="I47" s="1188" t="str">
        <f>IFERROR(TM2_rodovia!E123,"")</f>
        <v/>
      </c>
      <c r="J47" s="1189" t="str">
        <f>IFERROR(TM2_rodovia!F123,"")</f>
        <v/>
      </c>
      <c r="K47" s="1188" t="str">
        <f t="shared" si="12"/>
        <v/>
      </c>
      <c r="L47" s="1189" t="str">
        <f t="shared" si="12"/>
        <v/>
      </c>
      <c r="M47" s="1188" t="str">
        <f>IFERROR(TM2_rodovia!E129,"")</f>
        <v/>
      </c>
      <c r="N47" s="1189" t="str">
        <f>IFERROR(TM2_rodovia!F129,"")</f>
        <v/>
      </c>
      <c r="O47" s="483"/>
      <c r="P47" s="48"/>
    </row>
    <row r="48" spans="2:16" ht="49.9" customHeight="1" thickBot="1" x14ac:dyDescent="0.3">
      <c r="B48" s="465"/>
      <c r="C48" s="1043" t="s">
        <v>555</v>
      </c>
      <c r="D48" s="1044" t="s">
        <v>681</v>
      </c>
      <c r="E48" s="1188">
        <f>IFERROR('TM3_ferrovia e metro'!E130,"")</f>
        <v>0</v>
      </c>
      <c r="F48" s="1189">
        <f>IFERROR('TM3_ferrovia e metro'!F130,"")</f>
        <v>0</v>
      </c>
      <c r="G48" s="1188" t="str">
        <f>IFERROR('TM3_ferrovia e metro'!E131,"")</f>
        <v/>
      </c>
      <c r="H48" s="1189" t="str">
        <f>IFERROR('TM3_ferrovia e metro'!F131,"")</f>
        <v/>
      </c>
      <c r="I48" s="1188" t="str">
        <f>IFERROR('TM3_ferrovia e metro'!E129,"")</f>
        <v/>
      </c>
      <c r="J48" s="1189" t="str">
        <f>IFERROR('TM3_ferrovia e metro'!F129,"")</f>
        <v/>
      </c>
      <c r="K48" s="1188" t="str">
        <f t="shared" si="12"/>
        <v/>
      </c>
      <c r="L48" s="1189" t="str">
        <f t="shared" si="12"/>
        <v/>
      </c>
      <c r="M48" s="1188" t="str">
        <f>IFERROR('TM3_ferrovia e metro'!E135,"")</f>
        <v/>
      </c>
      <c r="N48" s="1189" t="str">
        <f>IFERROR('TM3_ferrovia e metro'!F135,"")</f>
        <v/>
      </c>
      <c r="O48" s="483"/>
      <c r="P48" s="48"/>
    </row>
    <row r="49" spans="2:16" ht="49.9" customHeight="1" thickBot="1" x14ac:dyDescent="0.3">
      <c r="B49" s="465"/>
      <c r="C49" s="1043" t="s">
        <v>556</v>
      </c>
      <c r="D49" s="1044" t="s">
        <v>681</v>
      </c>
      <c r="E49" s="1188">
        <f>IFERROR('TM4_vias navegáveis interiores'!E80,"")</f>
        <v>0</v>
      </c>
      <c r="F49" s="1189">
        <f>IFERROR('TM4_vias navegáveis interiores'!F80,"")</f>
        <v>0</v>
      </c>
      <c r="G49" s="1188">
        <f>IFERROR('TM4_vias navegáveis interiores'!E81,"")</f>
        <v>0</v>
      </c>
      <c r="H49" s="1189">
        <f>IFERROR('TM4_vias navegáveis interiores'!F81,"")</f>
        <v>0</v>
      </c>
      <c r="I49" s="1188">
        <f>IFERROR('TM4_vias navegáveis interiores'!E79,"")</f>
        <v>0</v>
      </c>
      <c r="J49" s="1189">
        <f>IFERROR('TM4_vias navegáveis interiores'!F79,"")</f>
        <v>0</v>
      </c>
      <c r="K49" s="1188" t="str">
        <f t="shared" si="12"/>
        <v/>
      </c>
      <c r="L49" s="1189" t="str">
        <f t="shared" si="12"/>
        <v/>
      </c>
      <c r="M49" s="1188" t="str">
        <f>IFERROR('TM4_vias navegáveis interiores'!E83,"")</f>
        <v/>
      </c>
      <c r="N49" s="1189" t="str">
        <f>IFERROR('TM4_vias navegáveis interiores'!F83,"")</f>
        <v/>
      </c>
      <c r="O49" s="483"/>
      <c r="P49" s="48"/>
    </row>
    <row r="50" spans="2:16" ht="49.9" customHeight="1" thickBot="1" x14ac:dyDescent="0.3">
      <c r="B50" s="465"/>
      <c r="C50" s="1043" t="s">
        <v>794</v>
      </c>
      <c r="D50" s="1044" t="s">
        <v>681</v>
      </c>
      <c r="E50" s="1190">
        <f>IFERROR('TM5_parques de estacionamento'!E143,"")</f>
        <v>0</v>
      </c>
      <c r="F50" s="1191">
        <f>IFERROR('TM5_parques de estacionamento'!F143,"")</f>
        <v>0</v>
      </c>
      <c r="G50" s="1190">
        <f>IFERROR('TM5_parques de estacionamento'!E144,"")</f>
        <v>0</v>
      </c>
      <c r="H50" s="1191">
        <f>IFERROR('TM5_parques de estacionamento'!F144,"")</f>
        <v>0</v>
      </c>
      <c r="I50" s="1190">
        <f>IFERROR('TM5_parques de estacionamento'!E142,"")</f>
        <v>0</v>
      </c>
      <c r="J50" s="1191">
        <f>IFERROR('TM4_vias navegáveis interiores'!F139,"")</f>
        <v>0</v>
      </c>
      <c r="K50" s="1190" t="str">
        <f t="shared" si="12"/>
        <v/>
      </c>
      <c r="L50" s="1191" t="str">
        <f t="shared" si="12"/>
        <v/>
      </c>
      <c r="M50" s="1190" t="str">
        <f>IFERROR('TM5_parques de estacionamento'!E146,"")</f>
        <v/>
      </c>
      <c r="N50" s="1191" t="str">
        <f>IFERROR('TM5_parques de estacionamento'!F146,"")</f>
        <v/>
      </c>
      <c r="O50" s="483"/>
      <c r="P50" s="48"/>
    </row>
    <row r="51" spans="2:16" ht="16.149999999999999" customHeight="1" x14ac:dyDescent="0.25">
      <c r="B51" s="465"/>
      <c r="C51" s="291"/>
      <c r="D51" s="394"/>
      <c r="E51" s="1051"/>
      <c r="F51" s="1051"/>
      <c r="G51" s="1051"/>
      <c r="H51" s="1051"/>
      <c r="I51" s="1051"/>
      <c r="J51" s="1051"/>
      <c r="K51" s="1052"/>
      <c r="L51" s="1052"/>
      <c r="M51" s="1053"/>
      <c r="N51" s="1053"/>
      <c r="O51" s="483"/>
      <c r="P51" s="48"/>
    </row>
    <row r="52" spans="2:16" ht="15" customHeight="1" thickBot="1" x14ac:dyDescent="0.3">
      <c r="B52" s="465"/>
      <c r="C52" s="464"/>
      <c r="D52" s="464"/>
      <c r="E52" s="464"/>
      <c r="F52" s="464"/>
      <c r="G52" s="464"/>
      <c r="H52" s="464"/>
      <c r="I52" s="464"/>
      <c r="J52" s="464"/>
      <c r="K52" s="464"/>
      <c r="L52" s="464"/>
      <c r="M52" s="464"/>
      <c r="N52" s="463"/>
      <c r="O52" s="481"/>
    </row>
    <row r="53" spans="2:16" ht="79.900000000000006" customHeight="1" thickBot="1" x14ac:dyDescent="0.3">
      <c r="B53" s="465"/>
      <c r="C53" s="1562" t="s">
        <v>1131</v>
      </c>
      <c r="D53" s="1563"/>
      <c r="E53" s="1569" t="s">
        <v>1135</v>
      </c>
      <c r="F53" s="1570"/>
      <c r="G53" s="1571" t="s">
        <v>1126</v>
      </c>
      <c r="H53" s="1572"/>
      <c r="I53" s="1573" t="s">
        <v>1136</v>
      </c>
      <c r="J53" s="1574"/>
      <c r="K53" s="1573" t="s">
        <v>1125</v>
      </c>
      <c r="L53" s="1574"/>
      <c r="M53" s="1575" t="s">
        <v>1305</v>
      </c>
      <c r="N53" s="1576"/>
      <c r="O53" s="481"/>
    </row>
    <row r="54" spans="2:16" ht="34.9" customHeight="1" thickBot="1" x14ac:dyDescent="0.3">
      <c r="B54" s="465"/>
      <c r="C54" s="1062" t="str">
        <f>IFERROR('ID_Identificação do projeto'!C20,"")</f>
        <v>AA</v>
      </c>
      <c r="D54" s="1046" t="s">
        <v>3</v>
      </c>
      <c r="E54" s="1048" t="s">
        <v>756</v>
      </c>
      <c r="F54" s="1045" t="s">
        <v>757</v>
      </c>
      <c r="G54" s="1048" t="s">
        <v>756</v>
      </c>
      <c r="H54" s="1045" t="s">
        <v>757</v>
      </c>
      <c r="I54" s="1048" t="s">
        <v>756</v>
      </c>
      <c r="J54" s="1045" t="s">
        <v>757</v>
      </c>
      <c r="K54" s="1048" t="s">
        <v>756</v>
      </c>
      <c r="L54" s="1045" t="s">
        <v>757</v>
      </c>
      <c r="M54" s="1047" t="s">
        <v>756</v>
      </c>
      <c r="N54" s="1045" t="s">
        <v>757</v>
      </c>
      <c r="O54" s="481"/>
    </row>
    <row r="55" spans="2:16" ht="49.9" customHeight="1" thickBot="1" x14ac:dyDescent="0.3">
      <c r="B55" s="465"/>
      <c r="C55" s="1063" t="s">
        <v>1145</v>
      </c>
      <c r="D55" s="1061" t="s">
        <v>1133</v>
      </c>
      <c r="E55" s="1060">
        <f t="shared" ref="E55:J55" si="13">IFERROR(SUM(E56:E60),"")</f>
        <v>0</v>
      </c>
      <c r="F55" s="1060">
        <f t="shared" si="13"/>
        <v>0</v>
      </c>
      <c r="G55" s="1060">
        <f t="shared" si="13"/>
        <v>0</v>
      </c>
      <c r="H55" s="1060">
        <f t="shared" si="13"/>
        <v>0</v>
      </c>
      <c r="I55" s="1060">
        <f t="shared" si="13"/>
        <v>0</v>
      </c>
      <c r="J55" s="1060">
        <f t="shared" si="13"/>
        <v>0</v>
      </c>
      <c r="K55" s="1060" t="str">
        <f>IFERROR((I55/G55)*100,"")</f>
        <v/>
      </c>
      <c r="L55" s="1060" t="str">
        <f>IFERROR((J55/H55)*100,"")</f>
        <v/>
      </c>
      <c r="M55" s="1060">
        <f>IFERROR(SUM(M56:M60),"")</f>
        <v>0</v>
      </c>
      <c r="N55" s="1060">
        <f>IFERROR(SUM(N56:N60),"")</f>
        <v>0</v>
      </c>
      <c r="O55" s="481"/>
    </row>
    <row r="56" spans="2:16" ht="49.9" customHeight="1" thickBot="1" x14ac:dyDescent="0.3">
      <c r="B56" s="465"/>
      <c r="C56" s="1043" t="s">
        <v>553</v>
      </c>
      <c r="D56" s="1057" t="s">
        <v>1133</v>
      </c>
      <c r="E56" s="1049" t="str">
        <f>IFERROR(E46*$C$54,"")</f>
        <v/>
      </c>
      <c r="F56" s="1020" t="str">
        <f t="shared" ref="F56:N56" si="14">IFERROR(F46*$C$54,"")</f>
        <v/>
      </c>
      <c r="G56" s="1049" t="str">
        <f t="shared" si="14"/>
        <v/>
      </c>
      <c r="H56" s="1020" t="str">
        <f t="shared" si="14"/>
        <v/>
      </c>
      <c r="I56" s="1049" t="str">
        <f t="shared" si="14"/>
        <v/>
      </c>
      <c r="J56" s="1020" t="str">
        <f t="shared" si="14"/>
        <v/>
      </c>
      <c r="K56" s="1049" t="str">
        <f t="shared" si="14"/>
        <v/>
      </c>
      <c r="L56" s="1020" t="str">
        <f t="shared" si="14"/>
        <v/>
      </c>
      <c r="M56" s="1019" t="str">
        <f t="shared" si="14"/>
        <v/>
      </c>
      <c r="N56" s="1020" t="str">
        <f t="shared" si="14"/>
        <v/>
      </c>
      <c r="O56" s="481"/>
    </row>
    <row r="57" spans="2:16" ht="49.9" customHeight="1" thickBot="1" x14ac:dyDescent="0.3">
      <c r="B57" s="465"/>
      <c r="C57" s="1043" t="s">
        <v>554</v>
      </c>
      <c r="D57" s="1057" t="s">
        <v>1133</v>
      </c>
      <c r="E57" s="1049" t="str">
        <f t="shared" ref="E57:N57" si="15">IFERROR(E47*$C$54,"")</f>
        <v/>
      </c>
      <c r="F57" s="1020" t="str">
        <f t="shared" si="15"/>
        <v/>
      </c>
      <c r="G57" s="1049" t="str">
        <f t="shared" si="15"/>
        <v/>
      </c>
      <c r="H57" s="1020" t="str">
        <f t="shared" si="15"/>
        <v/>
      </c>
      <c r="I57" s="1049" t="str">
        <f t="shared" si="15"/>
        <v/>
      </c>
      <c r="J57" s="1020" t="str">
        <f t="shared" si="15"/>
        <v/>
      </c>
      <c r="K57" s="1049" t="str">
        <f t="shared" si="15"/>
        <v/>
      </c>
      <c r="L57" s="1020" t="str">
        <f t="shared" si="15"/>
        <v/>
      </c>
      <c r="M57" s="1019" t="str">
        <f t="shared" si="15"/>
        <v/>
      </c>
      <c r="N57" s="1020" t="str">
        <f t="shared" si="15"/>
        <v/>
      </c>
      <c r="O57" s="481"/>
    </row>
    <row r="58" spans="2:16" ht="49.9" customHeight="1" thickBot="1" x14ac:dyDescent="0.3">
      <c r="B58" s="465"/>
      <c r="C58" s="1043" t="s">
        <v>555</v>
      </c>
      <c r="D58" s="1057" t="s">
        <v>1133</v>
      </c>
      <c r="E58" s="1049" t="str">
        <f t="shared" ref="E58:N58" si="16">IFERROR(E48*$C$54,"")</f>
        <v/>
      </c>
      <c r="F58" s="1020" t="str">
        <f t="shared" si="16"/>
        <v/>
      </c>
      <c r="G58" s="1049" t="str">
        <f t="shared" si="16"/>
        <v/>
      </c>
      <c r="H58" s="1020" t="str">
        <f t="shared" si="16"/>
        <v/>
      </c>
      <c r="I58" s="1049" t="str">
        <f t="shared" si="16"/>
        <v/>
      </c>
      <c r="J58" s="1020" t="str">
        <f t="shared" si="16"/>
        <v/>
      </c>
      <c r="K58" s="1049" t="str">
        <f t="shared" si="16"/>
        <v/>
      </c>
      <c r="L58" s="1020" t="str">
        <f t="shared" si="16"/>
        <v/>
      </c>
      <c r="M58" s="1019" t="str">
        <f t="shared" si="16"/>
        <v/>
      </c>
      <c r="N58" s="1020" t="str">
        <f t="shared" si="16"/>
        <v/>
      </c>
      <c r="O58" s="481"/>
    </row>
    <row r="59" spans="2:16" ht="49.9" customHeight="1" thickBot="1" x14ac:dyDescent="0.3">
      <c r="B59" s="465"/>
      <c r="C59" s="1043" t="s">
        <v>556</v>
      </c>
      <c r="D59" s="1057" t="s">
        <v>1133</v>
      </c>
      <c r="E59" s="1049" t="str">
        <f t="shared" ref="E59:N59" si="17">IFERROR(E49*$C$54,"")</f>
        <v/>
      </c>
      <c r="F59" s="1020" t="str">
        <f t="shared" si="17"/>
        <v/>
      </c>
      <c r="G59" s="1049" t="str">
        <f t="shared" si="17"/>
        <v/>
      </c>
      <c r="H59" s="1020" t="str">
        <f t="shared" si="17"/>
        <v/>
      </c>
      <c r="I59" s="1049" t="str">
        <f t="shared" si="17"/>
        <v/>
      </c>
      <c r="J59" s="1020" t="str">
        <f t="shared" si="17"/>
        <v/>
      </c>
      <c r="K59" s="1049" t="str">
        <f t="shared" si="17"/>
        <v/>
      </c>
      <c r="L59" s="1020" t="str">
        <f t="shared" si="17"/>
        <v/>
      </c>
      <c r="M59" s="1019" t="str">
        <f t="shared" si="17"/>
        <v/>
      </c>
      <c r="N59" s="1020" t="str">
        <f t="shared" si="17"/>
        <v/>
      </c>
      <c r="O59" s="481"/>
    </row>
    <row r="60" spans="2:16" ht="49.9" customHeight="1" thickBot="1" x14ac:dyDescent="0.3">
      <c r="B60" s="465"/>
      <c r="C60" s="1043" t="s">
        <v>794</v>
      </c>
      <c r="D60" s="1057" t="s">
        <v>1133</v>
      </c>
      <c r="E60" s="1049" t="str">
        <f t="shared" ref="E60:N60" si="18">IFERROR(E50*$C$54,"")</f>
        <v/>
      </c>
      <c r="F60" s="1020" t="str">
        <f t="shared" si="18"/>
        <v/>
      </c>
      <c r="G60" s="1049" t="str">
        <f t="shared" si="18"/>
        <v/>
      </c>
      <c r="H60" s="1020" t="str">
        <f t="shared" si="18"/>
        <v/>
      </c>
      <c r="I60" s="1049" t="str">
        <f t="shared" si="18"/>
        <v/>
      </c>
      <c r="J60" s="1020" t="str">
        <f t="shared" si="18"/>
        <v/>
      </c>
      <c r="K60" s="1049" t="str">
        <f t="shared" si="18"/>
        <v/>
      </c>
      <c r="L60" s="1020" t="str">
        <f t="shared" si="18"/>
        <v/>
      </c>
      <c r="M60" s="1019" t="str">
        <f t="shared" si="18"/>
        <v/>
      </c>
      <c r="N60" s="1020" t="str">
        <f t="shared" si="18"/>
        <v/>
      </c>
      <c r="O60" s="481"/>
    </row>
    <row r="61" spans="2:16" ht="15" customHeight="1" x14ac:dyDescent="0.25">
      <c r="B61" s="1054"/>
      <c r="C61" s="1055"/>
      <c r="D61" s="1055"/>
      <c r="E61" s="1055"/>
      <c r="F61" s="1055"/>
      <c r="G61" s="1055"/>
      <c r="H61" s="1055"/>
      <c r="I61" s="1055"/>
      <c r="J61" s="1055"/>
      <c r="K61" s="1055"/>
      <c r="L61" s="1055"/>
      <c r="M61" s="1055"/>
      <c r="N61" s="1055"/>
      <c r="O61" s="1056"/>
    </row>
  </sheetData>
  <sheetProtection algorithmName="SHA-512" hashValue="ktmr8bmfmNrr6xu2REQos8tsITm0/uo9RGd53nUSBxUTmF17ylg+5wktgQGMKLnUdKR+MlWVaoyLfs68DG4dAQ==" saltValue="6frgwdtJozTDhkU7/E9Opw==" spinCount="100000" sheet="1" objects="1" scenarios="1" selectLockedCells="1" selectUnlockedCells="1"/>
  <sortState xmlns:xlrd2="http://schemas.microsoft.com/office/spreadsheetml/2017/richdata2" ref="O44">
    <sortCondition ref="O43:O44"/>
  </sortState>
  <mergeCells count="41">
    <mergeCell ref="M43:N43"/>
    <mergeCell ref="B41:O41"/>
    <mergeCell ref="B22:M22"/>
    <mergeCell ref="E25:F25"/>
    <mergeCell ref="G25:H25"/>
    <mergeCell ref="I25:J25"/>
    <mergeCell ref="K25:L25"/>
    <mergeCell ref="M25:N25"/>
    <mergeCell ref="E43:F43"/>
    <mergeCell ref="G43:H43"/>
    <mergeCell ref="I43:J43"/>
    <mergeCell ref="K43:L43"/>
    <mergeCell ref="C27:C28"/>
    <mergeCell ref="C25:D25"/>
    <mergeCell ref="C29:C30"/>
    <mergeCell ref="C43:C44"/>
    <mergeCell ref="B4:J4"/>
    <mergeCell ref="B5:C6"/>
    <mergeCell ref="C15:C16"/>
    <mergeCell ref="D5:J5"/>
    <mergeCell ref="D6:J6"/>
    <mergeCell ref="D7:J7"/>
    <mergeCell ref="D8:J8"/>
    <mergeCell ref="B11:M11"/>
    <mergeCell ref="E13:F13"/>
    <mergeCell ref="G13:H13"/>
    <mergeCell ref="I13:J13"/>
    <mergeCell ref="K13:L13"/>
    <mergeCell ref="D9:J9"/>
    <mergeCell ref="B7:C9"/>
    <mergeCell ref="M13:N13"/>
    <mergeCell ref="E53:F53"/>
    <mergeCell ref="G53:H53"/>
    <mergeCell ref="I53:J53"/>
    <mergeCell ref="K53:L53"/>
    <mergeCell ref="M53:N53"/>
    <mergeCell ref="C53:D53"/>
    <mergeCell ref="C31:C32"/>
    <mergeCell ref="C33:C34"/>
    <mergeCell ref="C35:C36"/>
    <mergeCell ref="C37:C38"/>
  </mergeCells>
  <pageMargins left="0.7" right="0.7" top="0.75" bottom="0.75" header="0.3" footer="0.3"/>
  <ignoredErrors>
    <ignoredError sqref="E31:J31 M32:N32 E33:J33 E35:G35 E37:J37 M31:N31 E34:J34 M34:N34 E36:J36 M36:N36 E38:J38 M38:N38 M33:N33 M35:N35 M37:N37 K37:L37 K35:L35 K33:L33 L31 K31 L32 I35 M30:N30" formula="1"/>
  </ignoredErrors>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0" id="{1C7864AC-0CF6-489D-9948-4E7D33A16EE3}">
            <xm:f>IF('IC_todos os projetos'!$E$33,TRUE,"")</xm:f>
            <x14:dxf>
              <fill>
                <patternFill>
                  <bgColor theme="0"/>
                </patternFill>
              </fill>
            </x14:dxf>
          </x14:cfRule>
          <xm:sqref>E29:N30</xm:sqref>
        </x14:conditionalFormatting>
        <x14:conditionalFormatting xmlns:xm="http://schemas.microsoft.com/office/excel/2006/main">
          <x14:cfRule type="expression" priority="9" id="{3540AFB1-CE36-4493-98F5-7EA03B71673D}">
            <xm:f>IF('IC_todos os projetos'!$E$62,TRUE,"")</xm:f>
            <x14:dxf>
              <fill>
                <patternFill>
                  <bgColor theme="0"/>
                </patternFill>
              </fill>
            </x14:dxf>
          </x14:cfRule>
          <xm:sqref>E31:N32</xm:sqref>
        </x14:conditionalFormatting>
        <x14:conditionalFormatting xmlns:xm="http://schemas.microsoft.com/office/excel/2006/main">
          <x14:cfRule type="expression" priority="8" id="{CE9F90E3-12E9-4BF8-8556-B423E2E89FE2}">
            <xm:f>IF('IC_todos os projetos'!$E$89,TRUE,"")</xm:f>
            <x14:dxf>
              <fill>
                <patternFill>
                  <bgColor theme="0"/>
                </patternFill>
              </fill>
            </x14:dxf>
          </x14:cfRule>
          <xm:sqref>E33:N34</xm:sqref>
        </x14:conditionalFormatting>
        <x14:conditionalFormatting xmlns:xm="http://schemas.microsoft.com/office/excel/2006/main">
          <x14:cfRule type="expression" priority="7" id="{D7EA584B-520D-425B-9269-85D9D8DFBF1E}">
            <xm:f>IF('IC_todos os projetos'!$E$106,TRUE,"")</xm:f>
            <x14:dxf>
              <fill>
                <patternFill>
                  <bgColor theme="0"/>
                </patternFill>
              </fill>
            </x14:dxf>
          </x14:cfRule>
          <xm:sqref>E35:N36</xm:sqref>
        </x14:conditionalFormatting>
        <x14:conditionalFormatting xmlns:xm="http://schemas.microsoft.com/office/excel/2006/main">
          <x14:cfRule type="expression" priority="6" id="{39E19965-0C2C-4421-B8FC-B5882B3A1157}">
            <xm:f>IF('IC_todos os projetos'!$E$131,TRUE,"")</xm:f>
            <x14:dxf>
              <fill>
                <patternFill>
                  <bgColor theme="0"/>
                </patternFill>
              </fill>
            </x14:dxf>
          </x14:cfRule>
          <xm:sqref>E37:N38</xm:sqref>
        </x14:conditionalFormatting>
        <x14:conditionalFormatting xmlns:xm="http://schemas.microsoft.com/office/excel/2006/main">
          <x14:cfRule type="expression" priority="5" id="{0FDFA1E8-14B1-470B-BB0C-FDC1BCF23980}">
            <xm:f>IF('TM1_micromobilidade '!$E$158,TRUE,"")</xm:f>
            <x14:dxf>
              <fill>
                <patternFill>
                  <bgColor theme="0"/>
                </patternFill>
              </fill>
            </x14:dxf>
          </x14:cfRule>
          <xm:sqref>E46:N46</xm:sqref>
        </x14:conditionalFormatting>
        <x14:conditionalFormatting xmlns:xm="http://schemas.microsoft.com/office/excel/2006/main">
          <x14:cfRule type="expression" priority="4" id="{5ECF317E-5C8D-4635-9059-BD3F90A2239E}">
            <xm:f>IF(TM2_rodovia!$E$123,TRUE,"")</xm:f>
            <x14:dxf>
              <fill>
                <patternFill>
                  <bgColor theme="0"/>
                </patternFill>
              </fill>
            </x14:dxf>
          </x14:cfRule>
          <xm:sqref>E47:N47</xm:sqref>
        </x14:conditionalFormatting>
        <x14:conditionalFormatting xmlns:xm="http://schemas.microsoft.com/office/excel/2006/main">
          <x14:cfRule type="expression" priority="3" id="{B4570AC4-4719-41A1-914D-48379B0AEB17}">
            <xm:f>IF('TM3_ferrovia e metro'!$E$129,TRUE,"")</xm:f>
            <x14:dxf>
              <fill>
                <patternFill>
                  <bgColor theme="0"/>
                </patternFill>
              </fill>
            </x14:dxf>
          </x14:cfRule>
          <xm:sqref>E48:N48</xm:sqref>
        </x14:conditionalFormatting>
        <x14:conditionalFormatting xmlns:xm="http://schemas.microsoft.com/office/excel/2006/main">
          <x14:cfRule type="expression" priority="2" id="{8194715E-59CA-4B73-B155-685FAC4627CC}">
            <xm:f>IF('TM4_vias navegáveis interiores'!$E$79,TRUE,"")</xm:f>
            <x14:dxf>
              <fill>
                <patternFill>
                  <bgColor theme="0"/>
                </patternFill>
              </fill>
            </x14:dxf>
          </x14:cfRule>
          <xm:sqref>E49:N49</xm:sqref>
        </x14:conditionalFormatting>
        <x14:conditionalFormatting xmlns:xm="http://schemas.microsoft.com/office/excel/2006/main">
          <x14:cfRule type="expression" priority="1" id="{F44CCD01-BFFA-4DDF-A3C0-258C91DF4395}">
            <xm:f>IF('TM5_parques de estacionamento'!$E$142,TRUE,"")</xm:f>
            <x14:dxf>
              <fill>
                <patternFill>
                  <bgColor theme="0"/>
                </patternFill>
              </fill>
            </x14:dxf>
          </x14:cfRule>
          <xm:sqref>E50:N50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C77F-6384-4F3B-8DEB-F10107BC1E15}">
  <sheetPr codeName="Sheet5">
    <tabColor rgb="FF58D4CC"/>
  </sheetPr>
  <dimension ref="A1:Z61"/>
  <sheetViews>
    <sheetView showGridLines="0" topLeftCell="A14" zoomScale="70" zoomScaleNormal="70" workbookViewId="0">
      <selection activeCell="D41" sqref="D41"/>
    </sheetView>
  </sheetViews>
  <sheetFormatPr defaultColWidth="0" defaultRowHeight="15.75" zeroHeight="1" x14ac:dyDescent="0.25"/>
  <cols>
    <col min="1" max="3" width="8.7109375" style="5" customWidth="1"/>
    <col min="4" max="4" width="42.85546875" style="5" customWidth="1"/>
    <col min="5" max="5" width="19.140625" style="5" customWidth="1"/>
    <col min="6" max="6" width="16.28515625" style="5" customWidth="1"/>
    <col min="7" max="7" width="31.7109375" style="5" customWidth="1"/>
    <col min="8" max="26" width="8.7109375" style="5" customWidth="1"/>
    <col min="27" max="16384" width="8.7109375" style="5" hidden="1"/>
  </cols>
  <sheetData>
    <row r="1" spans="2:20" x14ac:dyDescent="0.25"/>
    <row r="2" spans="2:20" x14ac:dyDescent="0.25"/>
    <row r="3" spans="2:20" x14ac:dyDescent="0.25"/>
    <row r="4" spans="2:20" x14ac:dyDescent="0.25"/>
    <row r="5" spans="2:20" x14ac:dyDescent="0.25"/>
    <row r="6" spans="2:20" x14ac:dyDescent="0.25">
      <c r="E6" s="1267" t="e">
        <f>IF(#REF!="", "", IF(#REF!="Não", "Não necessita de preencher esta folha", "Folha a ser preenchida"))</f>
        <v>#REF!</v>
      </c>
      <c r="F6" s="1267"/>
      <c r="G6" s="1267"/>
      <c r="H6" s="1267"/>
      <c r="I6" s="1267"/>
      <c r="J6" s="1267"/>
      <c r="K6" s="1267"/>
      <c r="L6" s="1267"/>
      <c r="M6" s="1267"/>
      <c r="N6" s="1267"/>
      <c r="O6" s="1267"/>
    </row>
    <row r="7" spans="2:20" x14ac:dyDescent="0.25">
      <c r="E7" s="1267"/>
      <c r="F7" s="1267"/>
      <c r="G7" s="1267"/>
      <c r="H7" s="1267"/>
      <c r="I7" s="1267"/>
      <c r="J7" s="1267"/>
      <c r="K7" s="1267"/>
      <c r="L7" s="1267"/>
      <c r="M7" s="1267"/>
      <c r="N7" s="1267"/>
      <c r="O7" s="1267"/>
      <c r="P7" s="15"/>
      <c r="Q7" s="15"/>
    </row>
    <row r="8" spans="2:20" x14ac:dyDescent="0.25"/>
    <row r="9" spans="2:20" x14ac:dyDescent="0.25"/>
    <row r="10" spans="2:20" x14ac:dyDescent="0.25"/>
    <row r="11" spans="2:20" ht="18.75" x14ac:dyDescent="0.25">
      <c r="B11" s="27" t="s">
        <v>82</v>
      </c>
      <c r="C11" s="28"/>
      <c r="D11" s="7"/>
    </row>
    <row r="12" spans="2:20" x14ac:dyDescent="0.25">
      <c r="B12" s="7"/>
      <c r="C12" s="28"/>
      <c r="D12" s="7"/>
    </row>
    <row r="13" spans="2:20" ht="18.75" x14ac:dyDescent="0.3">
      <c r="B13" s="36" t="s">
        <v>0</v>
      </c>
      <c r="C13" s="8"/>
      <c r="D13" s="8"/>
      <c r="E13" s="6"/>
      <c r="F13" s="6"/>
      <c r="G13" s="6"/>
      <c r="H13" s="6"/>
      <c r="I13" s="6"/>
      <c r="J13" s="6"/>
      <c r="K13" s="6"/>
      <c r="L13" s="6"/>
      <c r="M13" s="6"/>
      <c r="N13" s="6"/>
      <c r="O13" s="6"/>
      <c r="P13" s="6"/>
      <c r="Q13" s="6"/>
      <c r="R13" s="6"/>
      <c r="S13" s="6"/>
      <c r="T13" s="6"/>
    </row>
    <row r="14" spans="2:20" ht="32.450000000000003" customHeight="1" x14ac:dyDescent="0.25">
      <c r="B14" s="1266" t="s">
        <v>90</v>
      </c>
      <c r="C14" s="1266"/>
      <c r="D14" s="1266"/>
      <c r="E14" s="1266"/>
      <c r="F14" s="1266"/>
      <c r="G14" s="1266"/>
      <c r="H14" s="1266"/>
      <c r="I14" s="1266"/>
      <c r="J14" s="1266"/>
      <c r="K14" s="1266"/>
      <c r="L14" s="1266"/>
      <c r="M14" s="1266"/>
      <c r="N14" s="1266"/>
      <c r="O14" s="1266"/>
      <c r="P14" s="1266"/>
      <c r="Q14" s="1266"/>
      <c r="R14" s="1266"/>
      <c r="S14" s="1266"/>
      <c r="T14" s="1266"/>
    </row>
    <row r="15" spans="2:20" x14ac:dyDescent="0.25">
      <c r="B15" s="16" t="s">
        <v>91</v>
      </c>
      <c r="C15" s="30"/>
      <c r="D15" s="30"/>
      <c r="E15" s="37"/>
      <c r="F15" s="37"/>
      <c r="G15" s="37"/>
      <c r="H15" s="37"/>
      <c r="I15" s="37"/>
      <c r="J15" s="37"/>
      <c r="K15" s="37"/>
      <c r="L15" s="37"/>
      <c r="M15" s="37"/>
      <c r="N15" s="37"/>
      <c r="O15" s="37"/>
      <c r="P15" s="37"/>
      <c r="Q15" s="37"/>
      <c r="R15" s="37"/>
      <c r="S15" s="37"/>
      <c r="T15" s="37"/>
    </row>
    <row r="16" spans="2:20" x14ac:dyDescent="0.25">
      <c r="B16" s="17" t="s">
        <v>79</v>
      </c>
      <c r="C16" s="30"/>
      <c r="D16" s="30"/>
      <c r="E16" s="37"/>
      <c r="F16" s="37"/>
      <c r="G16" s="37"/>
      <c r="H16" s="37"/>
      <c r="I16" s="37"/>
      <c r="J16" s="37"/>
      <c r="K16" s="37"/>
      <c r="L16" s="37"/>
      <c r="M16" s="37"/>
      <c r="N16" s="37"/>
      <c r="O16" s="37"/>
      <c r="P16" s="37"/>
      <c r="Q16" s="37"/>
      <c r="R16" s="37"/>
      <c r="S16" s="37"/>
      <c r="T16" s="37"/>
    </row>
    <row r="17" spans="2:20" ht="19.899999999999999" customHeight="1" x14ac:dyDescent="0.25">
      <c r="B17" s="16" t="s">
        <v>80</v>
      </c>
      <c r="C17" s="38"/>
      <c r="D17" s="38"/>
      <c r="E17" s="37"/>
      <c r="F17" s="37"/>
      <c r="G17" s="37"/>
      <c r="H17" s="37"/>
      <c r="I17" s="37"/>
      <c r="J17" s="37"/>
      <c r="K17" s="37"/>
      <c r="L17" s="37"/>
      <c r="M17" s="37"/>
      <c r="N17" s="37"/>
      <c r="O17" s="37"/>
      <c r="P17" s="37"/>
      <c r="Q17" s="37"/>
      <c r="R17" s="37"/>
      <c r="S17" s="37"/>
      <c r="T17" s="37"/>
    </row>
    <row r="18" spans="2:20" x14ac:dyDescent="0.25">
      <c r="B18" s="31"/>
      <c r="C18" s="7"/>
      <c r="D18" s="7"/>
    </row>
    <row r="19" spans="2:20" x14ac:dyDescent="0.25">
      <c r="B19" s="32"/>
      <c r="C19" s="7"/>
      <c r="D19" s="7"/>
    </row>
    <row r="20" spans="2:20" ht="16.5" thickBot="1" x14ac:dyDescent="0.3">
      <c r="B20" s="9"/>
      <c r="C20" s="7"/>
      <c r="D20" s="7"/>
    </row>
    <row r="21" spans="2:20" ht="16.5" thickBot="1" x14ac:dyDescent="0.3">
      <c r="B21" s="29"/>
      <c r="C21" s="33"/>
      <c r="D21" s="33" t="s">
        <v>17</v>
      </c>
      <c r="E21" s="1268"/>
      <c r="F21" s="1269"/>
      <c r="G21" s="1269"/>
      <c r="H21" s="1269"/>
      <c r="I21" s="1269"/>
      <c r="J21" s="1269"/>
      <c r="K21" s="1269"/>
      <c r="L21" s="1269"/>
      <c r="M21" s="1269"/>
      <c r="N21" s="1269"/>
      <c r="O21" s="1269"/>
      <c r="P21" s="1270"/>
    </row>
    <row r="22" spans="2:20" ht="16.5" thickBot="1" x14ac:dyDescent="0.3">
      <c r="D22" s="14" t="s">
        <v>1</v>
      </c>
      <c r="E22" s="1268"/>
      <c r="F22" s="1269"/>
      <c r="G22" s="1269"/>
      <c r="H22" s="1269"/>
      <c r="I22" s="1269"/>
      <c r="J22" s="1269"/>
      <c r="K22" s="1269"/>
      <c r="L22" s="1269"/>
      <c r="M22" s="1269"/>
      <c r="N22" s="1269"/>
      <c r="O22" s="1269"/>
      <c r="P22" s="1270"/>
    </row>
    <row r="23" spans="2:20" ht="16.5" thickBot="1" x14ac:dyDescent="0.3">
      <c r="D23" s="14" t="s">
        <v>92</v>
      </c>
      <c r="E23" s="1268"/>
      <c r="F23" s="1269"/>
      <c r="G23" s="1269"/>
      <c r="H23" s="1269"/>
      <c r="I23" s="1269"/>
      <c r="J23" s="1269"/>
      <c r="K23" s="1269"/>
      <c r="L23" s="1269"/>
      <c r="M23" s="1269"/>
      <c r="N23" s="1269"/>
      <c r="O23" s="1269"/>
      <c r="P23" s="1270"/>
    </row>
    <row r="24" spans="2:20" x14ac:dyDescent="0.25">
      <c r="B24" s="34"/>
      <c r="C24" s="7"/>
      <c r="D24" s="14"/>
      <c r="E24" s="18"/>
      <c r="F24" s="18"/>
      <c r="G24" s="18"/>
      <c r="H24" s="18"/>
      <c r="I24" s="18"/>
      <c r="J24" s="18"/>
      <c r="K24" s="18"/>
      <c r="L24" s="18"/>
      <c r="M24" s="18"/>
      <c r="N24" s="18"/>
      <c r="O24" s="18"/>
      <c r="P24" s="18"/>
    </row>
    <row r="25" spans="2:20" x14ac:dyDescent="0.25">
      <c r="B25" s="34"/>
      <c r="C25" s="7"/>
      <c r="D25" s="14"/>
      <c r="E25" s="18"/>
      <c r="F25" s="18"/>
      <c r="G25" s="18"/>
      <c r="H25" s="18"/>
      <c r="I25" s="18"/>
      <c r="J25" s="18"/>
      <c r="K25" s="18"/>
      <c r="L25" s="18"/>
      <c r="M25" s="18"/>
      <c r="N25" s="18"/>
      <c r="O25" s="18"/>
      <c r="P25" s="18"/>
    </row>
    <row r="26" spans="2:20" ht="18.75" x14ac:dyDescent="0.3">
      <c r="D26" s="24" t="s">
        <v>88</v>
      </c>
      <c r="E26" s="7"/>
    </row>
    <row r="27" spans="2:20" x14ac:dyDescent="0.25">
      <c r="B27" s="34"/>
      <c r="C27" s="7"/>
      <c r="D27" s="25" t="e">
        <f>"Os projetos são divididos em 3 fases: "&amp;'Fatores de Emissão'!#REF!&amp;", "&amp;'Fatores de Emissão'!#REF!&amp;" e "&amp;'Fatores de Emissão'!#REF!&amp;"."</f>
        <v>#REF!</v>
      </c>
      <c r="E27" s="6"/>
      <c r="F27" s="25"/>
      <c r="G27" s="25"/>
      <c r="H27" s="25"/>
      <c r="I27" s="25"/>
      <c r="J27" s="25"/>
      <c r="K27" s="25"/>
      <c r="L27" s="25"/>
      <c r="M27" s="25"/>
      <c r="N27" s="25"/>
      <c r="O27" s="35"/>
      <c r="P27" s="35"/>
      <c r="Q27" s="6"/>
      <c r="R27" s="6"/>
      <c r="S27" s="6"/>
      <c r="T27" s="6"/>
    </row>
    <row r="28" spans="2:20" x14ac:dyDescent="0.25">
      <c r="B28" s="34"/>
      <c r="C28" s="7"/>
      <c r="D28" s="25" t="s">
        <v>19</v>
      </c>
      <c r="E28" s="6"/>
      <c r="F28" s="25"/>
      <c r="G28" s="25"/>
      <c r="H28" s="25"/>
      <c r="I28" s="25"/>
      <c r="J28" s="25"/>
      <c r="K28" s="25"/>
      <c r="L28" s="25"/>
      <c r="M28" s="25"/>
      <c r="N28" s="25"/>
      <c r="O28" s="35"/>
      <c r="P28" s="35"/>
      <c r="Q28" s="6"/>
      <c r="R28" s="6"/>
      <c r="S28" s="6"/>
      <c r="T28" s="6"/>
    </row>
    <row r="29" spans="2:20" ht="18" customHeight="1" x14ac:dyDescent="0.25">
      <c r="B29" s="34"/>
      <c r="C29" s="7"/>
      <c r="D29" s="1265" t="s">
        <v>103</v>
      </c>
      <c r="E29" s="1265"/>
      <c r="F29" s="1265"/>
      <c r="G29" s="1265"/>
      <c r="H29" s="1265"/>
      <c r="I29" s="1265"/>
      <c r="J29" s="1265"/>
      <c r="K29" s="1265"/>
      <c r="L29" s="1265"/>
      <c r="M29" s="1265"/>
      <c r="N29" s="1265"/>
      <c r="O29" s="1265"/>
      <c r="P29" s="1265"/>
      <c r="Q29" s="1265"/>
      <c r="R29" s="1265"/>
      <c r="S29" s="1265"/>
      <c r="T29" s="1265"/>
    </row>
    <row r="30" spans="2:20" ht="66" customHeight="1" x14ac:dyDescent="0.25">
      <c r="B30" s="34"/>
      <c r="C30" s="7"/>
      <c r="D30" s="1265" t="s">
        <v>105</v>
      </c>
      <c r="E30" s="1265"/>
      <c r="F30" s="1265"/>
      <c r="G30" s="1265"/>
      <c r="H30" s="1265"/>
      <c r="I30" s="1265"/>
      <c r="J30" s="1265"/>
      <c r="K30" s="1265"/>
      <c r="L30" s="1265"/>
      <c r="M30" s="1265"/>
      <c r="N30" s="1265"/>
      <c r="O30" s="1265"/>
      <c r="P30" s="1265"/>
      <c r="Q30" s="1265"/>
      <c r="R30" s="1265"/>
      <c r="S30" s="1265"/>
      <c r="T30" s="1265"/>
    </row>
    <row r="31" spans="2:20" x14ac:dyDescent="0.25">
      <c r="B31" s="34"/>
      <c r="C31" s="7"/>
      <c r="K31" s="18"/>
      <c r="L31" s="18"/>
      <c r="M31" s="18"/>
      <c r="N31" s="18"/>
      <c r="O31" s="18"/>
      <c r="P31" s="18"/>
    </row>
    <row r="32" spans="2:20" ht="60.6" customHeight="1" x14ac:dyDescent="0.25">
      <c r="B32" s="34"/>
      <c r="C32" s="7"/>
      <c r="E32" s="21" t="s">
        <v>78</v>
      </c>
      <c r="F32" s="23" t="s">
        <v>87</v>
      </c>
      <c r="G32" s="23" t="s">
        <v>106</v>
      </c>
      <c r="K32" s="18"/>
      <c r="L32" s="18"/>
      <c r="M32" s="18"/>
      <c r="N32" s="18"/>
      <c r="O32" s="18"/>
      <c r="P32" s="22"/>
    </row>
    <row r="33" spans="4:16" x14ac:dyDescent="0.25">
      <c r="D33" s="12" t="e">
        <f>'Fatores de Emissão'!#REF!</f>
        <v>#REF!</v>
      </c>
      <c r="E33" s="39"/>
      <c r="F33" s="39"/>
      <c r="G33" s="40"/>
      <c r="P33" s="22"/>
    </row>
    <row r="34" spans="4:16" x14ac:dyDescent="0.25">
      <c r="D34" s="13" t="s">
        <v>4</v>
      </c>
      <c r="E34" s="39"/>
      <c r="F34" s="39"/>
      <c r="G34" s="40"/>
      <c r="P34" s="22"/>
    </row>
    <row r="35" spans="4:16" x14ac:dyDescent="0.25">
      <c r="D35" s="10" t="s">
        <v>18</v>
      </c>
      <c r="E35" s="39"/>
      <c r="F35" s="39"/>
      <c r="G35" s="40"/>
    </row>
    <row r="36" spans="4:16" x14ac:dyDescent="0.25">
      <c r="F36" s="5" t="e">
        <f>"(a) Se não souber, deixe por preencher. A ferramenta considerará "&amp;'Fatores de Emissão'!#REF!&amp;" anos, "&amp;'Fatores de Emissão'!#REF!&amp;" anos e "&amp;'Fatores de Emissão'!#REF!&amp;" ano, respetivamente."</f>
        <v>#REF!</v>
      </c>
    </row>
    <row r="37" spans="4:16" x14ac:dyDescent="0.25"/>
    <row r="38" spans="4:16" x14ac:dyDescent="0.25"/>
    <row r="39" spans="4:16" x14ac:dyDescent="0.25"/>
    <row r="40" spans="4:16" x14ac:dyDescent="0.25"/>
    <row r="41" spans="4:16" x14ac:dyDescent="0.25"/>
    <row r="42" spans="4:16" x14ac:dyDescent="0.25"/>
    <row r="43" spans="4:16" ht="29.45" customHeight="1" x14ac:dyDescent="0.25"/>
    <row r="44" spans="4:16" x14ac:dyDescent="0.25"/>
    <row r="45" spans="4:16" x14ac:dyDescent="0.25"/>
    <row r="46" spans="4:16" x14ac:dyDescent="0.25"/>
    <row r="47" spans="4:16" x14ac:dyDescent="0.25"/>
    <row r="48" spans="4:16" x14ac:dyDescent="0.25"/>
    <row r="49" x14ac:dyDescent="0.25"/>
    <row r="50" x14ac:dyDescent="0.25"/>
    <row r="51" x14ac:dyDescent="0.25"/>
    <row r="52" x14ac:dyDescent="0.25"/>
    <row r="53" x14ac:dyDescent="0.25"/>
    <row r="54" x14ac:dyDescent="0.25"/>
    <row r="57" x14ac:dyDescent="0.25"/>
    <row r="58" x14ac:dyDescent="0.25"/>
    <row r="59" x14ac:dyDescent="0.25"/>
    <row r="60" x14ac:dyDescent="0.25"/>
    <row r="61" x14ac:dyDescent="0.25"/>
  </sheetData>
  <sheetProtection selectLockedCells="1"/>
  <protectedRanges>
    <protectedRange sqref="E33:G35" name="DG2"/>
    <protectedRange sqref="E21:P23" name="DG1"/>
  </protectedRanges>
  <mergeCells count="7">
    <mergeCell ref="D30:T30"/>
    <mergeCell ref="B14:T14"/>
    <mergeCell ref="E6:O7"/>
    <mergeCell ref="D29:T29"/>
    <mergeCell ref="E21:P21"/>
    <mergeCell ref="E22:P22"/>
    <mergeCell ref="E23:P23"/>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9F39-19C6-4D03-8FA2-107077D7B76C}">
  <sheetPr codeName="Sheet20">
    <tabColor rgb="FFFFD757"/>
  </sheetPr>
  <dimension ref="A2:R20"/>
  <sheetViews>
    <sheetView showGridLines="0" zoomScale="65" zoomScaleNormal="65" workbookViewId="0"/>
  </sheetViews>
  <sheetFormatPr defaultColWidth="8.85546875" defaultRowHeight="15" x14ac:dyDescent="0.25"/>
  <cols>
    <col min="1" max="1" width="3.7109375" style="1115" customWidth="1"/>
    <col min="2" max="2" width="5.7109375" style="1115" customWidth="1"/>
    <col min="3" max="3" width="8.85546875" style="1115"/>
    <col min="4" max="4" width="37.85546875" style="1115" customWidth="1"/>
    <col min="5" max="5" width="40.7109375" style="1115" customWidth="1"/>
    <col min="6" max="10" width="8.85546875" style="1115"/>
    <col min="11" max="11" width="57.140625" style="1115" customWidth="1"/>
    <col min="12" max="12" width="28" style="1115" customWidth="1"/>
    <col min="13" max="16384" width="8.85546875" style="1115"/>
  </cols>
  <sheetData>
    <row r="2" spans="1:18" s="401" customFormat="1" ht="70.150000000000006" customHeight="1" x14ac:dyDescent="0.25">
      <c r="A2" s="297"/>
      <c r="B2" s="399"/>
      <c r="C2" s="400" t="s">
        <v>445</v>
      </c>
      <c r="D2" s="399"/>
      <c r="E2" s="399"/>
      <c r="F2" s="399"/>
      <c r="G2" s="399"/>
      <c r="H2" s="399"/>
      <c r="I2" s="399"/>
      <c r="J2" s="399"/>
      <c r="K2" s="399"/>
      <c r="L2" s="399"/>
      <c r="M2" s="399"/>
      <c r="N2" s="399"/>
    </row>
    <row r="3" spans="1:18" ht="15.75" thickBot="1" x14ac:dyDescent="0.3"/>
    <row r="4" spans="1:18" ht="21" customHeight="1" x14ac:dyDescent="0.25">
      <c r="C4" s="1609" t="s">
        <v>1313</v>
      </c>
      <c r="D4" s="1610"/>
      <c r="E4" s="1611"/>
      <c r="F4" s="1116"/>
      <c r="G4" s="1116"/>
      <c r="H4" s="1116"/>
      <c r="I4" s="1116"/>
      <c r="J4" s="1116"/>
      <c r="K4" s="1116"/>
      <c r="L4" s="1116"/>
      <c r="M4" s="1116"/>
      <c r="N4" s="1116"/>
      <c r="O4" s="1116"/>
      <c r="P4" s="1116"/>
      <c r="Q4" s="1116"/>
      <c r="R4" s="1116"/>
    </row>
    <row r="5" spans="1:18" ht="53.45" customHeight="1" thickBot="1" x14ac:dyDescent="0.3">
      <c r="C5" s="1612"/>
      <c r="D5" s="1613"/>
      <c r="E5" s="1614"/>
      <c r="F5" s="1116"/>
      <c r="G5" s="1116"/>
      <c r="H5" s="1116"/>
      <c r="I5" s="1116"/>
      <c r="J5" s="1116"/>
      <c r="K5" s="1116"/>
      <c r="L5" s="1116"/>
      <c r="M5" s="1116"/>
      <c r="N5" s="1116"/>
      <c r="O5" s="1116"/>
      <c r="P5" s="1116"/>
      <c r="Q5" s="1116"/>
      <c r="R5" s="1116"/>
    </row>
    <row r="6" spans="1:18" ht="15.75" thickBot="1" x14ac:dyDescent="0.3"/>
    <row r="7" spans="1:18" ht="35.450000000000003" customHeight="1" thickBot="1" x14ac:dyDescent="0.3">
      <c r="C7" s="1621" t="s">
        <v>752</v>
      </c>
      <c r="D7" s="1622"/>
      <c r="E7" s="1625"/>
      <c r="H7" s="1619"/>
      <c r="I7" s="1619"/>
      <c r="J7" s="1619"/>
      <c r="K7" s="1619"/>
      <c r="L7" s="1619"/>
    </row>
    <row r="8" spans="1:18" ht="26.45" customHeight="1" x14ac:dyDescent="0.25">
      <c r="C8" s="1621" t="s">
        <v>615</v>
      </c>
      <c r="D8" s="1622"/>
      <c r="E8" s="1121" t="s">
        <v>86</v>
      </c>
      <c r="H8" s="1620"/>
      <c r="I8" s="1620"/>
      <c r="J8" s="1620"/>
      <c r="K8" s="1620"/>
      <c r="L8" s="1117"/>
    </row>
    <row r="9" spans="1:18" ht="68.45" customHeight="1" x14ac:dyDescent="0.25">
      <c r="C9" s="1617" t="s">
        <v>1075</v>
      </c>
      <c r="D9" s="1618"/>
      <c r="E9" s="1226"/>
      <c r="H9" s="1608"/>
      <c r="I9" s="1608"/>
      <c r="J9" s="1608"/>
      <c r="K9" s="1608"/>
      <c r="L9" s="1118"/>
    </row>
    <row r="10" spans="1:18" ht="61.15" customHeight="1" x14ac:dyDescent="0.25">
      <c r="C10" s="1623" t="s">
        <v>754</v>
      </c>
      <c r="D10" s="1624"/>
      <c r="E10" s="1226"/>
      <c r="H10" s="1608"/>
      <c r="I10" s="1608"/>
      <c r="J10" s="1608"/>
      <c r="K10" s="1608"/>
      <c r="L10" s="1118"/>
    </row>
    <row r="11" spans="1:18" ht="66.599999999999994" customHeight="1" x14ac:dyDescent="0.25">
      <c r="C11" s="1623" t="s">
        <v>753</v>
      </c>
      <c r="D11" s="1624"/>
      <c r="E11" s="1226"/>
      <c r="H11" s="1605"/>
      <c r="I11" s="1605"/>
      <c r="J11" s="1605"/>
      <c r="K11" s="1605"/>
      <c r="L11" s="1119"/>
    </row>
    <row r="12" spans="1:18" ht="51.6" customHeight="1" thickBot="1" x14ac:dyDescent="0.3">
      <c r="C12" s="1615" t="s">
        <v>755</v>
      </c>
      <c r="D12" s="1616"/>
      <c r="E12" s="1227" t="str">
        <f>IFERROR((E10*E9)/E11,"")</f>
        <v/>
      </c>
    </row>
    <row r="15" spans="1:18" ht="84.6" customHeight="1" x14ac:dyDescent="0.25">
      <c r="C15" s="1607"/>
      <c r="D15" s="1607"/>
      <c r="E15" s="1607"/>
      <c r="H15" s="1607"/>
      <c r="I15" s="1607"/>
      <c r="J15" s="1607"/>
      <c r="K15" s="1607"/>
      <c r="L15" s="1607"/>
    </row>
    <row r="16" spans="1:18" ht="60" customHeight="1" x14ac:dyDescent="0.25">
      <c r="C16" s="1608"/>
      <c r="D16" s="1608"/>
      <c r="E16" s="1120"/>
      <c r="H16" s="1606"/>
      <c r="I16" s="1606"/>
      <c r="J16" s="1606"/>
      <c r="K16" s="1606"/>
    </row>
    <row r="17" spans="3:12" ht="60" customHeight="1" x14ac:dyDescent="0.25">
      <c r="C17" s="1608"/>
      <c r="D17" s="1608"/>
      <c r="H17" s="1606"/>
      <c r="I17" s="1606"/>
      <c r="J17" s="1606"/>
      <c r="K17" s="1606"/>
    </row>
    <row r="18" spans="3:12" ht="60" customHeight="1" x14ac:dyDescent="0.25">
      <c r="C18" s="1605"/>
      <c r="D18" s="1605"/>
      <c r="E18" s="1119"/>
      <c r="H18" s="1606"/>
      <c r="I18" s="1606"/>
      <c r="J18" s="1606"/>
      <c r="K18" s="1606"/>
    </row>
    <row r="19" spans="3:12" ht="54" customHeight="1" x14ac:dyDescent="0.25">
      <c r="H19" s="1604"/>
      <c r="I19" s="1604"/>
      <c r="J19" s="1604"/>
      <c r="K19" s="1604"/>
      <c r="L19" s="1119"/>
    </row>
    <row r="20" spans="3:12" ht="68.45" customHeight="1" x14ac:dyDescent="0.25">
      <c r="H20" s="1605"/>
      <c r="I20" s="1605"/>
      <c r="J20" s="1605"/>
      <c r="K20" s="1605"/>
      <c r="L20" s="1119"/>
    </row>
  </sheetData>
  <sheetProtection algorithmName="SHA-512" hashValue="eWdtnbBZ2B7R6J6HsTgiuU1b5rrvotEXjpRwQdoLtHdQuCUE0Q4mJWTO8ETTYm0RbdxT9UWd1s41uAy14YOaIQ==" saltValue="KTBRRiX/G0U8nEHIo4a9+A==" spinCount="100000" sheet="1" objects="1" scenarios="1" selectLockedCells="1"/>
  <mergeCells count="22">
    <mergeCell ref="C4:E5"/>
    <mergeCell ref="C12:D12"/>
    <mergeCell ref="C9:D9"/>
    <mergeCell ref="H10:K10"/>
    <mergeCell ref="H11:K11"/>
    <mergeCell ref="H7:L7"/>
    <mergeCell ref="H9:K9"/>
    <mergeCell ref="H8:K8"/>
    <mergeCell ref="C8:D8"/>
    <mergeCell ref="C10:D10"/>
    <mergeCell ref="C11:D11"/>
    <mergeCell ref="C7:E7"/>
    <mergeCell ref="H15:L15"/>
    <mergeCell ref="C15:E15"/>
    <mergeCell ref="C16:D16"/>
    <mergeCell ref="C17:D17"/>
    <mergeCell ref="C18:D18"/>
    <mergeCell ref="H19:K19"/>
    <mergeCell ref="H20:K20"/>
    <mergeCell ref="H16:K16"/>
    <mergeCell ref="H17:K17"/>
    <mergeCell ref="H18:K18"/>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9C721-6592-4652-8DFD-D5249EC2CD87}">
  <sheetPr codeName="Sheet8">
    <tabColor rgb="FFFFD757"/>
  </sheetPr>
  <dimension ref="A2:S28"/>
  <sheetViews>
    <sheetView showGridLines="0" zoomScale="70" zoomScaleNormal="70" workbookViewId="0">
      <pane ySplit="4" topLeftCell="A5" activePane="bottomLeft" state="frozen"/>
      <selection activeCell="D13" sqref="D13"/>
      <selection pane="bottomLeft"/>
    </sheetView>
  </sheetViews>
  <sheetFormatPr defaultRowHeight="15" x14ac:dyDescent="0.25"/>
  <cols>
    <col min="1" max="1" width="3.7109375" customWidth="1"/>
    <col min="2" max="2" width="99.140625" style="42" customWidth="1"/>
    <col min="3" max="3" width="96.85546875" style="910" customWidth="1"/>
    <col min="7" max="7" width="7.7109375" customWidth="1"/>
  </cols>
  <sheetData>
    <row r="2" spans="1:7" s="401" customFormat="1" ht="70.150000000000006" customHeight="1" x14ac:dyDescent="0.25">
      <c r="A2"/>
      <c r="B2" s="400" t="s">
        <v>446</v>
      </c>
      <c r="C2" s="459"/>
      <c r="D2" s="399"/>
    </row>
    <row r="3" spans="1:7" ht="15" customHeight="1" x14ac:dyDescent="0.25">
      <c r="B3" s="56"/>
      <c r="C3" s="996"/>
      <c r="D3" s="297"/>
    </row>
    <row r="4" spans="1:7" ht="40.15" customHeight="1" x14ac:dyDescent="0.25">
      <c r="B4" s="1195" t="s">
        <v>1107</v>
      </c>
      <c r="C4" s="1195" t="s">
        <v>85</v>
      </c>
      <c r="D4" s="297"/>
    </row>
    <row r="5" spans="1:7" x14ac:dyDescent="0.25">
      <c r="C5" s="1626"/>
      <c r="D5" s="1626"/>
      <c r="E5" s="1626"/>
      <c r="F5" s="1626"/>
    </row>
    <row r="6" spans="1:7" s="559" customFormat="1" ht="100.15" customHeight="1" x14ac:dyDescent="0.25">
      <c r="B6" s="558" t="s">
        <v>1088</v>
      </c>
      <c r="C6" s="1222" t="s">
        <v>472</v>
      </c>
    </row>
    <row r="7" spans="1:7" s="559" customFormat="1" ht="100.15" customHeight="1" x14ac:dyDescent="0.25">
      <c r="B7" s="558" t="s">
        <v>1089</v>
      </c>
      <c r="C7" s="1222" t="s">
        <v>472</v>
      </c>
    </row>
    <row r="8" spans="1:7" s="557" customFormat="1" ht="100.15" customHeight="1" x14ac:dyDescent="0.25">
      <c r="B8" s="558" t="s">
        <v>597</v>
      </c>
      <c r="C8" s="1222" t="s">
        <v>472</v>
      </c>
    </row>
    <row r="9" spans="1:7" s="559" customFormat="1" ht="100.15" customHeight="1" x14ac:dyDescent="0.25">
      <c r="B9" s="558" t="s">
        <v>601</v>
      </c>
      <c r="C9" s="1222" t="s">
        <v>472</v>
      </c>
    </row>
    <row r="10" spans="1:7" s="559" customFormat="1" ht="100.15" customHeight="1" x14ac:dyDescent="0.25">
      <c r="B10" s="558" t="s">
        <v>1079</v>
      </c>
      <c r="C10" s="1222" t="s">
        <v>472</v>
      </c>
      <c r="D10" s="558"/>
      <c r="E10" s="558"/>
      <c r="F10" s="558"/>
      <c r="G10" s="558"/>
    </row>
    <row r="11" spans="1:7" s="559" customFormat="1" ht="100.15" customHeight="1" x14ac:dyDescent="0.25">
      <c r="B11" s="558" t="s">
        <v>1087</v>
      </c>
      <c r="C11" s="558" t="s">
        <v>1083</v>
      </c>
      <c r="D11" s="558"/>
      <c r="E11" s="558"/>
      <c r="F11" s="558"/>
      <c r="G11" s="558"/>
    </row>
    <row r="12" spans="1:7" s="559" customFormat="1" ht="100.15" customHeight="1" x14ac:dyDescent="0.25">
      <c r="B12" s="558" t="s">
        <v>599</v>
      </c>
      <c r="C12" s="1222" t="s">
        <v>472</v>
      </c>
    </row>
    <row r="13" spans="1:7" s="559" customFormat="1" ht="100.15" customHeight="1" x14ac:dyDescent="0.25">
      <c r="B13" s="558" t="s">
        <v>1090</v>
      </c>
      <c r="C13" s="559" t="s">
        <v>1083</v>
      </c>
    </row>
    <row r="14" spans="1:7" s="559" customFormat="1" ht="123.6" customHeight="1" x14ac:dyDescent="0.25">
      <c r="B14" s="558" t="s">
        <v>1080</v>
      </c>
      <c r="C14" s="1222" t="s">
        <v>472</v>
      </c>
    </row>
    <row r="15" spans="1:7" s="559" customFormat="1" ht="52.15" customHeight="1" x14ac:dyDescent="0.25">
      <c r="B15" s="909" t="s">
        <v>1084</v>
      </c>
      <c r="C15" s="1223" t="s">
        <v>1085</v>
      </c>
      <c r="D15" s="558"/>
      <c r="E15" s="558"/>
      <c r="F15" s="558"/>
      <c r="G15" s="558"/>
    </row>
    <row r="16" spans="1:7" s="559" customFormat="1" ht="131.44999999999999" customHeight="1" x14ac:dyDescent="0.25">
      <c r="B16" s="909" t="s">
        <v>1076</v>
      </c>
      <c r="C16" s="1224" t="s">
        <v>1353</v>
      </c>
      <c r="D16" s="558"/>
      <c r="E16" s="558"/>
      <c r="F16" s="558"/>
      <c r="G16" s="558"/>
    </row>
    <row r="17" spans="2:19" s="559" customFormat="1" ht="100.15" customHeight="1" x14ac:dyDescent="0.25">
      <c r="B17" s="909" t="s">
        <v>1077</v>
      </c>
      <c r="C17" s="1225" t="s">
        <v>471</v>
      </c>
      <c r="D17" s="558"/>
      <c r="E17" s="558"/>
      <c r="F17" s="558"/>
      <c r="G17" s="558"/>
    </row>
    <row r="18" spans="2:19" s="559" customFormat="1" ht="162.6" customHeight="1" x14ac:dyDescent="0.25">
      <c r="B18" s="558" t="s">
        <v>602</v>
      </c>
      <c r="C18" s="1222" t="s">
        <v>563</v>
      </c>
      <c r="D18" s="558"/>
      <c r="E18" s="558"/>
      <c r="F18" s="558"/>
      <c r="G18" s="558"/>
    </row>
    <row r="19" spans="2:19" s="559" customFormat="1" ht="100.15" customHeight="1" x14ac:dyDescent="0.25">
      <c r="B19" s="558" t="s">
        <v>564</v>
      </c>
      <c r="C19" s="1222" t="s">
        <v>1081</v>
      </c>
      <c r="D19" s="558"/>
      <c r="E19" s="558"/>
      <c r="F19" s="558"/>
      <c r="G19" s="558"/>
    </row>
    <row r="20" spans="2:19" s="559" customFormat="1" ht="100.15" customHeight="1" x14ac:dyDescent="0.25">
      <c r="B20" s="909" t="s">
        <v>596</v>
      </c>
      <c r="C20" s="1225" t="s">
        <v>477</v>
      </c>
    </row>
    <row r="21" spans="2:19" s="559" customFormat="1" ht="100.15" customHeight="1" x14ac:dyDescent="0.25">
      <c r="B21" s="558" t="s">
        <v>598</v>
      </c>
      <c r="C21" s="1222" t="s">
        <v>472</v>
      </c>
    </row>
    <row r="22" spans="2:19" ht="100.15" customHeight="1" x14ac:dyDescent="0.25">
      <c r="B22" s="558" t="s">
        <v>600</v>
      </c>
      <c r="C22" s="1222" t="s">
        <v>472</v>
      </c>
      <c r="D22" s="558"/>
      <c r="E22" s="558"/>
      <c r="F22" s="558"/>
      <c r="G22" s="558"/>
      <c r="H22" s="558"/>
      <c r="I22" s="558"/>
      <c r="J22" s="558"/>
      <c r="K22" s="558"/>
      <c r="L22" s="558"/>
      <c r="M22" s="558"/>
      <c r="N22" s="558"/>
      <c r="O22" s="558"/>
      <c r="P22" s="558"/>
      <c r="Q22" s="558"/>
      <c r="R22" s="558"/>
      <c r="S22" s="558"/>
    </row>
    <row r="23" spans="2:19" ht="78" customHeight="1" x14ac:dyDescent="0.25">
      <c r="B23" s="558" t="s">
        <v>1082</v>
      </c>
      <c r="C23" s="558" t="s">
        <v>1083</v>
      </c>
    </row>
    <row r="24" spans="2:19" ht="100.15" customHeight="1" x14ac:dyDescent="0.25">
      <c r="B24" s="909" t="s">
        <v>1078</v>
      </c>
      <c r="C24" s="559" t="s">
        <v>1083</v>
      </c>
    </row>
    <row r="25" spans="2:19" ht="69.599999999999994" customHeight="1" x14ac:dyDescent="0.25">
      <c r="B25" s="909" t="s">
        <v>1086</v>
      </c>
      <c r="C25" s="1222" t="s">
        <v>471</v>
      </c>
    </row>
    <row r="26" spans="2:19" ht="40.15" customHeight="1" x14ac:dyDescent="0.25"/>
    <row r="27" spans="2:19" ht="40.15" customHeight="1" x14ac:dyDescent="0.25">
      <c r="B27" s="911"/>
    </row>
    <row r="28" spans="2:19" ht="17.45" customHeight="1" x14ac:dyDescent="0.25">
      <c r="B28" s="909"/>
    </row>
  </sheetData>
  <sheetProtection algorithmName="SHA-512" hashValue="v7xnu/AeXKzNFSehM+pceoW+baWs1cgEvP5K6OdkF6yl5MtsF0WnMceHArpP9KgDLdkGikQs4ksYY2On9uZ0Ow==" saltValue="H2zNgIybuF1+W8CPd3tMHA==" spinCount="100000" sheet="1" objects="1" scenarios="1"/>
  <sortState xmlns:xlrd2="http://schemas.microsoft.com/office/spreadsheetml/2017/richdata2" ref="B6:C25">
    <sortCondition ref="B6:B25"/>
  </sortState>
  <mergeCells count="1">
    <mergeCell ref="C5:F5"/>
  </mergeCells>
  <hyperlinks>
    <hyperlink ref="C16" r:id="rId1" display="https://www.amt-autoridade.pt/media/4491/amt05012023_.pdf" xr:uid="{34066B6A-B2DA-403B-B820-3EB6A4D272A1}"/>
    <hyperlink ref="C7" r:id="rId2" display="https://www.eib.org/en/publications/20220215-eib-project-carbon-footprint-methodologies" xr:uid="{F595351F-2A57-4705-985E-57EFDB034F81}"/>
    <hyperlink ref="C8" r:id="rId3" display="https://www.eib.org/en/publications/20220215-eib-project-carbon-footprint-methodologies" xr:uid="{76E906F8-3914-42C1-B265-FE908DAC62D7}"/>
    <hyperlink ref="C21" r:id="rId4" display="https://www.eib.org/en/publications/20220215-eib-project-carbon-footprint-methodologies" xr:uid="{9F1C443C-2C14-4DF6-AA1A-B2E68B396AD4}"/>
    <hyperlink ref="C10" r:id="rId5" display="https://www.eib.org/en/publications/20220215-eib-project-carbon-footprint-methodologies" xr:uid="{02CDE97D-A943-4F15-9CBF-EA4208EF4314}"/>
    <hyperlink ref="C12" r:id="rId6" display="https://www.eib.org/en/publications/20220215-eib-project-carbon-footprint-methodologies" xr:uid="{1A94AA6F-42A9-4291-BD1B-BCEEE73E4A89}"/>
    <hyperlink ref="C22" r:id="rId7" display="https://www.eib.org/en/publications/20220215-eib-project-carbon-footprint-methodologies" xr:uid="{D063830F-1CFF-4C79-BF74-6C6B7ECD2D79}"/>
    <hyperlink ref="C14" r:id="rId8" display="https://www.eib.org/en/publications/20220215-eib-project-carbon-footprint-methodologies" xr:uid="{51001B58-D7A3-48DA-BECF-33839E608CD6}"/>
    <hyperlink ref="C6" r:id="rId9" display="https://www.eib.org/en/publications/20220215-eib-project-carbon-footprint-methodologies" xr:uid="{DC1279DB-C271-479E-B3DC-BDD62520A73B}"/>
    <hyperlink ref="C20" r:id="rId10" display="https://files.sciencebasedtargets.org/production/files/Land-Transport-Guidance.pdf" xr:uid="{38BAF96B-8FC6-4B80-A9FD-0CA9DF51309B}"/>
    <hyperlink ref="C18" r:id="rId11" xr:uid="{041FE976-5531-49FF-869F-3926C1C8B3BE}"/>
    <hyperlink ref="C9" r:id="rId12" display="https://www.eib.org/en/publications/20220215-eib-project-carbon-footprint-methodologies" xr:uid="{F64CA664-AA7D-470E-8FAC-C0C7BEE2DD23}"/>
    <hyperlink ref="C15" r:id="rId13" xr:uid="{6911CA14-4BA9-4D9A-88B2-8B5735C7F112}"/>
    <hyperlink ref="C25" r:id="rId14" xr:uid="{9F82E705-0A1A-4484-B22E-9F0440EBE782}"/>
    <hyperlink ref="C19" r:id="rId15" location="N%C3%ADveis" display="Correspondência entre as NUTS 2013 e as NUTS 2024 ao nível do município" xr:uid="{C49ED903-21B7-4975-AB23-394E8340781C}"/>
  </hyperlinks>
  <pageMargins left="0.7" right="0.7" top="0.75" bottom="0.75" header="0.3" footer="0.3"/>
  <drawing r:id="rId1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1322-37B3-49B7-A5C7-3C6965906C3C}">
  <sheetPr codeName="Sheet28">
    <tabColor rgb="FFFFD757"/>
  </sheetPr>
  <dimension ref="A1:CH111"/>
  <sheetViews>
    <sheetView showGridLines="0" zoomScale="60" zoomScaleNormal="60" workbookViewId="0">
      <pane ySplit="2" topLeftCell="A3" activePane="bottomLeft" state="frozen"/>
      <selection activeCell="D13" sqref="D13"/>
      <selection pane="bottomLeft" activeCell="I6" sqref="I6:I7"/>
    </sheetView>
  </sheetViews>
  <sheetFormatPr defaultColWidth="8.7109375" defaultRowHeight="49.9" customHeight="1" outlineLevelRow="1" x14ac:dyDescent="0.25"/>
  <cols>
    <col min="1" max="1" width="3.7109375" style="5" customWidth="1"/>
    <col min="2" max="2" width="37.5703125" style="5" customWidth="1"/>
    <col min="3" max="3" width="51.5703125" style="19" customWidth="1"/>
    <col min="4" max="4" width="21.28515625" style="5" customWidth="1"/>
    <col min="5" max="5" width="28.7109375" style="5" customWidth="1"/>
    <col min="6" max="6" width="29.7109375" style="5" customWidth="1"/>
    <col min="7" max="7" width="30.140625" style="5" customWidth="1"/>
    <col min="8" max="8" width="28.28515625" style="5" customWidth="1"/>
    <col min="9" max="9" width="87.7109375" style="19" customWidth="1"/>
    <col min="10" max="10" width="35.7109375" style="5" customWidth="1"/>
    <col min="11" max="11" width="94.42578125" style="5" customWidth="1"/>
    <col min="12" max="12" width="24.28515625" style="5" hidden="1" customWidth="1"/>
    <col min="13" max="13" width="27.28515625" style="5" hidden="1" customWidth="1"/>
    <col min="14" max="14" width="25.28515625" style="5" hidden="1" customWidth="1"/>
    <col min="15" max="16" width="27.7109375" style="5" hidden="1" customWidth="1"/>
    <col min="17" max="17" width="36.42578125" style="5" hidden="1" customWidth="1"/>
    <col min="18" max="19" width="34.42578125" style="5" hidden="1" customWidth="1"/>
    <col min="20" max="20" width="11.7109375" style="5" hidden="1" customWidth="1"/>
    <col min="21" max="21" width="35.7109375" style="20" hidden="1" customWidth="1"/>
    <col min="22" max="22" width="15" style="5" hidden="1" customWidth="1"/>
    <col min="23" max="23" width="12.85546875" style="5" hidden="1" customWidth="1"/>
    <col min="24" max="24" width="13.140625" style="5" hidden="1" customWidth="1"/>
    <col min="25" max="25" width="11.42578125" style="5" hidden="1" customWidth="1"/>
    <col min="26" max="26" width="16.28515625" style="5" hidden="1" customWidth="1"/>
    <col min="27" max="27" width="15.85546875" style="5" hidden="1" customWidth="1"/>
    <col min="28" max="28" width="8.7109375" style="5" hidden="1" customWidth="1"/>
    <col min="29" max="29" width="9" style="5" hidden="1" customWidth="1"/>
    <col min="30" max="31" width="8.7109375" style="5" hidden="1" customWidth="1"/>
    <col min="32" max="32" width="24.7109375" style="20" hidden="1" customWidth="1"/>
    <col min="33" max="33" width="18.85546875" style="5" hidden="1" customWidth="1"/>
    <col min="34" max="34" width="14.7109375" style="5" hidden="1" customWidth="1"/>
    <col min="35" max="35" width="8.7109375" style="5" hidden="1" customWidth="1"/>
    <col min="36" max="36" width="9" style="5" hidden="1" customWidth="1"/>
    <col min="37" max="37" width="8.7109375" style="5" hidden="1" customWidth="1"/>
    <col min="38" max="38" width="14.7109375" style="5" hidden="1" customWidth="1"/>
    <col min="39" max="39" width="8.7109375" style="5" hidden="1" customWidth="1"/>
    <col min="40" max="40" width="12.85546875" style="5" hidden="1" customWidth="1"/>
    <col min="41" max="41" width="8.7109375" style="5" hidden="1" customWidth="1"/>
    <col min="42" max="42" width="11" style="5" hidden="1" customWidth="1"/>
    <col min="43" max="43" width="8.7109375" style="5" hidden="1" customWidth="1"/>
    <col min="44" max="44" width="11" style="5" hidden="1" customWidth="1"/>
    <col min="45" max="45" width="8.7109375" style="5" hidden="1" customWidth="1"/>
    <col min="46" max="46" width="11" style="5" hidden="1" customWidth="1"/>
    <col min="47" max="47" width="8.7109375" style="5" hidden="1" customWidth="1"/>
    <col min="48" max="66" width="8.7109375" style="5"/>
    <col min="67" max="67" width="11.7109375" style="5" bestFit="1" customWidth="1"/>
    <col min="68" max="78" width="8.7109375" style="5"/>
    <col min="79" max="79" width="11.7109375" style="5" bestFit="1" customWidth="1"/>
    <col min="80" max="16384" width="8.7109375" style="5"/>
  </cols>
  <sheetData>
    <row r="1" spans="1:34" ht="15" customHeight="1" x14ac:dyDescent="0.25"/>
    <row r="2" spans="1:34" s="401" customFormat="1" ht="70.150000000000006" customHeight="1" x14ac:dyDescent="0.25">
      <c r="A2"/>
      <c r="B2" s="1677" t="s">
        <v>81</v>
      </c>
      <c r="C2" s="1677"/>
      <c r="D2" s="399"/>
      <c r="E2" s="399"/>
      <c r="F2" s="399"/>
      <c r="G2" s="399"/>
      <c r="H2" s="399"/>
      <c r="I2" s="402"/>
      <c r="J2" s="399"/>
      <c r="K2" s="399"/>
      <c r="L2" s="399"/>
      <c r="M2" s="399"/>
      <c r="N2" s="399"/>
      <c r="O2" s="399"/>
      <c r="P2" s="399"/>
      <c r="Q2" s="399"/>
      <c r="R2" s="399"/>
      <c r="S2" s="399"/>
      <c r="T2" s="399"/>
      <c r="U2" s="922"/>
      <c r="V2" s="399"/>
      <c r="AF2" s="923"/>
    </row>
    <row r="3" spans="1:34" customFormat="1" ht="16.899999999999999" customHeight="1" x14ac:dyDescent="0.25">
      <c r="B3" s="289"/>
      <c r="C3" s="289"/>
      <c r="D3" s="297"/>
      <c r="E3" s="297"/>
      <c r="F3" s="297"/>
      <c r="G3" s="297"/>
      <c r="H3" s="297"/>
      <c r="I3" s="915"/>
      <c r="J3" s="297"/>
      <c r="K3" s="297"/>
      <c r="L3" s="297"/>
      <c r="M3" s="297"/>
      <c r="N3" s="297"/>
      <c r="O3" s="297"/>
      <c r="P3" s="297"/>
      <c r="Q3" s="297"/>
      <c r="R3" s="297"/>
      <c r="S3" s="297"/>
      <c r="T3" s="297"/>
      <c r="U3" s="916"/>
      <c r="V3" s="297"/>
      <c r="AF3" s="46"/>
    </row>
    <row r="4" spans="1:34" s="914" customFormat="1" ht="49.9" customHeight="1" outlineLevel="1" x14ac:dyDescent="0.25">
      <c r="A4" s="404"/>
      <c r="B4" s="912" t="s">
        <v>1235</v>
      </c>
      <c r="C4" s="913"/>
      <c r="D4" s="913"/>
      <c r="E4" s="913"/>
      <c r="I4" s="913"/>
      <c r="U4" s="924"/>
      <c r="AF4" s="924"/>
    </row>
    <row r="5" spans="1:34" s="404" customFormat="1" ht="19.899999999999999" customHeight="1" outlineLevel="1" thickBot="1" x14ac:dyDescent="0.3">
      <c r="B5" s="956"/>
      <c r="C5" s="405"/>
      <c r="D5" s="405"/>
      <c r="E5" s="405"/>
      <c r="I5" s="405"/>
      <c r="U5" s="753"/>
      <c r="AF5" s="753"/>
    </row>
    <row r="6" spans="1:34" s="404" customFormat="1" ht="49.9" customHeight="1" outlineLevel="1" x14ac:dyDescent="0.25">
      <c r="B6" s="1688" t="s">
        <v>1091</v>
      </c>
      <c r="C6" s="1643" t="s">
        <v>8</v>
      </c>
      <c r="D6" s="1641" t="s">
        <v>3</v>
      </c>
      <c r="E6" s="1641" t="s">
        <v>1234</v>
      </c>
      <c r="F6" s="1641" t="s">
        <v>191</v>
      </c>
      <c r="G6" s="1641" t="s">
        <v>1097</v>
      </c>
      <c r="H6" s="1641" t="s">
        <v>1095</v>
      </c>
      <c r="I6" s="1670" t="s">
        <v>1096</v>
      </c>
      <c r="J6" s="921"/>
      <c r="K6" s="1672"/>
      <c r="L6" s="1666" t="s">
        <v>7</v>
      </c>
      <c r="M6" s="1666" t="s">
        <v>8</v>
      </c>
      <c r="N6" s="1667" t="s">
        <v>3</v>
      </c>
      <c r="O6" s="1668" t="s">
        <v>245</v>
      </c>
      <c r="P6" s="1667" t="s">
        <v>3</v>
      </c>
      <c r="Q6" s="1671" t="s">
        <v>220</v>
      </c>
      <c r="R6" s="1665" t="s">
        <v>226</v>
      </c>
      <c r="S6" s="1665" t="s">
        <v>111</v>
      </c>
      <c r="T6" s="744"/>
      <c r="U6" s="753"/>
      <c r="V6" s="1696" t="s">
        <v>1266</v>
      </c>
      <c r="W6" s="1698" t="s">
        <v>1246</v>
      </c>
      <c r="X6" s="1698"/>
      <c r="Y6" s="1698"/>
      <c r="Z6" s="1698"/>
      <c r="AA6" s="1699"/>
      <c r="AB6" s="123"/>
      <c r="AC6" s="123"/>
      <c r="AD6" s="1700" t="s">
        <v>1247</v>
      </c>
      <c r="AE6" s="1700" t="s">
        <v>1242</v>
      </c>
      <c r="AF6" s="1700"/>
      <c r="AG6" s="1700"/>
      <c r="AH6" s="1700"/>
    </row>
    <row r="7" spans="1:34" s="404" customFormat="1" ht="27" customHeight="1" outlineLevel="1" x14ac:dyDescent="0.25">
      <c r="B7" s="1689"/>
      <c r="C7" s="1644"/>
      <c r="D7" s="1641"/>
      <c r="E7" s="1641"/>
      <c r="F7" s="1641"/>
      <c r="G7" s="1641"/>
      <c r="H7" s="1641"/>
      <c r="I7" s="1670"/>
      <c r="J7" s="921"/>
      <c r="K7" s="1672"/>
      <c r="L7" s="1666"/>
      <c r="M7" s="1666"/>
      <c r="N7" s="1667"/>
      <c r="O7" s="1669"/>
      <c r="P7" s="1667"/>
      <c r="Q7" s="1671"/>
      <c r="R7" s="1665"/>
      <c r="S7" s="1665"/>
      <c r="U7" s="753"/>
      <c r="V7" s="1697"/>
      <c r="W7" s="1701" t="s">
        <v>1248</v>
      </c>
      <c r="X7" s="1701"/>
      <c r="Y7" s="1701"/>
      <c r="Z7" s="1701"/>
      <c r="AA7" s="1702"/>
      <c r="AB7" s="123"/>
      <c r="AC7" s="123"/>
      <c r="AD7" s="1700"/>
      <c r="AE7" s="1701" t="s">
        <v>1248</v>
      </c>
      <c r="AF7" s="1701"/>
      <c r="AG7" s="1701"/>
      <c r="AH7" s="1701"/>
    </row>
    <row r="8" spans="1:34" s="404" customFormat="1" ht="49.9" customHeight="1" outlineLevel="1" x14ac:dyDescent="0.25">
      <c r="B8" s="959" t="s">
        <v>128</v>
      </c>
      <c r="C8" s="974" t="s">
        <v>127</v>
      </c>
      <c r="D8" s="927" t="s">
        <v>117</v>
      </c>
      <c r="E8" s="985">
        <v>0.107</v>
      </c>
      <c r="F8" s="961" t="s">
        <v>107</v>
      </c>
      <c r="G8" s="961" t="s">
        <v>107</v>
      </c>
      <c r="H8" s="986">
        <v>2023</v>
      </c>
      <c r="I8" s="1130" t="s">
        <v>1233</v>
      </c>
      <c r="J8" s="406"/>
      <c r="K8" s="917"/>
      <c r="L8" s="407" t="s">
        <v>218</v>
      </c>
      <c r="M8" s="408" t="s">
        <v>222</v>
      </c>
      <c r="N8" s="408" t="s">
        <v>219</v>
      </c>
      <c r="O8" s="409"/>
      <c r="P8" s="408" t="s">
        <v>219</v>
      </c>
      <c r="Q8" s="408">
        <f>3080.9*1000000</f>
        <v>3080900000</v>
      </c>
      <c r="R8" s="410">
        <v>2023</v>
      </c>
      <c r="S8" s="89" t="s">
        <v>108</v>
      </c>
      <c r="U8" s="753"/>
      <c r="V8" s="1697"/>
      <c r="W8" s="1701">
        <v>2024</v>
      </c>
      <c r="X8" s="1701"/>
      <c r="Y8" s="1701"/>
      <c r="Z8" s="1701"/>
      <c r="AA8" s="1702"/>
      <c r="AB8" s="123"/>
      <c r="AC8" s="123"/>
      <c r="AD8" s="1700"/>
      <c r="AE8" s="1701">
        <v>2024</v>
      </c>
      <c r="AF8" s="1701"/>
      <c r="AG8" s="1701"/>
      <c r="AH8" s="1701"/>
    </row>
    <row r="9" spans="1:34" s="404" customFormat="1" ht="49.9" customHeight="1" outlineLevel="1" x14ac:dyDescent="0.25">
      <c r="B9" s="1648" t="s">
        <v>1323</v>
      </c>
      <c r="C9" s="1065" t="s">
        <v>1324</v>
      </c>
      <c r="D9" s="928" t="s">
        <v>120</v>
      </c>
      <c r="E9" s="985">
        <f>(F9*E8)</f>
        <v>1.3839724576271188E-2</v>
      </c>
      <c r="F9" s="976">
        <f>((0.03663/0.177)/1.6)</f>
        <v>0.12934322033898307</v>
      </c>
      <c r="G9" s="969">
        <f>(((42.8+58.8+37.8)/1000)/1.6)</f>
        <v>8.712499999999998E-2</v>
      </c>
      <c r="H9" s="986" t="s">
        <v>1336</v>
      </c>
      <c r="I9" s="1260" t="s">
        <v>214</v>
      </c>
      <c r="J9" s="411"/>
      <c r="K9" s="917"/>
      <c r="L9" s="1662" t="s">
        <v>223</v>
      </c>
      <c r="M9" s="412" t="s">
        <v>224</v>
      </c>
      <c r="N9" s="412" t="s">
        <v>149</v>
      </c>
      <c r="O9" s="413"/>
      <c r="P9" s="412" t="s">
        <v>149</v>
      </c>
      <c r="Q9" s="412">
        <v>1791.2</v>
      </c>
      <c r="R9" s="414">
        <v>2023</v>
      </c>
      <c r="S9" s="89" t="s">
        <v>108</v>
      </c>
      <c r="U9" s="753"/>
      <c r="V9" s="1697"/>
      <c r="W9" s="1701" t="s">
        <v>918</v>
      </c>
      <c r="X9" s="1701"/>
      <c r="Y9" s="1701"/>
      <c r="Z9" s="1701"/>
      <c r="AA9" s="1702"/>
      <c r="AB9" s="123"/>
      <c r="AC9" s="123"/>
      <c r="AD9" s="1700"/>
      <c r="AE9" s="1701" t="s">
        <v>918</v>
      </c>
      <c r="AF9" s="1701"/>
      <c r="AG9" s="1701"/>
      <c r="AH9" s="1701"/>
    </row>
    <row r="10" spans="1:34" s="404" customFormat="1" ht="49.9" customHeight="1" outlineLevel="1" x14ac:dyDescent="0.25">
      <c r="B10" s="1648"/>
      <c r="C10" s="1065" t="s">
        <v>1325</v>
      </c>
      <c r="D10" s="928" t="s">
        <v>120</v>
      </c>
      <c r="E10" s="985">
        <f>(F10*E8)</f>
        <v>4.4243290960451981E-3</v>
      </c>
      <c r="F10" s="976">
        <f>((0.01171/0.177)/1.6)</f>
        <v>4.1348870056497178E-2</v>
      </c>
      <c r="G10" s="969">
        <f>(((57.2+16.3)/1000)/1.6)</f>
        <v>4.5937499999999992E-2</v>
      </c>
      <c r="H10" s="986" t="s">
        <v>1336</v>
      </c>
      <c r="I10" s="1260" t="s">
        <v>214</v>
      </c>
      <c r="J10" s="411"/>
      <c r="K10" s="917"/>
      <c r="L10" s="1663"/>
      <c r="M10" s="412" t="s">
        <v>225</v>
      </c>
      <c r="N10" s="412" t="s">
        <v>149</v>
      </c>
      <c r="O10" s="413"/>
      <c r="P10" s="412" t="s">
        <v>149</v>
      </c>
      <c r="Q10" s="412">
        <v>735</v>
      </c>
      <c r="R10" s="414">
        <v>2023</v>
      </c>
      <c r="S10" s="89" t="s">
        <v>108</v>
      </c>
      <c r="U10" s="753"/>
      <c r="V10" s="1697"/>
      <c r="W10" s="1135" t="s">
        <v>5</v>
      </c>
      <c r="X10" s="1135" t="s">
        <v>221</v>
      </c>
      <c r="Y10" s="1135" t="s">
        <v>1249</v>
      </c>
      <c r="Z10" s="1135" t="s">
        <v>1243</v>
      </c>
      <c r="AA10" s="1136" t="s">
        <v>1244</v>
      </c>
      <c r="AB10" s="123"/>
      <c r="AC10" s="123"/>
      <c r="AD10" s="1700"/>
      <c r="AE10" s="1135" t="s">
        <v>5</v>
      </c>
      <c r="AF10" s="1135" t="s">
        <v>221</v>
      </c>
      <c r="AG10" s="1135" t="s">
        <v>1243</v>
      </c>
      <c r="AH10" s="1135" t="s">
        <v>1244</v>
      </c>
    </row>
    <row r="11" spans="1:34" s="404" customFormat="1" ht="49.9" customHeight="1" outlineLevel="1" x14ac:dyDescent="0.25">
      <c r="B11" s="1648" t="s">
        <v>131</v>
      </c>
      <c r="C11" s="1065" t="s">
        <v>1326</v>
      </c>
      <c r="D11" s="928" t="s">
        <v>120</v>
      </c>
      <c r="E11" s="985">
        <f>(F11*E8)</f>
        <v>3.10086E-3</v>
      </c>
      <c r="F11" s="958">
        <v>2.8979999999999999E-2</v>
      </c>
      <c r="G11" s="969">
        <f>((1241.5*0.76)/1000)</f>
        <v>0.94353999999999993</v>
      </c>
      <c r="H11" s="926">
        <v>2024</v>
      </c>
      <c r="I11" s="1122" t="s">
        <v>1092</v>
      </c>
      <c r="J11" s="411"/>
      <c r="K11" s="917"/>
      <c r="L11" s="1664"/>
      <c r="M11" s="412" t="s">
        <v>5</v>
      </c>
      <c r="N11" s="412" t="s">
        <v>149</v>
      </c>
      <c r="O11" s="412"/>
      <c r="P11" s="412" t="s">
        <v>149</v>
      </c>
      <c r="Q11" s="412">
        <v>2527.1</v>
      </c>
      <c r="R11" s="414">
        <v>2023</v>
      </c>
      <c r="S11" s="89" t="s">
        <v>108</v>
      </c>
      <c r="U11" s="753"/>
      <c r="V11" s="1697"/>
      <c r="W11" s="1135" t="s">
        <v>1250</v>
      </c>
      <c r="X11" s="1135" t="s">
        <v>1250</v>
      </c>
      <c r="Y11" s="1135" t="s">
        <v>1250</v>
      </c>
      <c r="Z11" s="1135" t="s">
        <v>1251</v>
      </c>
      <c r="AA11" s="1136" t="s">
        <v>1251</v>
      </c>
      <c r="AB11" s="123"/>
      <c r="AC11" s="123"/>
      <c r="AD11" s="1700"/>
      <c r="AE11" s="1135" t="s">
        <v>1251</v>
      </c>
      <c r="AF11" s="1135" t="s">
        <v>1251</v>
      </c>
      <c r="AG11" s="1135" t="s">
        <v>1251</v>
      </c>
      <c r="AH11" s="1135" t="s">
        <v>1251</v>
      </c>
    </row>
    <row r="12" spans="1:34" s="404" customFormat="1" ht="49.9" customHeight="1" outlineLevel="1" x14ac:dyDescent="0.25">
      <c r="B12" s="1648"/>
      <c r="C12" s="1065" t="s">
        <v>1327</v>
      </c>
      <c r="D12" s="928" t="s">
        <v>120</v>
      </c>
      <c r="E12" s="985">
        <f>(F12*E8)</f>
        <v>3.10086E-3</v>
      </c>
      <c r="F12" s="958">
        <v>2.8979999999999999E-2</v>
      </c>
      <c r="G12" s="969">
        <f>(26/1000)</f>
        <v>2.5999999999999999E-2</v>
      </c>
      <c r="H12" s="926">
        <v>2024</v>
      </c>
      <c r="I12" s="1122" t="s">
        <v>1092</v>
      </c>
      <c r="J12" s="411"/>
      <c r="K12" s="917"/>
      <c r="L12" s="415"/>
      <c r="M12" s="412"/>
      <c r="N12" s="412"/>
      <c r="O12" s="412"/>
      <c r="P12" s="412"/>
      <c r="Q12" s="412"/>
      <c r="R12" s="414"/>
      <c r="S12" s="89"/>
      <c r="U12" s="753"/>
      <c r="V12" s="1137" t="s">
        <v>1245</v>
      </c>
      <c r="W12" s="1138" t="s">
        <v>152</v>
      </c>
      <c r="X12" s="1138" t="s">
        <v>152</v>
      </c>
      <c r="Y12" s="1138" t="s">
        <v>152</v>
      </c>
      <c r="Z12" s="1138" t="s">
        <v>1252</v>
      </c>
      <c r="AA12" s="1139" t="s">
        <v>1253</v>
      </c>
      <c r="AB12" s="123"/>
      <c r="AC12" s="123"/>
      <c r="AD12" s="1140" t="s">
        <v>1245</v>
      </c>
      <c r="AE12" s="1138" t="s">
        <v>152</v>
      </c>
      <c r="AF12" s="1138" t="s">
        <v>152</v>
      </c>
      <c r="AG12" s="1138" t="s">
        <v>1254</v>
      </c>
      <c r="AH12" s="1138" t="s">
        <v>1255</v>
      </c>
    </row>
    <row r="13" spans="1:34" s="404" customFormat="1" ht="49.9" customHeight="1" outlineLevel="1" x14ac:dyDescent="0.25">
      <c r="B13" s="1648"/>
      <c r="C13" s="1065" t="s">
        <v>1328</v>
      </c>
      <c r="D13" s="928" t="s">
        <v>120</v>
      </c>
      <c r="E13" s="985">
        <f>(F13*E8)</f>
        <v>4.3977E-3</v>
      </c>
      <c r="F13" s="958">
        <v>4.1099999999999998E-2</v>
      </c>
      <c r="G13" s="969">
        <v>0.01</v>
      </c>
      <c r="H13" s="926">
        <v>2025</v>
      </c>
      <c r="I13" s="1260" t="s">
        <v>215</v>
      </c>
      <c r="J13" s="416"/>
      <c r="K13" s="439"/>
      <c r="L13" s="417" t="s">
        <v>248</v>
      </c>
      <c r="M13" s="418" t="s">
        <v>125</v>
      </c>
      <c r="N13" s="418" t="s">
        <v>115</v>
      </c>
      <c r="O13" s="419" t="e">
        <f>Q13/#REF!</f>
        <v>#REF!</v>
      </c>
      <c r="P13" s="412" t="s">
        <v>115</v>
      </c>
      <c r="Q13" s="412">
        <v>3213105</v>
      </c>
      <c r="R13" s="414">
        <v>2023</v>
      </c>
      <c r="S13" s="89" t="s">
        <v>108</v>
      </c>
      <c r="U13" s="753"/>
      <c r="V13" s="1141" t="s">
        <v>527</v>
      </c>
      <c r="W13" s="1142" t="s">
        <v>1256</v>
      </c>
      <c r="X13" s="1142" t="s">
        <v>1257</v>
      </c>
      <c r="Y13" s="1142" t="s">
        <v>1258</v>
      </c>
      <c r="Z13" s="1143">
        <f>22655.3*1000</f>
        <v>22655300</v>
      </c>
      <c r="AA13" s="1144">
        <f>5361.5*1000</f>
        <v>5361500</v>
      </c>
      <c r="AB13" s="123"/>
      <c r="AC13" s="123"/>
      <c r="AD13" s="1145" t="s">
        <v>527</v>
      </c>
      <c r="AE13" s="1142" t="s">
        <v>1259</v>
      </c>
      <c r="AF13" s="1142" t="s">
        <v>1260</v>
      </c>
      <c r="AG13" s="1143">
        <v>519368.5</v>
      </c>
      <c r="AH13" s="1143">
        <v>17328</v>
      </c>
    </row>
    <row r="14" spans="1:34" s="404" customFormat="1" ht="49.9" customHeight="1" outlineLevel="1" x14ac:dyDescent="0.25">
      <c r="B14" s="959" t="s">
        <v>132</v>
      </c>
      <c r="C14" s="1065" t="s">
        <v>1329</v>
      </c>
      <c r="D14" s="928" t="s">
        <v>120</v>
      </c>
      <c r="E14" s="987">
        <f>(0.053*E8)</f>
        <v>5.6709999999999998E-3</v>
      </c>
      <c r="F14" s="958">
        <f>0.0531</f>
        <v>5.3100000000000001E-2</v>
      </c>
      <c r="G14" s="969">
        <f>(37/1000)</f>
        <v>3.6999999999999998E-2</v>
      </c>
      <c r="H14" s="926">
        <v>2024</v>
      </c>
      <c r="I14" s="1122" t="s">
        <v>1092</v>
      </c>
      <c r="J14" s="411"/>
      <c r="K14" s="917"/>
      <c r="L14" s="420"/>
      <c r="M14" s="418" t="s">
        <v>227</v>
      </c>
      <c r="N14" s="418" t="s">
        <v>115</v>
      </c>
      <c r="O14" s="419" t="e">
        <f>Q14/#REF!</f>
        <v>#REF!</v>
      </c>
      <c r="P14" s="412" t="s">
        <v>115</v>
      </c>
      <c r="Q14" s="412">
        <v>2213914</v>
      </c>
      <c r="R14" s="414">
        <v>2023</v>
      </c>
      <c r="S14" s="89" t="s">
        <v>108</v>
      </c>
      <c r="U14" s="753"/>
      <c r="V14" s="1146" t="s">
        <v>516</v>
      </c>
      <c r="W14" s="1138" t="s">
        <v>152</v>
      </c>
      <c r="X14" s="1138" t="s">
        <v>152</v>
      </c>
      <c r="Y14" s="1138" t="s">
        <v>152</v>
      </c>
      <c r="Z14" s="1138">
        <v>387.8</v>
      </c>
      <c r="AA14" s="1139" t="s">
        <v>152</v>
      </c>
      <c r="AB14" s="123"/>
      <c r="AC14" s="123"/>
      <c r="AD14" s="1673" t="s">
        <v>1261</v>
      </c>
      <c r="AE14" s="1673"/>
      <c r="AF14" s="1673"/>
      <c r="AG14" s="1673"/>
      <c r="AH14" s="1673"/>
    </row>
    <row r="15" spans="1:34" s="404" customFormat="1" ht="49.9" customHeight="1" outlineLevel="1" x14ac:dyDescent="0.25">
      <c r="B15" s="1681" t="s">
        <v>129</v>
      </c>
      <c r="C15" s="1678" t="s">
        <v>1330</v>
      </c>
      <c r="D15" s="927" t="s">
        <v>250</v>
      </c>
      <c r="E15" s="988">
        <f>(E8*F15)</f>
        <v>7.5408249999999996E-2</v>
      </c>
      <c r="F15" s="958">
        <f>(281.9/400)</f>
        <v>0.70474999999999999</v>
      </c>
      <c r="G15" s="958">
        <f>(210/1000)</f>
        <v>0.21</v>
      </c>
      <c r="H15" s="986" t="s">
        <v>1336</v>
      </c>
      <c r="I15" s="929" t="s">
        <v>274</v>
      </c>
      <c r="J15" s="411"/>
      <c r="K15" s="917"/>
      <c r="L15" s="421"/>
      <c r="M15" s="418"/>
      <c r="N15" s="418"/>
      <c r="O15" s="419"/>
      <c r="P15" s="412"/>
      <c r="Q15" s="412"/>
      <c r="R15" s="414"/>
      <c r="S15" s="89"/>
      <c r="U15" s="753"/>
      <c r="V15" s="1141" t="s">
        <v>517</v>
      </c>
      <c r="W15" s="1142" t="s">
        <v>152</v>
      </c>
      <c r="X15" s="1142" t="s">
        <v>152</v>
      </c>
      <c r="Y15" s="1142" t="s">
        <v>152</v>
      </c>
      <c r="Z15" s="1142" t="s">
        <v>152</v>
      </c>
      <c r="AA15" s="1147" t="s">
        <v>152</v>
      </c>
      <c r="AB15" s="123"/>
      <c r="AC15" s="123"/>
      <c r="AD15" s="123"/>
      <c r="AE15" s="123"/>
      <c r="AF15" s="123"/>
      <c r="AG15" s="123"/>
      <c r="AH15" s="123"/>
    </row>
    <row r="16" spans="1:34" s="404" customFormat="1" ht="49.9" customHeight="1" outlineLevel="1" thickBot="1" x14ac:dyDescent="0.3">
      <c r="B16" s="1682"/>
      <c r="C16" s="1678"/>
      <c r="D16" s="927" t="s">
        <v>122</v>
      </c>
      <c r="E16" s="988">
        <f>(40*0.17)</f>
        <v>6.8000000000000007</v>
      </c>
      <c r="F16" s="958">
        <f>E16</f>
        <v>6.8000000000000007</v>
      </c>
      <c r="G16" s="982">
        <f>E16</f>
        <v>6.8000000000000007</v>
      </c>
      <c r="H16" s="926">
        <v>2023</v>
      </c>
      <c r="I16" s="929" t="s">
        <v>931</v>
      </c>
      <c r="J16" s="411"/>
      <c r="K16" s="917"/>
      <c r="L16" s="421"/>
      <c r="M16" s="418"/>
      <c r="N16" s="418"/>
      <c r="O16" s="419"/>
      <c r="P16" s="412"/>
      <c r="Q16" s="412"/>
      <c r="R16" s="414"/>
      <c r="S16" s="89"/>
      <c r="U16" s="753"/>
      <c r="V16" s="1674" t="s">
        <v>1262</v>
      </c>
      <c r="W16" s="1675"/>
      <c r="X16" s="1675"/>
      <c r="Y16" s="1675"/>
      <c r="Z16" s="1675"/>
      <c r="AA16" s="1676"/>
      <c r="AB16" s="123"/>
      <c r="AC16" s="123"/>
      <c r="AD16" s="123"/>
      <c r="AE16" s="123"/>
      <c r="AF16" s="123"/>
      <c r="AG16" s="123"/>
      <c r="AH16" s="123"/>
    </row>
    <row r="17" spans="2:34" s="404" customFormat="1" ht="49.9" customHeight="1" outlineLevel="1" x14ac:dyDescent="0.25">
      <c r="B17" s="1682"/>
      <c r="C17" s="1678"/>
      <c r="D17" s="928" t="s">
        <v>120</v>
      </c>
      <c r="E17" s="987">
        <f>(E15/E16)</f>
        <v>1.1089448529411763E-2</v>
      </c>
      <c r="F17" s="969">
        <f>F15/F16</f>
        <v>0.10363970588235293</v>
      </c>
      <c r="G17" s="989">
        <f>(G15/G16)</f>
        <v>3.0882352941176465E-2</v>
      </c>
      <c r="H17" s="926">
        <v>2025</v>
      </c>
      <c r="I17" s="929" t="s">
        <v>214</v>
      </c>
      <c r="J17" s="411"/>
      <c r="K17" s="917"/>
      <c r="L17" s="421"/>
      <c r="M17" s="418"/>
      <c r="N17" s="418"/>
      <c r="O17" s="419"/>
      <c r="P17" s="412"/>
      <c r="Q17" s="412"/>
      <c r="R17" s="414"/>
      <c r="S17" s="89"/>
      <c r="U17" s="753"/>
      <c r="V17" s="123"/>
      <c r="W17" s="123"/>
      <c r="X17" s="123"/>
      <c r="Y17" s="123"/>
      <c r="Z17" s="123"/>
      <c r="AA17" s="123"/>
      <c r="AB17" s="123"/>
      <c r="AC17" s="123"/>
      <c r="AD17" s="123"/>
      <c r="AE17" s="123"/>
      <c r="AF17" s="123"/>
      <c r="AG17" s="123"/>
      <c r="AH17" s="123"/>
    </row>
    <row r="18" spans="2:34" s="404" customFormat="1" ht="49.9" customHeight="1" outlineLevel="1" x14ac:dyDescent="0.25">
      <c r="B18" s="1682"/>
      <c r="C18" s="1678"/>
      <c r="D18" s="927" t="s">
        <v>934</v>
      </c>
      <c r="E18" s="988">
        <f>(E15/(40*0.2))</f>
        <v>9.4260312499999995E-3</v>
      </c>
      <c r="F18" s="1067">
        <f>(F15/(60*0.39))</f>
        <v>3.0117521367521365E-2</v>
      </c>
      <c r="G18" s="982">
        <f>(G15/(40*0.2))</f>
        <v>2.6249999999999999E-2</v>
      </c>
      <c r="H18" s="926">
        <v>2025</v>
      </c>
      <c r="I18" s="929" t="s">
        <v>932</v>
      </c>
      <c r="J18" s="411"/>
      <c r="K18" s="917"/>
      <c r="L18" s="421"/>
      <c r="M18" s="418"/>
      <c r="N18" s="418"/>
      <c r="O18" s="419"/>
      <c r="P18" s="412"/>
      <c r="Q18" s="412"/>
      <c r="R18" s="414"/>
      <c r="S18" s="89"/>
      <c r="U18" s="753"/>
      <c r="V18" s="1148" t="s">
        <v>1263</v>
      </c>
      <c r="W18" s="123"/>
      <c r="X18" s="123"/>
      <c r="Y18" s="123"/>
      <c r="Z18" s="123"/>
      <c r="AA18" s="123"/>
      <c r="AB18" s="123"/>
      <c r="AC18" s="123"/>
      <c r="AD18" s="123"/>
      <c r="AE18" s="123"/>
      <c r="AF18" s="123"/>
      <c r="AG18" s="123"/>
      <c r="AH18" s="123"/>
    </row>
    <row r="19" spans="2:34" s="404" customFormat="1" ht="49.9" customHeight="1" outlineLevel="1" x14ac:dyDescent="0.25">
      <c r="B19" s="1682"/>
      <c r="C19" s="1678"/>
      <c r="D19" s="927" t="s">
        <v>935</v>
      </c>
      <c r="E19" s="988">
        <f>(E15/(40*0.33))</f>
        <v>5.7127462121212115E-3</v>
      </c>
      <c r="F19" s="1067">
        <f>(F15/(60*0.33))</f>
        <v>3.5593434343434344E-2</v>
      </c>
      <c r="G19" s="982">
        <f>(G15/(40*0.33))</f>
        <v>1.5909090909090907E-2</v>
      </c>
      <c r="H19" s="926">
        <v>2025</v>
      </c>
      <c r="I19" s="929" t="s">
        <v>933</v>
      </c>
      <c r="J19" s="422"/>
      <c r="K19" s="737"/>
      <c r="L19" s="423"/>
      <c r="M19" s="418" t="s">
        <v>230</v>
      </c>
      <c r="N19" s="418" t="s">
        <v>115</v>
      </c>
      <c r="O19" s="419" t="e">
        <f>Q19/#REF!</f>
        <v>#REF!</v>
      </c>
      <c r="P19" s="412" t="s">
        <v>115</v>
      </c>
      <c r="Q19" s="412">
        <v>75505</v>
      </c>
      <c r="R19" s="412"/>
      <c r="S19" s="414"/>
      <c r="U19" s="753"/>
      <c r="V19" s="123"/>
      <c r="W19" s="123"/>
      <c r="X19" s="123"/>
      <c r="Y19" s="123"/>
      <c r="Z19" s="123"/>
      <c r="AA19" s="123"/>
      <c r="AB19" s="123"/>
      <c r="AC19" s="123"/>
      <c r="AD19" s="123"/>
      <c r="AE19" s="123"/>
      <c r="AF19" s="123"/>
      <c r="AG19" s="123"/>
      <c r="AH19" s="123"/>
    </row>
    <row r="20" spans="2:34" s="404" customFormat="1" ht="49.9" customHeight="1" outlineLevel="1" x14ac:dyDescent="0.25">
      <c r="B20" s="1682"/>
      <c r="C20" s="1678" t="s">
        <v>1331</v>
      </c>
      <c r="D20" s="927" t="s">
        <v>250</v>
      </c>
      <c r="E20" s="988">
        <f>(F20*E8)</f>
        <v>0.14659</v>
      </c>
      <c r="F20" s="958">
        <v>1.37</v>
      </c>
      <c r="G20" s="958">
        <f>(210/1000)</f>
        <v>0.21</v>
      </c>
      <c r="H20" s="926">
        <v>2020</v>
      </c>
      <c r="I20" s="1123" t="s">
        <v>273</v>
      </c>
      <c r="J20" s="422"/>
      <c r="K20" s="737"/>
      <c r="L20" s="423"/>
      <c r="M20" s="418"/>
      <c r="N20" s="418"/>
      <c r="O20" s="419"/>
      <c r="P20" s="412"/>
      <c r="Q20" s="412"/>
      <c r="R20" s="412"/>
      <c r="S20" s="414"/>
      <c r="U20" s="753"/>
      <c r="V20" s="123"/>
      <c r="W20" s="123"/>
      <c r="X20" s="123" t="s">
        <v>1264</v>
      </c>
      <c r="Y20" s="123"/>
      <c r="Z20" s="123" t="s">
        <v>1244</v>
      </c>
      <c r="AA20" s="123"/>
      <c r="AB20" s="247" t="s">
        <v>1267</v>
      </c>
      <c r="AC20" s="123"/>
      <c r="AD20" s="123"/>
      <c r="AE20" s="123"/>
      <c r="AF20" s="123"/>
      <c r="AG20" s="123"/>
      <c r="AH20" s="123"/>
    </row>
    <row r="21" spans="2:34" s="404" customFormat="1" ht="49.9" customHeight="1" outlineLevel="1" x14ac:dyDescent="0.25">
      <c r="B21" s="1682"/>
      <c r="C21" s="1678"/>
      <c r="D21" s="927" t="s">
        <v>213</v>
      </c>
      <c r="E21" s="988">
        <f>(85*0.17)</f>
        <v>14.450000000000001</v>
      </c>
      <c r="F21" s="958">
        <f>E21</f>
        <v>14.450000000000001</v>
      </c>
      <c r="G21" s="982">
        <f>E21</f>
        <v>14.450000000000001</v>
      </c>
      <c r="H21" s="986">
        <v>2023</v>
      </c>
      <c r="I21" s="929" t="s">
        <v>931</v>
      </c>
      <c r="J21" s="422"/>
      <c r="K21" s="737"/>
      <c r="L21" s="423"/>
      <c r="M21" s="418"/>
      <c r="N21" s="418"/>
      <c r="O21" s="419"/>
      <c r="P21" s="412"/>
      <c r="Q21" s="412"/>
      <c r="R21" s="412"/>
      <c r="S21" s="414"/>
      <c r="U21" s="753"/>
      <c r="V21" s="123" t="s">
        <v>1265</v>
      </c>
      <c r="W21" s="123"/>
      <c r="X21" s="1149">
        <f>(AG13/Z13)*100</f>
        <v>2.2924812295577635</v>
      </c>
      <c r="Y21" s="123"/>
      <c r="Z21" s="1149">
        <f>(AH13/AA13)*100</f>
        <v>0.323193136249184</v>
      </c>
      <c r="AA21" s="123"/>
      <c r="AB21" s="123"/>
      <c r="AC21" s="123"/>
      <c r="AD21" s="123"/>
      <c r="AE21" s="123"/>
      <c r="AF21" s="123"/>
      <c r="AG21" s="123"/>
      <c r="AH21" s="123"/>
    </row>
    <row r="22" spans="2:34" s="404" customFormat="1" ht="49.9" customHeight="1" outlineLevel="1" x14ac:dyDescent="0.25">
      <c r="B22" s="1682"/>
      <c r="C22" s="1678"/>
      <c r="D22" s="928" t="s">
        <v>120</v>
      </c>
      <c r="E22" s="987">
        <f>(E20/E21)</f>
        <v>1.014463667820069E-2</v>
      </c>
      <c r="F22" s="969">
        <f>(F20/F21)</f>
        <v>9.4809688581314874E-2</v>
      </c>
      <c r="G22" s="969">
        <f>(G20/G21)</f>
        <v>1.4532871972318338E-2</v>
      </c>
      <c r="H22" s="986">
        <v>2025</v>
      </c>
      <c r="I22" s="929" t="s">
        <v>214</v>
      </c>
      <c r="J22" s="422"/>
      <c r="K22" s="737"/>
      <c r="L22" s="423"/>
      <c r="M22" s="418"/>
      <c r="N22" s="418"/>
      <c r="O22" s="419"/>
      <c r="P22" s="412"/>
      <c r="Q22" s="412"/>
      <c r="R22" s="412"/>
      <c r="S22" s="414"/>
      <c r="U22" s="753"/>
      <c r="AF22" s="753"/>
    </row>
    <row r="23" spans="2:34" s="404" customFormat="1" ht="49.9" customHeight="1" outlineLevel="1" x14ac:dyDescent="0.25">
      <c r="B23" s="1682"/>
      <c r="C23" s="1678"/>
      <c r="D23" s="927" t="s">
        <v>934</v>
      </c>
      <c r="E23" s="988">
        <f>(E20/(85*0.2))</f>
        <v>8.6229411764705884E-3</v>
      </c>
      <c r="F23" s="1066">
        <f>(F20/(85*0.2))</f>
        <v>8.0588235294117655E-2</v>
      </c>
      <c r="G23" s="982">
        <f>(G20/(85*0.2))</f>
        <v>1.2352941176470587E-2</v>
      </c>
      <c r="H23" s="986">
        <v>2025</v>
      </c>
      <c r="I23" s="929" t="s">
        <v>932</v>
      </c>
      <c r="J23" s="422"/>
      <c r="K23" s="737"/>
      <c r="L23" s="423"/>
      <c r="M23" s="418"/>
      <c r="N23" s="418"/>
      <c r="O23" s="419"/>
      <c r="P23" s="412"/>
      <c r="Q23" s="412"/>
      <c r="R23" s="412"/>
      <c r="S23" s="414"/>
      <c r="U23" s="753"/>
      <c r="AF23" s="753"/>
    </row>
    <row r="24" spans="2:34" s="404" customFormat="1" ht="49.9" customHeight="1" outlineLevel="1" x14ac:dyDescent="0.25">
      <c r="B24" s="1682"/>
      <c r="C24" s="1678"/>
      <c r="D24" s="927" t="s">
        <v>935</v>
      </c>
      <c r="E24" s="988">
        <f>(E20/(85*0.33))</f>
        <v>5.2260249554367203E-3</v>
      </c>
      <c r="F24" s="958">
        <f>(F20/(85*0.33))</f>
        <v>4.8841354723707667E-2</v>
      </c>
      <c r="G24" s="958">
        <f>(G20/(85*0.33))</f>
        <v>7.4866310160427805E-3</v>
      </c>
      <c r="H24" s="986">
        <v>2025</v>
      </c>
      <c r="I24" s="929" t="s">
        <v>933</v>
      </c>
      <c r="J24" s="424"/>
      <c r="K24" s="918"/>
      <c r="L24" s="1693"/>
      <c r="M24" s="418" t="s">
        <v>228</v>
      </c>
      <c r="N24" s="418" t="s">
        <v>115</v>
      </c>
      <c r="O24" s="419" t="e">
        <f>Q24/#REF!</f>
        <v>#REF!</v>
      </c>
      <c r="P24" s="412" t="s">
        <v>115</v>
      </c>
      <c r="Q24" s="412">
        <v>110649</v>
      </c>
      <c r="R24" s="412">
        <v>2023</v>
      </c>
      <c r="S24" s="414" t="s">
        <v>108</v>
      </c>
      <c r="U24" s="753"/>
      <c r="AF24" s="753"/>
    </row>
    <row r="25" spans="2:34" s="404" customFormat="1" ht="49.9" customHeight="1" outlineLevel="1" x14ac:dyDescent="0.25">
      <c r="B25" s="1682"/>
      <c r="C25" s="1678" t="s">
        <v>1332</v>
      </c>
      <c r="D25" s="927" t="s">
        <v>250</v>
      </c>
      <c r="E25" s="988">
        <f>(F25*E8)</f>
        <v>1.7833333333333333E-2</v>
      </c>
      <c r="F25" s="958">
        <f>(100/600)</f>
        <v>0.16666666666666666</v>
      </c>
      <c r="G25" s="958">
        <f>(169/1000)</f>
        <v>0.16900000000000001</v>
      </c>
      <c r="H25" s="986" t="s">
        <v>1336</v>
      </c>
      <c r="I25" s="929" t="s">
        <v>214</v>
      </c>
      <c r="J25" s="424"/>
      <c r="K25" s="918"/>
      <c r="L25" s="1693"/>
      <c r="M25" s="418" t="s">
        <v>231</v>
      </c>
      <c r="N25" s="418" t="s">
        <v>115</v>
      </c>
      <c r="O25" s="419" t="e">
        <f>Q25/#REF!</f>
        <v>#REF!</v>
      </c>
      <c r="P25" s="412" t="s">
        <v>115</v>
      </c>
      <c r="Q25" s="412">
        <v>96957</v>
      </c>
      <c r="R25" s="412">
        <v>2023</v>
      </c>
      <c r="S25" s="414" t="s">
        <v>108</v>
      </c>
      <c r="U25" s="753"/>
      <c r="AF25" s="753"/>
    </row>
    <row r="26" spans="2:34" s="404" customFormat="1" ht="49.9" customHeight="1" outlineLevel="1" x14ac:dyDescent="0.25">
      <c r="B26" s="1682"/>
      <c r="C26" s="1678"/>
      <c r="D26" s="927" t="s">
        <v>213</v>
      </c>
      <c r="E26" s="988">
        <f>(85*0.17)</f>
        <v>14.450000000000001</v>
      </c>
      <c r="F26" s="958">
        <f>E26</f>
        <v>14.450000000000001</v>
      </c>
      <c r="G26" s="981">
        <f>E26</f>
        <v>14.450000000000001</v>
      </c>
      <c r="H26" s="986">
        <v>2023</v>
      </c>
      <c r="I26" s="929" t="s">
        <v>931</v>
      </c>
      <c r="J26" s="424"/>
      <c r="K26" s="918"/>
      <c r="L26" s="1693"/>
      <c r="M26" s="418"/>
      <c r="N26" s="418"/>
      <c r="O26" s="419"/>
      <c r="P26" s="412"/>
      <c r="Q26" s="412"/>
      <c r="R26" s="412"/>
      <c r="S26" s="414"/>
      <c r="U26" s="753"/>
      <c r="AF26" s="753"/>
    </row>
    <row r="27" spans="2:34" s="404" customFormat="1" ht="49.9" customHeight="1" outlineLevel="1" x14ac:dyDescent="0.25">
      <c r="B27" s="1682"/>
      <c r="C27" s="1678"/>
      <c r="D27" s="928" t="s">
        <v>120</v>
      </c>
      <c r="E27" s="987">
        <f>($E$25/E26)</f>
        <v>1.2341407151095732E-3</v>
      </c>
      <c r="F27" s="969">
        <f>(F25/F26)</f>
        <v>1.1534025374855823E-2</v>
      </c>
      <c r="G27" s="969">
        <f>(G25/G26)</f>
        <v>1.1695501730103806E-2</v>
      </c>
      <c r="H27" s="986">
        <v>2025</v>
      </c>
      <c r="I27" s="929" t="s">
        <v>214</v>
      </c>
      <c r="J27" s="424"/>
      <c r="K27" s="918"/>
      <c r="L27" s="1693"/>
      <c r="M27" s="418"/>
      <c r="N27" s="418"/>
      <c r="O27" s="419"/>
      <c r="P27" s="412"/>
      <c r="Q27" s="412"/>
      <c r="R27" s="412"/>
      <c r="S27" s="414"/>
      <c r="U27" s="753"/>
      <c r="AF27" s="753"/>
    </row>
    <row r="28" spans="2:34" s="404" customFormat="1" ht="49.9" customHeight="1" outlineLevel="1" x14ac:dyDescent="0.25">
      <c r="B28" s="1682"/>
      <c r="C28" s="1678"/>
      <c r="D28" s="927" t="s">
        <v>934</v>
      </c>
      <c r="E28" s="988">
        <f>($E$25/(85*0.2))</f>
        <v>1.0490196078431371E-3</v>
      </c>
      <c r="F28" s="958">
        <f>(F25/(85*0.2))</f>
        <v>9.8039215686274508E-3</v>
      </c>
      <c r="G28" s="958">
        <f>($G$25/(85*0.2))</f>
        <v>9.9411764705882363E-3</v>
      </c>
      <c r="H28" s="926">
        <v>2025</v>
      </c>
      <c r="I28" s="929" t="s">
        <v>932</v>
      </c>
      <c r="J28" s="424"/>
      <c r="K28" s="918"/>
      <c r="L28" s="1693"/>
      <c r="M28" s="418"/>
      <c r="N28" s="418"/>
      <c r="O28" s="419"/>
      <c r="P28" s="412"/>
      <c r="Q28" s="412"/>
      <c r="R28" s="412"/>
      <c r="S28" s="414"/>
      <c r="U28" s="753"/>
      <c r="AF28" s="753"/>
    </row>
    <row r="29" spans="2:34" s="404" customFormat="1" ht="49.9" customHeight="1" outlineLevel="1" x14ac:dyDescent="0.25">
      <c r="B29" s="1682"/>
      <c r="C29" s="1678"/>
      <c r="D29" s="927" t="s">
        <v>935</v>
      </c>
      <c r="E29" s="988">
        <f>($E$25/(85*0.33))</f>
        <v>6.3576945929887108E-4</v>
      </c>
      <c r="F29" s="958">
        <f>(F25/(85*0.33))</f>
        <v>5.9417706476530005E-3</v>
      </c>
      <c r="G29" s="958">
        <f>($G$25/(85*0.33))</f>
        <v>6.0249554367201429E-3</v>
      </c>
      <c r="H29" s="986">
        <v>2025</v>
      </c>
      <c r="I29" s="929" t="s">
        <v>933</v>
      </c>
      <c r="J29" s="424"/>
      <c r="K29" s="918"/>
      <c r="L29" s="1693"/>
      <c r="M29" s="418"/>
      <c r="N29" s="418"/>
      <c r="O29" s="419"/>
      <c r="P29" s="412"/>
      <c r="Q29" s="412"/>
      <c r="R29" s="412"/>
      <c r="S29" s="414"/>
      <c r="U29" s="753"/>
      <c r="AF29" s="753"/>
    </row>
    <row r="30" spans="2:34" s="404" customFormat="1" ht="49.9" customHeight="1" outlineLevel="1" x14ac:dyDescent="0.25">
      <c r="B30" s="1682"/>
      <c r="C30" s="1678" t="s">
        <v>1333</v>
      </c>
      <c r="D30" s="927" t="s">
        <v>250</v>
      </c>
      <c r="E30" s="988">
        <f>(F30*E8)</f>
        <v>0.14765999999999999</v>
      </c>
      <c r="F30" s="970">
        <f>(621/450)</f>
        <v>1.38</v>
      </c>
      <c r="G30" s="958">
        <f>(261/1000)</f>
        <v>0.26100000000000001</v>
      </c>
      <c r="H30" s="986" t="s">
        <v>1336</v>
      </c>
      <c r="I30" s="929" t="s">
        <v>214</v>
      </c>
      <c r="J30" s="411"/>
      <c r="K30" s="917"/>
      <c r="L30" s="1695"/>
      <c r="M30" s="426" t="s">
        <v>232</v>
      </c>
      <c r="N30" s="418" t="s">
        <v>115</v>
      </c>
      <c r="O30" s="419" t="e">
        <f>Q30/#REF!</f>
        <v>#REF!</v>
      </c>
      <c r="P30" s="412" t="s">
        <v>115</v>
      </c>
      <c r="Q30" s="412">
        <v>136359</v>
      </c>
      <c r="R30" s="412">
        <v>2023</v>
      </c>
      <c r="S30" s="414" t="s">
        <v>108</v>
      </c>
      <c r="U30" s="753"/>
      <c r="AF30" s="753"/>
    </row>
    <row r="31" spans="2:34" s="404" customFormat="1" ht="49.9" customHeight="1" outlineLevel="1" x14ac:dyDescent="0.25">
      <c r="B31" s="1682"/>
      <c r="C31" s="1678"/>
      <c r="D31" s="927" t="s">
        <v>213</v>
      </c>
      <c r="E31" s="988">
        <f>(130*0.17)</f>
        <v>22.1</v>
      </c>
      <c r="F31" s="970">
        <f>E31</f>
        <v>22.1</v>
      </c>
      <c r="G31" s="981">
        <f>E31</f>
        <v>22.1</v>
      </c>
      <c r="H31" s="926">
        <v>2023</v>
      </c>
      <c r="I31" s="929" t="s">
        <v>931</v>
      </c>
      <c r="J31" s="411"/>
      <c r="K31" s="917"/>
      <c r="L31" s="425"/>
      <c r="M31" s="426"/>
      <c r="N31" s="418"/>
      <c r="O31" s="419"/>
      <c r="P31" s="412"/>
      <c r="Q31" s="412"/>
      <c r="R31" s="412"/>
      <c r="S31" s="414"/>
      <c r="U31" s="753"/>
      <c r="AF31" s="753"/>
    </row>
    <row r="32" spans="2:34" s="404" customFormat="1" ht="49.9" customHeight="1" outlineLevel="1" x14ac:dyDescent="0.25">
      <c r="B32" s="1682"/>
      <c r="C32" s="1678"/>
      <c r="D32" s="928" t="s">
        <v>120</v>
      </c>
      <c r="E32" s="987">
        <f>($E$30/E31)</f>
        <v>6.6814479638009037E-3</v>
      </c>
      <c r="F32" s="971">
        <f>(F30/F31)</f>
        <v>6.2443438914027143E-2</v>
      </c>
      <c r="G32" s="989">
        <f>($G$30/G31)</f>
        <v>1.1809954751131221E-2</v>
      </c>
      <c r="H32" s="986">
        <v>2025</v>
      </c>
      <c r="I32" s="929" t="s">
        <v>214</v>
      </c>
      <c r="J32" s="411"/>
      <c r="K32" s="917"/>
      <c r="L32" s="425"/>
      <c r="M32" s="426"/>
      <c r="N32" s="418"/>
      <c r="O32" s="419"/>
      <c r="P32" s="412"/>
      <c r="Q32" s="412"/>
      <c r="R32" s="412"/>
      <c r="S32" s="414"/>
      <c r="U32" s="753"/>
      <c r="AF32" s="753"/>
    </row>
    <row r="33" spans="2:32" s="404" customFormat="1" ht="49.9" customHeight="1" outlineLevel="1" x14ac:dyDescent="0.25">
      <c r="B33" s="1682"/>
      <c r="C33" s="1678"/>
      <c r="D33" s="927" t="s">
        <v>934</v>
      </c>
      <c r="E33" s="988">
        <f>($E$30/(130*0.2))</f>
        <v>5.6792307692307689E-3</v>
      </c>
      <c r="F33" s="975">
        <f>(F30/(130*0.2))</f>
        <v>5.307692307692307E-2</v>
      </c>
      <c r="G33" s="982">
        <f>($G$30/(130*0.2))</f>
        <v>1.003846153846154E-2</v>
      </c>
      <c r="H33" s="926">
        <v>2025</v>
      </c>
      <c r="I33" s="929" t="s">
        <v>932</v>
      </c>
      <c r="J33" s="411"/>
      <c r="K33" s="917"/>
      <c r="L33" s="425"/>
      <c r="M33" s="426"/>
      <c r="N33" s="418"/>
      <c r="O33" s="419"/>
      <c r="P33" s="412"/>
      <c r="Q33" s="412"/>
      <c r="R33" s="412"/>
      <c r="S33" s="414"/>
      <c r="U33" s="753"/>
      <c r="AF33" s="753"/>
    </row>
    <row r="34" spans="2:32" s="404" customFormat="1" ht="49.9" customHeight="1" outlineLevel="1" x14ac:dyDescent="0.25">
      <c r="B34" s="1682"/>
      <c r="C34" s="1678"/>
      <c r="D34" s="927" t="s">
        <v>935</v>
      </c>
      <c r="E34" s="988">
        <f>($E$30/(130*0.33))</f>
        <v>3.4419580419580418E-3</v>
      </c>
      <c r="F34" s="975">
        <f>(F30/(130*0.33))</f>
        <v>3.2167832167832165E-2</v>
      </c>
      <c r="G34" s="982">
        <f>($G$30/(130*0.33))</f>
        <v>6.0839160839160841E-3</v>
      </c>
      <c r="H34" s="986">
        <v>2025</v>
      </c>
      <c r="I34" s="929" t="s">
        <v>933</v>
      </c>
      <c r="J34" s="411"/>
      <c r="K34" s="917"/>
      <c r="L34" s="425"/>
      <c r="M34" s="426"/>
      <c r="N34" s="418"/>
      <c r="O34" s="419"/>
      <c r="P34" s="412"/>
      <c r="Q34" s="412"/>
      <c r="R34" s="412"/>
      <c r="S34" s="414"/>
      <c r="U34" s="753"/>
      <c r="AF34" s="753"/>
    </row>
    <row r="35" spans="2:32" s="404" customFormat="1" ht="49.9" customHeight="1" outlineLevel="1" x14ac:dyDescent="0.25">
      <c r="B35" s="1682"/>
      <c r="C35" s="1678" t="s">
        <v>1334</v>
      </c>
      <c r="D35" s="927" t="s">
        <v>250</v>
      </c>
      <c r="E35" s="988">
        <f>(E8*F35)</f>
        <v>3.7663999999999996E-2</v>
      </c>
      <c r="F35" s="975">
        <f>(176/500)</f>
        <v>0.35199999999999998</v>
      </c>
      <c r="G35" s="958">
        <f>(169/1000)</f>
        <v>0.16900000000000001</v>
      </c>
      <c r="H35" s="986" t="s">
        <v>1336</v>
      </c>
      <c r="I35" s="1122" t="s">
        <v>1101</v>
      </c>
      <c r="J35" s="406"/>
      <c r="K35" s="918"/>
      <c r="L35" s="427" t="s">
        <v>229</v>
      </c>
      <c r="M35" s="428" t="s">
        <v>125</v>
      </c>
      <c r="N35" s="428" t="s">
        <v>115</v>
      </c>
      <c r="O35" s="429" t="e">
        <f>Q35/#REF!</f>
        <v>#REF!</v>
      </c>
      <c r="P35" s="412" t="s">
        <v>115</v>
      </c>
      <c r="Q35" s="412">
        <v>87</v>
      </c>
      <c r="R35" s="412">
        <v>2023</v>
      </c>
      <c r="S35" s="414" t="s">
        <v>108</v>
      </c>
      <c r="U35" s="753"/>
      <c r="AF35" s="753"/>
    </row>
    <row r="36" spans="2:32" s="404" customFormat="1" ht="49.9" customHeight="1" outlineLevel="1" x14ac:dyDescent="0.25">
      <c r="B36" s="1682"/>
      <c r="C36" s="1678"/>
      <c r="D36" s="927" t="s">
        <v>213</v>
      </c>
      <c r="E36" s="1134">
        <f>(130*0.17)</f>
        <v>22.1</v>
      </c>
      <c r="F36" s="970">
        <f>E36</f>
        <v>22.1</v>
      </c>
      <c r="G36" s="958">
        <f>E36</f>
        <v>22.1</v>
      </c>
      <c r="H36" s="986">
        <v>2023</v>
      </c>
      <c r="I36" s="929" t="s">
        <v>931</v>
      </c>
      <c r="J36" s="424"/>
      <c r="K36" s="918"/>
      <c r="L36" s="427"/>
      <c r="M36" s="428"/>
      <c r="N36" s="428"/>
      <c r="O36" s="429"/>
      <c r="P36" s="412"/>
      <c r="Q36" s="412"/>
      <c r="R36" s="412"/>
      <c r="S36" s="414"/>
      <c r="U36" s="753"/>
      <c r="AF36" s="753"/>
    </row>
    <row r="37" spans="2:32" s="404" customFormat="1" ht="49.9" customHeight="1" outlineLevel="1" x14ac:dyDescent="0.25">
      <c r="B37" s="1682"/>
      <c r="C37" s="1678"/>
      <c r="D37" s="928" t="s">
        <v>120</v>
      </c>
      <c r="E37" s="987">
        <f>($E$35/E36)</f>
        <v>1.7042533936651582E-3</v>
      </c>
      <c r="F37" s="966">
        <f>(F35/F36)</f>
        <v>1.5927601809954749E-2</v>
      </c>
      <c r="G37" s="969">
        <f>($G$35/G36)</f>
        <v>7.6470588235294122E-3</v>
      </c>
      <c r="H37" s="986">
        <v>2025</v>
      </c>
      <c r="I37" s="929" t="s">
        <v>214</v>
      </c>
      <c r="J37" s="424"/>
      <c r="K37" s="918"/>
      <c r="L37" s="427"/>
      <c r="M37" s="428"/>
      <c r="N37" s="428"/>
      <c r="O37" s="429"/>
      <c r="P37" s="412"/>
      <c r="Q37" s="412"/>
      <c r="R37" s="412"/>
      <c r="S37" s="414"/>
      <c r="U37" s="753"/>
      <c r="AF37" s="753"/>
    </row>
    <row r="38" spans="2:32" s="404" customFormat="1" ht="49.9" customHeight="1" outlineLevel="1" x14ac:dyDescent="0.25">
      <c r="B38" s="1682"/>
      <c r="C38" s="1678"/>
      <c r="D38" s="927" t="s">
        <v>934</v>
      </c>
      <c r="E38" s="988">
        <f>(E35/(130*0.2))</f>
        <v>1.4486153846153846E-3</v>
      </c>
      <c r="F38" s="961">
        <f>(F35/(130*0.2))</f>
        <v>1.3538461538461537E-2</v>
      </c>
      <c r="G38" s="958">
        <f>($G$35/(130*0.2))</f>
        <v>6.5000000000000006E-3</v>
      </c>
      <c r="H38" s="986">
        <v>2025</v>
      </c>
      <c r="I38" s="929" t="s">
        <v>932</v>
      </c>
      <c r="J38" s="424"/>
      <c r="K38" s="918"/>
      <c r="L38" s="427"/>
      <c r="M38" s="428"/>
      <c r="N38" s="428"/>
      <c r="O38" s="429"/>
      <c r="P38" s="412"/>
      <c r="Q38" s="412"/>
      <c r="R38" s="412"/>
      <c r="S38" s="414"/>
      <c r="U38" s="753"/>
      <c r="AF38" s="753"/>
    </row>
    <row r="39" spans="2:32" s="404" customFormat="1" ht="49.9" customHeight="1" outlineLevel="1" x14ac:dyDescent="0.25">
      <c r="B39" s="1683"/>
      <c r="C39" s="1678"/>
      <c r="D39" s="927" t="s">
        <v>935</v>
      </c>
      <c r="E39" s="988">
        <f>(E35/(130*0.33))</f>
        <v>8.7794871794871787E-4</v>
      </c>
      <c r="F39" s="961">
        <f>(F35/(130*0.33))</f>
        <v>8.2051282051282051E-3</v>
      </c>
      <c r="G39" s="958">
        <f>($G$35/(130*0.33))</f>
        <v>3.9393939393939396E-3</v>
      </c>
      <c r="H39" s="986">
        <v>2025</v>
      </c>
      <c r="I39" s="929" t="s">
        <v>933</v>
      </c>
      <c r="J39" s="1192"/>
      <c r="K39" s="918"/>
      <c r="L39" s="427"/>
      <c r="M39" s="428"/>
      <c r="N39" s="428"/>
      <c r="O39" s="429"/>
      <c r="P39" s="412"/>
      <c r="Q39" s="412"/>
      <c r="R39" s="412"/>
      <c r="S39" s="414"/>
      <c r="U39" s="753"/>
      <c r="AF39" s="753"/>
    </row>
    <row r="40" spans="2:32" s="404" customFormat="1" ht="49.9" customHeight="1" outlineLevel="1" x14ac:dyDescent="0.25">
      <c r="B40" s="959" t="s">
        <v>130</v>
      </c>
      <c r="C40" s="1065" t="s">
        <v>133</v>
      </c>
      <c r="D40" s="928" t="s">
        <v>120</v>
      </c>
      <c r="E40" s="987">
        <f>(F40*E8)</f>
        <v>4.448410221602872E-2</v>
      </c>
      <c r="F40" s="970">
        <f>(1860/((16*1.852)*(540*0.2796)))</f>
        <v>0.41573927304699737</v>
      </c>
      <c r="G40" s="969">
        <f>((14.3+7.4)/1000)</f>
        <v>2.1700000000000004E-2</v>
      </c>
      <c r="H40" s="986" t="s">
        <v>1336</v>
      </c>
      <c r="I40" s="1124" t="s">
        <v>1093</v>
      </c>
      <c r="J40" s="1193"/>
      <c r="K40" s="919"/>
      <c r="L40" s="1690" t="s">
        <v>233</v>
      </c>
      <c r="M40" s="412" t="s">
        <v>221</v>
      </c>
      <c r="N40" s="412" t="s">
        <v>77</v>
      </c>
      <c r="O40" s="412"/>
      <c r="P40" s="412" t="s">
        <v>77</v>
      </c>
      <c r="Q40" s="412">
        <v>27.5</v>
      </c>
      <c r="R40" s="412">
        <v>2023</v>
      </c>
      <c r="S40" s="414" t="s">
        <v>108</v>
      </c>
      <c r="U40" s="753"/>
      <c r="AF40" s="753"/>
    </row>
    <row r="41" spans="2:32" s="404" customFormat="1" ht="49.9" customHeight="1" outlineLevel="1" x14ac:dyDescent="0.25">
      <c r="B41" s="1680" t="s">
        <v>170</v>
      </c>
      <c r="C41" s="1679" t="s">
        <v>1335</v>
      </c>
      <c r="D41" s="927" t="s">
        <v>250</v>
      </c>
      <c r="E41" s="988">
        <v>0.222</v>
      </c>
      <c r="F41" s="990"/>
      <c r="G41" s="991">
        <f>G44</f>
        <v>0.83694000000000002</v>
      </c>
      <c r="H41" s="927">
        <v>2023</v>
      </c>
      <c r="I41" s="1261" t="s">
        <v>1102</v>
      </c>
      <c r="J41" s="1194"/>
      <c r="K41" s="919"/>
      <c r="L41" s="1691"/>
      <c r="M41" s="412"/>
      <c r="N41" s="412"/>
      <c r="O41" s="412"/>
      <c r="P41" s="412"/>
      <c r="Q41" s="412"/>
      <c r="R41" s="412"/>
      <c r="S41" s="414"/>
      <c r="U41" s="753"/>
      <c r="AF41" s="753"/>
    </row>
    <row r="42" spans="2:32" s="404" customFormat="1" ht="49.9" customHeight="1" outlineLevel="1" x14ac:dyDescent="0.25">
      <c r="B42" s="1680"/>
      <c r="C42" s="1679"/>
      <c r="D42" s="927" t="s">
        <v>279</v>
      </c>
      <c r="E42" s="988">
        <f>(58*0.2)</f>
        <v>11.600000000000001</v>
      </c>
      <c r="F42" s="990"/>
      <c r="G42" s="991">
        <f>E42</f>
        <v>11.600000000000001</v>
      </c>
      <c r="H42" s="927">
        <v>2023</v>
      </c>
      <c r="I42" s="929" t="s">
        <v>1094</v>
      </c>
      <c r="J42" s="1193"/>
      <c r="K42" s="919"/>
      <c r="L42" s="1691"/>
      <c r="M42" s="412"/>
      <c r="N42" s="412"/>
      <c r="O42" s="412"/>
      <c r="P42" s="412"/>
      <c r="Q42" s="412"/>
      <c r="R42" s="412"/>
      <c r="S42" s="414"/>
      <c r="U42" s="753"/>
      <c r="AF42" s="753"/>
    </row>
    <row r="43" spans="2:32" s="404" customFormat="1" ht="49.9" customHeight="1" outlineLevel="1" x14ac:dyDescent="0.25">
      <c r="B43" s="1680"/>
      <c r="C43" s="1679"/>
      <c r="D43" s="928" t="s">
        <v>120</v>
      </c>
      <c r="E43" s="987">
        <f>(E41/E42)</f>
        <v>1.9137931034482757E-2</v>
      </c>
      <c r="F43" s="990"/>
      <c r="G43" s="989">
        <f>(G41/G42)</f>
        <v>7.2149999999999992E-2</v>
      </c>
      <c r="H43" s="927">
        <v>2025</v>
      </c>
      <c r="I43" s="929" t="s">
        <v>214</v>
      </c>
      <c r="J43" s="430"/>
      <c r="K43" s="919"/>
      <c r="L43" s="1691"/>
      <c r="M43" s="412"/>
      <c r="N43" s="412"/>
      <c r="O43" s="412"/>
      <c r="P43" s="412"/>
      <c r="Q43" s="412"/>
      <c r="R43" s="412"/>
      <c r="S43" s="414"/>
      <c r="U43" s="753"/>
      <c r="AF43" s="753"/>
    </row>
    <row r="44" spans="2:32" s="404" customFormat="1" ht="49.9" customHeight="1" outlineLevel="1" x14ac:dyDescent="0.25">
      <c r="B44" s="1680"/>
      <c r="C44" s="1678" t="s">
        <v>280</v>
      </c>
      <c r="D44" s="927" t="s">
        <v>250</v>
      </c>
      <c r="E44" s="988">
        <f>(275/1000)</f>
        <v>0.27500000000000002</v>
      </c>
      <c r="F44" s="992"/>
      <c r="G44" s="958">
        <f>(41847/50000)</f>
        <v>0.83694000000000002</v>
      </c>
      <c r="H44" s="986">
        <v>2023</v>
      </c>
      <c r="I44" s="1261" t="s">
        <v>1102</v>
      </c>
      <c r="J44" s="431"/>
      <c r="K44" s="920"/>
      <c r="L44" s="1691"/>
      <c r="M44" s="412" t="s">
        <v>234</v>
      </c>
      <c r="N44" s="412" t="s">
        <v>77</v>
      </c>
      <c r="O44" s="412"/>
      <c r="P44" s="412" t="s">
        <v>77</v>
      </c>
      <c r="Q44" s="412">
        <v>14</v>
      </c>
      <c r="R44" s="412">
        <v>2023</v>
      </c>
      <c r="S44" s="414" t="s">
        <v>108</v>
      </c>
      <c r="U44" s="753"/>
      <c r="AF44" s="753"/>
    </row>
    <row r="45" spans="2:32" s="404" customFormat="1" ht="49.9" customHeight="1" outlineLevel="1" x14ac:dyDescent="0.25">
      <c r="B45" s="1680"/>
      <c r="C45" s="1678"/>
      <c r="D45" s="927" t="s">
        <v>213</v>
      </c>
      <c r="E45" s="988">
        <f>(221*0.2)</f>
        <v>44.2</v>
      </c>
      <c r="F45" s="992"/>
      <c r="G45" s="958">
        <f>E45</f>
        <v>44.2</v>
      </c>
      <c r="H45" s="986">
        <v>2023</v>
      </c>
      <c r="I45" s="929" t="s">
        <v>1241</v>
      </c>
      <c r="J45" s="431"/>
      <c r="K45" s="920"/>
      <c r="L45" s="1691"/>
      <c r="M45" s="412" t="s">
        <v>235</v>
      </c>
      <c r="N45" s="412" t="s">
        <v>77</v>
      </c>
      <c r="O45" s="412"/>
      <c r="P45" s="412" t="s">
        <v>77</v>
      </c>
      <c r="Q45" s="412">
        <v>16.3</v>
      </c>
      <c r="R45" s="412">
        <v>2023</v>
      </c>
      <c r="S45" s="414" t="s">
        <v>108</v>
      </c>
      <c r="U45" s="753"/>
      <c r="AF45" s="753"/>
    </row>
    <row r="46" spans="2:32" s="404" customFormat="1" ht="49.9" customHeight="1" outlineLevel="1" x14ac:dyDescent="0.25">
      <c r="B46" s="1680"/>
      <c r="C46" s="1678"/>
      <c r="D46" s="928" t="s">
        <v>120</v>
      </c>
      <c r="E46" s="987">
        <f>(E44/E45)</f>
        <v>6.2217194570135751E-3</v>
      </c>
      <c r="F46" s="992"/>
      <c r="G46" s="969">
        <f>(G44/G45)</f>
        <v>1.8935294117647057E-2</v>
      </c>
      <c r="H46" s="986">
        <v>2025</v>
      </c>
      <c r="I46" s="929" t="s">
        <v>214</v>
      </c>
      <c r="J46" s="431"/>
      <c r="K46" s="920"/>
      <c r="L46" s="432" t="s">
        <v>236</v>
      </c>
      <c r="M46" s="418" t="s">
        <v>238</v>
      </c>
      <c r="N46" s="418" t="s">
        <v>77</v>
      </c>
      <c r="O46" s="419" t="e">
        <f>((Q46*38)/0.0036)/#REF!</f>
        <v>#REF!</v>
      </c>
      <c r="P46" s="412" t="s">
        <v>237</v>
      </c>
      <c r="Q46" s="412">
        <f>27563.1*1000</f>
        <v>27563100</v>
      </c>
      <c r="R46" s="412">
        <v>2023</v>
      </c>
      <c r="S46" s="414" t="s">
        <v>108</v>
      </c>
      <c r="U46" s="753"/>
      <c r="AF46" s="753"/>
    </row>
    <row r="47" spans="2:32" s="404" customFormat="1" ht="49.9" customHeight="1" outlineLevel="1" x14ac:dyDescent="0.25">
      <c r="B47" s="1680" t="s">
        <v>124</v>
      </c>
      <c r="C47" s="1068" t="s">
        <v>1240</v>
      </c>
      <c r="D47" s="928" t="s">
        <v>120</v>
      </c>
      <c r="E47" s="987">
        <f>(9/1000)</f>
        <v>8.9999999999999993E-3</v>
      </c>
      <c r="F47" s="992"/>
      <c r="G47" s="969">
        <f>(2/1000)</f>
        <v>2E-3</v>
      </c>
      <c r="H47" s="986">
        <v>2022</v>
      </c>
      <c r="I47" s="1261" t="s">
        <v>1102</v>
      </c>
      <c r="J47" s="431"/>
      <c r="K47" s="920"/>
      <c r="L47" s="1692" t="s">
        <v>247</v>
      </c>
      <c r="M47" s="418" t="s">
        <v>125</v>
      </c>
      <c r="N47" s="418" t="s">
        <v>77</v>
      </c>
      <c r="O47" s="419" t="e">
        <f>((Q47*27*1.2)/0.0036)/#REF!</f>
        <v>#REF!</v>
      </c>
      <c r="P47" s="412" t="s">
        <v>116</v>
      </c>
      <c r="Q47" s="412">
        <f>166137*1000</f>
        <v>166137000</v>
      </c>
      <c r="R47" s="412">
        <v>2023</v>
      </c>
      <c r="S47" s="414" t="s">
        <v>108</v>
      </c>
      <c r="U47" s="753"/>
      <c r="AF47" s="753"/>
    </row>
    <row r="48" spans="2:32" s="404" customFormat="1" ht="49.9" customHeight="1" outlineLevel="1" x14ac:dyDescent="0.25">
      <c r="B48" s="1680"/>
      <c r="C48" s="993" t="s">
        <v>244</v>
      </c>
      <c r="D48" s="976" t="s">
        <v>120</v>
      </c>
      <c r="E48" s="1069">
        <f>(7/1000)</f>
        <v>7.0000000000000001E-3</v>
      </c>
      <c r="F48" s="992"/>
      <c r="G48" s="958">
        <f>(2/1000)</f>
        <v>2E-3</v>
      </c>
      <c r="H48" s="986">
        <v>2023</v>
      </c>
      <c r="I48" s="1261" t="s">
        <v>1102</v>
      </c>
      <c r="J48" s="431"/>
      <c r="K48" s="920"/>
      <c r="L48" s="1693"/>
      <c r="M48" s="418" t="s">
        <v>227</v>
      </c>
      <c r="N48" s="418" t="s">
        <v>77</v>
      </c>
      <c r="O48" s="433" t="e">
        <f>((Q48*27*1.34)/0.0036)/#REF!</f>
        <v>#REF!</v>
      </c>
      <c r="P48" s="412" t="s">
        <v>116</v>
      </c>
      <c r="Q48" s="412">
        <f>68*1000</f>
        <v>68000</v>
      </c>
      <c r="R48" s="412">
        <v>2023</v>
      </c>
      <c r="S48" s="414" t="s">
        <v>108</v>
      </c>
      <c r="U48" s="753"/>
      <c r="AF48" s="753"/>
    </row>
    <row r="49" spans="1:86" s="404" customFormat="1" ht="49.9" customHeight="1" outlineLevel="1" x14ac:dyDescent="0.25">
      <c r="B49" s="1687" t="s">
        <v>153</v>
      </c>
      <c r="C49" s="1070" t="s">
        <v>427</v>
      </c>
      <c r="D49" s="980" t="s">
        <v>120</v>
      </c>
      <c r="E49" s="987">
        <f>(F49*E8)</f>
        <v>1.7280500000000001E-2</v>
      </c>
      <c r="F49" s="958">
        <f>0.1615</f>
        <v>0.1615</v>
      </c>
      <c r="G49" s="969">
        <f>(2/1000)</f>
        <v>2E-3</v>
      </c>
      <c r="H49" s="986">
        <v>2025</v>
      </c>
      <c r="I49" s="1122" t="s">
        <v>1100</v>
      </c>
      <c r="J49" s="431"/>
      <c r="K49" s="920"/>
      <c r="L49" s="1693"/>
      <c r="M49" s="418" t="s">
        <v>239</v>
      </c>
      <c r="N49" s="418" t="s">
        <v>77</v>
      </c>
      <c r="O49" s="433" t="e">
        <f>((Q49*23*1.88)/0.0036)/#REF!</f>
        <v>#REF!</v>
      </c>
      <c r="P49" s="412" t="s">
        <v>116</v>
      </c>
      <c r="Q49" s="412">
        <f>2.2*1000</f>
        <v>2200</v>
      </c>
      <c r="R49" s="412">
        <v>2023</v>
      </c>
      <c r="S49" s="414" t="s">
        <v>108</v>
      </c>
      <c r="U49" s="753"/>
      <c r="AF49" s="753"/>
    </row>
    <row r="50" spans="1:86" s="404" customFormat="1" ht="49.9" customHeight="1" outlineLevel="1" x14ac:dyDescent="0.25">
      <c r="B50" s="1687"/>
      <c r="C50" s="1070" t="s">
        <v>216</v>
      </c>
      <c r="D50" s="980" t="s">
        <v>120</v>
      </c>
      <c r="E50" s="985">
        <f>(1/1000)</f>
        <v>1E-3</v>
      </c>
      <c r="F50" s="992"/>
      <c r="G50" s="969">
        <f>(2/1000)</f>
        <v>2E-3</v>
      </c>
      <c r="H50" s="986">
        <v>2023</v>
      </c>
      <c r="I50" s="1261" t="s">
        <v>1102</v>
      </c>
      <c r="J50" s="431"/>
      <c r="K50" s="920"/>
      <c r="L50" s="434" t="s">
        <v>240</v>
      </c>
      <c r="M50" s="426" t="s">
        <v>242</v>
      </c>
      <c r="N50" s="418" t="s">
        <v>77</v>
      </c>
      <c r="O50" s="433" t="e">
        <f>Q50/#REF!</f>
        <v>#REF!</v>
      </c>
      <c r="P50" s="412" t="s">
        <v>241</v>
      </c>
      <c r="Q50" s="412">
        <f>12404.2*1000</f>
        <v>12404200</v>
      </c>
      <c r="R50" s="412">
        <v>2023</v>
      </c>
      <c r="S50" s="414" t="s">
        <v>108</v>
      </c>
      <c r="U50" s="753"/>
      <c r="AF50" s="753"/>
    </row>
    <row r="51" spans="1:86" s="404" customFormat="1" ht="49.9" customHeight="1" outlineLevel="1" x14ac:dyDescent="0.25">
      <c r="B51" s="1687"/>
      <c r="C51" s="1070" t="s">
        <v>217</v>
      </c>
      <c r="D51" s="980" t="s">
        <v>120</v>
      </c>
      <c r="E51" s="985">
        <f>(37/1000)</f>
        <v>3.6999999999999998E-2</v>
      </c>
      <c r="F51" s="992"/>
      <c r="G51" s="969">
        <f>(2/1000)</f>
        <v>2E-3</v>
      </c>
      <c r="H51" s="986">
        <v>2023</v>
      </c>
      <c r="I51" s="1261" t="s">
        <v>1102</v>
      </c>
      <c r="J51" s="431"/>
      <c r="K51" s="920"/>
      <c r="L51" s="435" t="s">
        <v>243</v>
      </c>
      <c r="M51" s="436" t="s">
        <v>221</v>
      </c>
      <c r="N51" s="412" t="s">
        <v>219</v>
      </c>
      <c r="P51" s="412" t="s">
        <v>219</v>
      </c>
      <c r="Q51" s="412">
        <f>8563.9*1000000</f>
        <v>8563900000</v>
      </c>
      <c r="R51" s="412">
        <v>2023</v>
      </c>
      <c r="S51" s="414" t="s">
        <v>108</v>
      </c>
      <c r="U51" s="753"/>
      <c r="AF51" s="753"/>
    </row>
    <row r="52" spans="1:86" s="404" customFormat="1" ht="49.9" customHeight="1" outlineLevel="1" x14ac:dyDescent="0.35">
      <c r="C52" s="405"/>
      <c r="D52" s="405"/>
      <c r="E52" s="405"/>
      <c r="I52" s="405"/>
      <c r="L52" s="1690"/>
      <c r="M52" s="412"/>
      <c r="N52" s="412"/>
      <c r="O52" s="412"/>
      <c r="P52" s="412"/>
      <c r="Q52" s="412"/>
      <c r="R52" s="412"/>
      <c r="S52" s="414"/>
      <c r="U52" s="1637" t="s">
        <v>914</v>
      </c>
      <c r="V52" s="1637"/>
      <c r="W52" s="1637" t="s">
        <v>915</v>
      </c>
      <c r="X52" s="1637"/>
      <c r="Y52" s="1637"/>
      <c r="Z52" s="1637"/>
      <c r="AA52" s="1637"/>
      <c r="AB52" s="1637"/>
      <c r="AC52" s="1637"/>
      <c r="AD52" s="1637"/>
      <c r="AE52" s="746"/>
      <c r="AF52" s="1637" t="s">
        <v>914</v>
      </c>
      <c r="AG52" s="1637"/>
      <c r="AH52" s="1637" t="s">
        <v>916</v>
      </c>
      <c r="AI52" s="1638"/>
      <c r="AJ52" s="1638"/>
      <c r="AK52" s="1638"/>
      <c r="AL52" s="1638"/>
      <c r="AM52" s="1639"/>
      <c r="AN52" s="746"/>
      <c r="AO52" s="746"/>
      <c r="AP52" s="746"/>
      <c r="AQ52" s="746"/>
      <c r="AR52" s="746"/>
      <c r="AS52" s="746"/>
      <c r="AT52" s="746"/>
      <c r="AU52" s="747"/>
    </row>
    <row r="53" spans="1:86" s="404" customFormat="1" ht="49.9" customHeight="1" outlineLevel="1" x14ac:dyDescent="0.35">
      <c r="B53" s="994" t="s">
        <v>1091</v>
      </c>
      <c r="C53" s="995" t="s">
        <v>1097</v>
      </c>
      <c r="D53" s="1660" t="s">
        <v>85</v>
      </c>
      <c r="E53" s="1660"/>
      <c r="I53" s="405"/>
      <c r="L53" s="1691"/>
      <c r="M53" s="412"/>
      <c r="N53" s="412"/>
      <c r="O53" s="412"/>
      <c r="P53" s="412"/>
      <c r="Q53" s="412"/>
      <c r="R53" s="412"/>
      <c r="S53" s="414"/>
      <c r="U53" s="1637"/>
      <c r="V53" s="1637"/>
      <c r="W53" s="1637" t="s">
        <v>917</v>
      </c>
      <c r="X53" s="1637"/>
      <c r="Y53" s="1637"/>
      <c r="Z53" s="1637"/>
      <c r="AA53" s="1637"/>
      <c r="AB53" s="1637"/>
      <c r="AC53" s="1637"/>
      <c r="AD53" s="1637"/>
      <c r="AE53" s="746"/>
      <c r="AF53" s="1637"/>
      <c r="AG53" s="1637"/>
      <c r="AH53" s="1637" t="s">
        <v>917</v>
      </c>
      <c r="AI53" s="1637"/>
      <c r="AJ53" s="1637"/>
      <c r="AK53" s="1637"/>
      <c r="AL53" s="1637"/>
      <c r="AM53" s="1637"/>
      <c r="AN53" s="746"/>
      <c r="AO53" s="746"/>
      <c r="AP53" s="746"/>
      <c r="AQ53" s="746"/>
      <c r="AR53" s="746"/>
      <c r="AS53" s="746"/>
      <c r="AT53" s="746"/>
      <c r="AU53" s="747"/>
    </row>
    <row r="54" spans="1:86" s="404" customFormat="1" ht="49.9" customHeight="1" outlineLevel="1" x14ac:dyDescent="0.35">
      <c r="B54" s="1072" t="s">
        <v>1337</v>
      </c>
      <c r="C54" s="1071">
        <f>(23/1000)</f>
        <v>2.3E-2</v>
      </c>
      <c r="D54" s="1661" t="s">
        <v>278</v>
      </c>
      <c r="E54" s="1661"/>
      <c r="I54" s="405"/>
      <c r="L54" s="1691"/>
      <c r="M54" s="412"/>
      <c r="N54" s="412"/>
      <c r="O54" s="412"/>
      <c r="P54" s="412"/>
      <c r="Q54" s="412"/>
      <c r="R54" s="412"/>
      <c r="S54" s="414"/>
      <c r="U54" s="1637"/>
      <c r="V54" s="1637"/>
      <c r="W54" s="1637" t="s">
        <v>918</v>
      </c>
      <c r="X54" s="1637"/>
      <c r="Y54" s="1637"/>
      <c r="Z54" s="1637"/>
      <c r="AA54" s="1637"/>
      <c r="AB54" s="1637"/>
      <c r="AC54" s="1637"/>
      <c r="AD54" s="1637"/>
      <c r="AE54" s="746"/>
      <c r="AF54" s="1637"/>
      <c r="AG54" s="1637"/>
      <c r="AH54" s="1637" t="s">
        <v>918</v>
      </c>
      <c r="AI54" s="1637"/>
      <c r="AJ54" s="1637"/>
      <c r="AK54" s="1637"/>
      <c r="AL54" s="1637"/>
      <c r="AM54" s="1637"/>
      <c r="AN54" s="746"/>
      <c r="AO54" s="746"/>
      <c r="AP54" s="746"/>
      <c r="AQ54" s="746"/>
      <c r="AR54" s="746"/>
      <c r="AS54" s="746"/>
      <c r="AT54" s="746"/>
      <c r="AU54" s="747"/>
    </row>
    <row r="55" spans="1:86" s="404" customFormat="1" ht="49.9" customHeight="1" outlineLevel="1" x14ac:dyDescent="0.35">
      <c r="C55" s="405"/>
      <c r="D55" s="405"/>
      <c r="E55" s="405"/>
      <c r="I55" s="405"/>
      <c r="L55" s="1694"/>
      <c r="M55" s="930"/>
      <c r="N55" s="930"/>
      <c r="O55" s="930"/>
      <c r="P55" s="930"/>
      <c r="Q55" s="930"/>
      <c r="R55" s="930"/>
      <c r="S55" s="931"/>
      <c r="U55" s="1637"/>
      <c r="V55" s="1637"/>
      <c r="W55" s="1636" t="s">
        <v>5</v>
      </c>
      <c r="X55" s="1636"/>
      <c r="Y55" s="1636" t="s">
        <v>221</v>
      </c>
      <c r="Z55" s="1636"/>
      <c r="AA55" s="1636" t="s">
        <v>234</v>
      </c>
      <c r="AB55" s="1636"/>
      <c r="AC55" s="1636" t="s">
        <v>235</v>
      </c>
      <c r="AD55" s="1636"/>
      <c r="AE55" s="932"/>
      <c r="AF55" s="1637"/>
      <c r="AG55" s="1637"/>
      <c r="AH55" s="1636" t="s">
        <v>919</v>
      </c>
      <c r="AI55" s="1636"/>
      <c r="AJ55" s="1636" t="s">
        <v>234</v>
      </c>
      <c r="AK55" s="1636"/>
      <c r="AL55" s="1636" t="s">
        <v>235</v>
      </c>
      <c r="AM55" s="1636"/>
      <c r="AN55" s="932"/>
      <c r="AO55" s="932"/>
      <c r="AP55" s="933" t="s">
        <v>928</v>
      </c>
      <c r="AQ55" s="933"/>
      <c r="AR55" s="933"/>
      <c r="AS55" s="934"/>
      <c r="AT55" s="934"/>
      <c r="AU55" s="935"/>
    </row>
    <row r="56" spans="1:86" s="948" customFormat="1" ht="49.9" customHeight="1" x14ac:dyDescent="0.35">
      <c r="A56" s="437"/>
      <c r="B56" s="912" t="s">
        <v>1236</v>
      </c>
      <c r="C56" s="912"/>
      <c r="D56" s="912"/>
      <c r="E56" s="912"/>
      <c r="F56" s="912"/>
      <c r="G56" s="912"/>
      <c r="H56" s="912"/>
      <c r="I56" s="912"/>
      <c r="J56" s="947"/>
      <c r="K56" s="947"/>
      <c r="T56" s="947"/>
      <c r="U56" s="949" t="s">
        <v>145</v>
      </c>
      <c r="V56" s="950" t="s">
        <v>921</v>
      </c>
      <c r="W56" s="951" t="s">
        <v>920</v>
      </c>
      <c r="X56" s="952" t="s">
        <v>152</v>
      </c>
      <c r="Y56" s="951" t="s">
        <v>920</v>
      </c>
      <c r="Z56" s="952" t="s">
        <v>152</v>
      </c>
      <c r="AA56" s="953">
        <v>32.700000000000003</v>
      </c>
      <c r="AB56" s="952" t="s">
        <v>920</v>
      </c>
      <c r="AC56" s="953">
        <v>68.2</v>
      </c>
      <c r="AD56" s="952" t="s">
        <v>920</v>
      </c>
      <c r="AE56" s="954">
        <f>AA56+AC56</f>
        <v>100.9</v>
      </c>
      <c r="AF56" s="949" t="s">
        <v>145</v>
      </c>
      <c r="AG56" s="950" t="s">
        <v>921</v>
      </c>
      <c r="AH56" s="953">
        <v>992.4</v>
      </c>
      <c r="AI56" s="952" t="s">
        <v>920</v>
      </c>
      <c r="AJ56" s="953">
        <v>300.39999999999998</v>
      </c>
      <c r="AK56" s="952" t="s">
        <v>920</v>
      </c>
      <c r="AL56" s="951">
        <v>465</v>
      </c>
      <c r="AM56" s="952" t="s">
        <v>920</v>
      </c>
      <c r="AN56" s="954">
        <f>AJ56+AL56</f>
        <v>765.4</v>
      </c>
      <c r="AO56" s="954"/>
      <c r="AP56" s="955">
        <f>AE56/AN56</f>
        <v>0.13182649594983017</v>
      </c>
      <c r="AQ56" s="954"/>
      <c r="AR56" s="955">
        <f>AA56/AJ56</f>
        <v>0.10885486018641813</v>
      </c>
      <c r="AS56" s="954"/>
      <c r="AT56" s="954"/>
      <c r="AU56" s="947"/>
      <c r="AV56" s="947"/>
      <c r="AW56" s="947"/>
      <c r="AX56" s="947"/>
      <c r="AY56" s="947"/>
      <c r="AZ56" s="947"/>
      <c r="BA56" s="947"/>
      <c r="BB56" s="947"/>
      <c r="BC56" s="947"/>
      <c r="BD56" s="947"/>
      <c r="BE56" s="947"/>
      <c r="BF56" s="947"/>
      <c r="BG56" s="947"/>
      <c r="BH56" s="947"/>
      <c r="BI56" s="947"/>
      <c r="BJ56" s="947"/>
      <c r="BK56" s="947"/>
      <c r="BL56" s="947"/>
      <c r="BM56" s="947"/>
      <c r="BN56" s="947"/>
      <c r="BO56" s="947"/>
      <c r="BP56" s="947"/>
      <c r="BQ56" s="947"/>
      <c r="BR56" s="947"/>
      <c r="BS56" s="947"/>
      <c r="BT56" s="947"/>
      <c r="BU56" s="947"/>
    </row>
    <row r="57" spans="1:86" s="404" customFormat="1" ht="30" customHeight="1" outlineLevel="1" x14ac:dyDescent="0.35">
      <c r="B57" s="49"/>
      <c r="C57" s="405"/>
      <c r="D57" s="936"/>
      <c r="E57" s="936"/>
      <c r="F57" s="936"/>
      <c r="G57" s="936"/>
      <c r="H57" s="936"/>
      <c r="I57" s="937"/>
      <c r="J57" s="936"/>
      <c r="K57" s="936"/>
      <c r="L57" s="936"/>
      <c r="M57" s="936"/>
      <c r="N57" s="936"/>
      <c r="O57" s="936"/>
      <c r="P57" s="936"/>
      <c r="Q57" s="938"/>
      <c r="R57" s="938"/>
      <c r="S57" s="742"/>
      <c r="T57" s="442"/>
      <c r="U57" s="939" t="s">
        <v>516</v>
      </c>
      <c r="V57" s="940" t="s">
        <v>922</v>
      </c>
      <c r="W57" s="941" t="s">
        <v>920</v>
      </c>
      <c r="X57" s="942" t="s">
        <v>152</v>
      </c>
      <c r="Y57" s="941" t="s">
        <v>920</v>
      </c>
      <c r="Z57" s="942" t="s">
        <v>152</v>
      </c>
      <c r="AA57" s="943">
        <v>5.0999999999999996</v>
      </c>
      <c r="AB57" s="942" t="s">
        <v>920</v>
      </c>
      <c r="AC57" s="943">
        <v>52.8</v>
      </c>
      <c r="AD57" s="942" t="s">
        <v>920</v>
      </c>
      <c r="AE57" s="944">
        <f>AA57+AC57</f>
        <v>57.9</v>
      </c>
      <c r="AF57" s="939" t="s">
        <v>516</v>
      </c>
      <c r="AG57" s="940" t="s">
        <v>923</v>
      </c>
      <c r="AH57" s="943">
        <v>384.5</v>
      </c>
      <c r="AI57" s="942" t="s">
        <v>920</v>
      </c>
      <c r="AJ57" s="943">
        <v>55.4</v>
      </c>
      <c r="AK57" s="942" t="s">
        <v>920</v>
      </c>
      <c r="AL57" s="943">
        <v>329.1</v>
      </c>
      <c r="AM57" s="942" t="s">
        <v>920</v>
      </c>
      <c r="AN57" s="944">
        <f>AJ57+AL57</f>
        <v>384.5</v>
      </c>
      <c r="AO57" s="944"/>
      <c r="AP57" s="945">
        <f>AE57/AN57</f>
        <v>0.15058517555266579</v>
      </c>
      <c r="AQ57" s="944"/>
      <c r="AR57" s="945">
        <f>AA57/AJ57</f>
        <v>9.2057761732851975E-2</v>
      </c>
      <c r="AS57" s="944"/>
      <c r="AT57" s="944"/>
      <c r="AU57" s="946"/>
      <c r="AV57" s="442"/>
      <c r="AW57" s="442"/>
      <c r="AX57" s="442"/>
      <c r="AY57" s="442"/>
      <c r="AZ57" s="442"/>
      <c r="BA57" s="442"/>
      <c r="BB57" s="442"/>
      <c r="BC57" s="442"/>
      <c r="BD57" s="442"/>
      <c r="BE57" s="442"/>
      <c r="BF57" s="442"/>
      <c r="BG57" s="442"/>
      <c r="BH57" s="442"/>
      <c r="BI57" s="442"/>
      <c r="BJ57" s="442"/>
      <c r="BK57" s="442"/>
      <c r="BL57" s="442"/>
      <c r="BM57" s="442"/>
      <c r="BN57" s="442"/>
      <c r="BO57" s="442"/>
      <c r="BP57" s="442"/>
      <c r="BQ57" s="442"/>
      <c r="BR57" s="442"/>
      <c r="BS57" s="442"/>
      <c r="BT57" s="442"/>
      <c r="BU57" s="442"/>
      <c r="BV57" s="442"/>
      <c r="BW57" s="442"/>
      <c r="BX57" s="442"/>
      <c r="BY57" s="442"/>
      <c r="BZ57" s="442"/>
      <c r="CA57" s="442"/>
      <c r="CB57" s="442"/>
      <c r="CC57" s="442"/>
      <c r="CD57" s="442"/>
      <c r="CE57" s="442"/>
      <c r="CF57" s="442"/>
    </row>
    <row r="58" spans="1:86" s="404" customFormat="1" ht="49.9" customHeight="1" outlineLevel="1" x14ac:dyDescent="0.35">
      <c r="B58" s="1642" t="s">
        <v>1031</v>
      </c>
      <c r="C58" s="1643" t="s">
        <v>8</v>
      </c>
      <c r="D58" s="1641" t="s">
        <v>3</v>
      </c>
      <c r="E58" s="1641" t="s">
        <v>1234</v>
      </c>
      <c r="F58" s="1641"/>
      <c r="G58" s="1641"/>
      <c r="H58" s="1641"/>
      <c r="I58" s="1641" t="s">
        <v>1097</v>
      </c>
      <c r="J58" s="1641" t="s">
        <v>169</v>
      </c>
      <c r="K58" s="1641" t="s">
        <v>85</v>
      </c>
      <c r="U58" s="754" t="s">
        <v>517</v>
      </c>
      <c r="V58" s="748" t="s">
        <v>924</v>
      </c>
      <c r="W58" s="749" t="s">
        <v>920</v>
      </c>
      <c r="X58" s="750" t="s">
        <v>152</v>
      </c>
      <c r="Y58" s="749" t="s">
        <v>920</v>
      </c>
      <c r="Z58" s="750" t="s">
        <v>152</v>
      </c>
      <c r="AA58" s="751">
        <v>61.2</v>
      </c>
      <c r="AB58" s="750" t="s">
        <v>920</v>
      </c>
      <c r="AC58" s="751">
        <v>139.4</v>
      </c>
      <c r="AD58" s="750" t="s">
        <v>920</v>
      </c>
      <c r="AE58" s="746">
        <f>AA58+AC58</f>
        <v>200.60000000000002</v>
      </c>
      <c r="AF58" s="754" t="s">
        <v>517</v>
      </c>
      <c r="AG58" s="748" t="s">
        <v>925</v>
      </c>
      <c r="AH58" s="751">
        <v>722.9</v>
      </c>
      <c r="AI58" s="750" t="s">
        <v>920</v>
      </c>
      <c r="AJ58" s="749">
        <v>373</v>
      </c>
      <c r="AK58" s="750" t="s">
        <v>920</v>
      </c>
      <c r="AL58" s="751">
        <v>349.9</v>
      </c>
      <c r="AM58" s="750" t="s">
        <v>920</v>
      </c>
      <c r="AN58" s="746">
        <f>AJ58+AL58</f>
        <v>722.9</v>
      </c>
      <c r="AO58" s="746"/>
      <c r="AP58" s="752">
        <f>AE58/AN58</f>
        <v>0.27749342924332554</v>
      </c>
      <c r="AQ58" s="746"/>
      <c r="AR58" s="752">
        <f>AA58/AJ58</f>
        <v>0.16407506702412869</v>
      </c>
      <c r="AS58" s="746"/>
      <c r="AT58" s="746"/>
      <c r="AU58" s="747"/>
    </row>
    <row r="59" spans="1:86" s="404" customFormat="1" ht="49.9" customHeight="1" outlineLevel="1" x14ac:dyDescent="0.35">
      <c r="B59" s="1642"/>
      <c r="C59" s="1644"/>
      <c r="D59" s="1641"/>
      <c r="E59" s="925" t="s">
        <v>1098</v>
      </c>
      <c r="F59" s="925" t="s">
        <v>447</v>
      </c>
      <c r="G59" s="925" t="s">
        <v>448</v>
      </c>
      <c r="H59" s="925" t="s">
        <v>449</v>
      </c>
      <c r="I59" s="1641"/>
      <c r="J59" s="1641"/>
      <c r="K59" s="1641"/>
      <c r="U59" s="755" t="s">
        <v>926</v>
      </c>
      <c r="V59" s="745"/>
      <c r="W59" s="745"/>
      <c r="X59" s="745"/>
      <c r="Y59" s="745"/>
      <c r="Z59" s="745"/>
      <c r="AA59" s="745"/>
      <c r="AB59" s="745"/>
      <c r="AC59" s="745"/>
      <c r="AD59" s="745"/>
      <c r="AE59" s="745"/>
      <c r="AF59" s="755" t="s">
        <v>927</v>
      </c>
      <c r="AG59" s="745"/>
      <c r="AH59" s="745"/>
      <c r="AI59" s="745"/>
      <c r="AJ59" s="745"/>
      <c r="AK59" s="745"/>
      <c r="AL59" s="745"/>
      <c r="AM59" s="745"/>
      <c r="AN59" s="745"/>
      <c r="AO59" s="745"/>
      <c r="AP59" s="745"/>
      <c r="AQ59" s="745"/>
      <c r="AR59" s="745"/>
      <c r="AS59" s="745"/>
      <c r="AT59" s="745"/>
    </row>
    <row r="60" spans="1:86" s="404" customFormat="1" ht="49.9" customHeight="1" outlineLevel="1" x14ac:dyDescent="0.35">
      <c r="B60" s="927" t="s">
        <v>276</v>
      </c>
      <c r="C60" s="1073" t="s">
        <v>277</v>
      </c>
      <c r="D60" s="927" t="s">
        <v>120</v>
      </c>
      <c r="E60" s="957">
        <v>1.8710000000000001E-2</v>
      </c>
      <c r="F60" s="968">
        <v>1.848E-2</v>
      </c>
      <c r="G60" s="968">
        <v>1.0000000000000001E-5</v>
      </c>
      <c r="H60" s="968">
        <v>2.2000000000000001E-4</v>
      </c>
      <c r="I60" s="969">
        <f>(((2.59/1000)*40.15)/26)</f>
        <v>3.999557692307692E-3</v>
      </c>
      <c r="J60" s="927">
        <v>2025</v>
      </c>
      <c r="K60" s="1125" t="s">
        <v>1103</v>
      </c>
      <c r="U60" s="756"/>
      <c r="V60" s="745"/>
      <c r="W60" s="745"/>
      <c r="X60" s="745"/>
      <c r="Y60" s="745"/>
      <c r="Z60" s="745"/>
      <c r="AA60" s="745"/>
      <c r="AB60" s="745"/>
      <c r="AC60" s="745"/>
      <c r="AD60" s="745"/>
      <c r="AE60" s="745"/>
      <c r="AF60" s="756"/>
      <c r="AG60" s="745"/>
      <c r="AH60" s="745"/>
      <c r="AI60" s="745"/>
      <c r="AJ60" s="745"/>
      <c r="AK60" s="745"/>
      <c r="AL60" s="745"/>
      <c r="AM60" s="745"/>
      <c r="AN60" s="745"/>
      <c r="AO60" s="745"/>
      <c r="AP60" s="745"/>
      <c r="AQ60" s="745"/>
      <c r="AR60" s="745"/>
      <c r="AS60" s="745"/>
      <c r="AT60" s="745"/>
    </row>
    <row r="61" spans="1:86" s="440" customFormat="1" ht="70.150000000000006" customHeight="1" outlineLevel="1" x14ac:dyDescent="0.25">
      <c r="A61" s="439"/>
      <c r="B61" s="1684" t="s">
        <v>113</v>
      </c>
      <c r="C61" s="1659" t="s">
        <v>375</v>
      </c>
      <c r="D61" s="927" t="s">
        <v>250</v>
      </c>
      <c r="E61" s="960">
        <f>(SUM(F61:H61))</f>
        <v>1.1989227299999998</v>
      </c>
      <c r="F61" s="984">
        <f>1198.86/1000</f>
        <v>1.1988599999999998</v>
      </c>
      <c r="G61" s="968">
        <f>41.27/1000000</f>
        <v>4.1270000000000003E-5</v>
      </c>
      <c r="H61" s="968">
        <f>21.46/1000000</f>
        <v>2.1460000000000001E-5</v>
      </c>
      <c r="I61" s="958">
        <f>(1.548*0.06)</f>
        <v>9.2880000000000004E-2</v>
      </c>
      <c r="J61" s="962">
        <v>2022</v>
      </c>
      <c r="K61" s="1249" t="s">
        <v>941</v>
      </c>
      <c r="T61" s="439"/>
      <c r="U61" s="138"/>
      <c r="V61" s="439"/>
      <c r="W61" s="439"/>
      <c r="X61" s="439"/>
      <c r="Y61" s="439"/>
      <c r="Z61" s="439"/>
      <c r="AA61" s="439"/>
      <c r="AB61" s="439"/>
      <c r="AC61" s="439"/>
      <c r="AD61" s="439"/>
      <c r="AE61" s="439"/>
      <c r="AF61" s="138"/>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39"/>
      <c r="BJ61" s="439"/>
      <c r="BK61" s="439"/>
      <c r="BL61" s="439"/>
      <c r="BM61" s="439"/>
      <c r="BN61" s="439"/>
      <c r="BO61" s="439"/>
      <c r="BP61" s="439"/>
      <c r="BQ61" s="439"/>
      <c r="BR61" s="439"/>
      <c r="BS61" s="439"/>
      <c r="BT61" s="439"/>
      <c r="BU61" s="439"/>
      <c r="BV61" s="439"/>
      <c r="BW61" s="439"/>
      <c r="BX61" s="439"/>
      <c r="BY61" s="439"/>
      <c r="BZ61" s="439"/>
      <c r="CA61" s="439"/>
      <c r="CB61" s="439"/>
      <c r="CC61" s="439"/>
      <c r="CD61" s="439"/>
      <c r="CE61" s="439"/>
      <c r="CF61" s="439"/>
      <c r="CG61" s="439"/>
      <c r="CH61" s="439"/>
    </row>
    <row r="62" spans="1:86" s="440" customFormat="1" ht="70.150000000000006" customHeight="1" outlineLevel="1" x14ac:dyDescent="0.25">
      <c r="A62" s="439"/>
      <c r="B62" s="1685"/>
      <c r="C62" s="1659"/>
      <c r="D62" s="927" t="s">
        <v>122</v>
      </c>
      <c r="E62" s="964">
        <f>85*0.17</f>
        <v>14.450000000000001</v>
      </c>
      <c r="F62" s="983">
        <f>E62</f>
        <v>14.450000000000001</v>
      </c>
      <c r="G62" s="1131">
        <f>E62</f>
        <v>14.450000000000001</v>
      </c>
      <c r="H62" s="983">
        <f>E62</f>
        <v>14.450000000000001</v>
      </c>
      <c r="I62" s="965">
        <f>E62</f>
        <v>14.450000000000001</v>
      </c>
      <c r="J62" s="962">
        <v>2023</v>
      </c>
      <c r="K62" s="929" t="s">
        <v>931</v>
      </c>
      <c r="T62" s="439"/>
      <c r="U62" s="138"/>
      <c r="V62" s="439"/>
      <c r="W62" s="439"/>
      <c r="X62" s="439"/>
      <c r="Y62" s="439"/>
      <c r="Z62" s="439"/>
      <c r="AA62" s="439"/>
      <c r="AB62" s="439"/>
      <c r="AC62" s="439"/>
      <c r="AD62" s="439"/>
      <c r="AE62" s="439"/>
      <c r="AF62" s="138"/>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row>
    <row r="63" spans="1:86" s="440" customFormat="1" ht="70.150000000000006" customHeight="1" outlineLevel="1" x14ac:dyDescent="0.25">
      <c r="A63" s="439"/>
      <c r="B63" s="1685"/>
      <c r="C63" s="1659"/>
      <c r="D63" s="928" t="s">
        <v>120</v>
      </c>
      <c r="E63" s="957">
        <f>(E61/E62)</f>
        <v>8.29704311418685E-2</v>
      </c>
      <c r="F63" s="968">
        <f>F61/F62</f>
        <v>8.2966089965397907E-2</v>
      </c>
      <c r="G63" s="968">
        <f>G61/G62</f>
        <v>2.8560553633217993E-6</v>
      </c>
      <c r="H63" s="968">
        <f>H61/H62</f>
        <v>1.4851211072664359E-6</v>
      </c>
      <c r="I63" s="967">
        <f>(I61/$I$62)</f>
        <v>6.4276816608996538E-3</v>
      </c>
      <c r="J63" s="962">
        <v>2025</v>
      </c>
      <c r="K63" s="929" t="s">
        <v>214</v>
      </c>
      <c r="T63" s="439"/>
      <c r="U63" s="138"/>
      <c r="V63" s="439"/>
      <c r="W63" s="439"/>
      <c r="X63" s="439"/>
      <c r="Y63" s="439"/>
      <c r="Z63" s="439"/>
      <c r="AA63" s="439"/>
      <c r="AB63" s="439"/>
      <c r="AC63" s="439"/>
      <c r="AD63" s="439"/>
      <c r="AE63" s="439"/>
      <c r="AF63" s="138"/>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39"/>
      <c r="BJ63" s="439"/>
      <c r="BK63" s="439"/>
      <c r="BL63" s="439"/>
      <c r="BM63" s="439"/>
      <c r="BN63" s="439"/>
      <c r="BO63" s="439"/>
      <c r="BP63" s="439"/>
      <c r="BQ63" s="439"/>
      <c r="BR63" s="439"/>
      <c r="BS63" s="439"/>
      <c r="BT63" s="439"/>
      <c r="BU63" s="439"/>
      <c r="BV63" s="439"/>
      <c r="BW63" s="439"/>
      <c r="BX63" s="439"/>
      <c r="BY63" s="439"/>
      <c r="BZ63" s="439"/>
      <c r="CA63" s="439"/>
      <c r="CB63" s="439"/>
      <c r="CC63" s="439"/>
      <c r="CD63" s="439"/>
      <c r="CE63" s="439"/>
      <c r="CF63" s="439"/>
      <c r="CG63" s="439"/>
      <c r="CH63" s="439"/>
    </row>
    <row r="64" spans="1:86" s="440" customFormat="1" ht="70.150000000000006" customHeight="1" outlineLevel="1" x14ac:dyDescent="0.25">
      <c r="A64" s="439"/>
      <c r="B64" s="1685"/>
      <c r="C64" s="1659"/>
      <c r="D64" s="927" t="s">
        <v>934</v>
      </c>
      <c r="E64" s="960">
        <f>(E61/(85*0.2))</f>
        <v>7.0524866470588227E-2</v>
      </c>
      <c r="F64" s="1074"/>
      <c r="G64" s="1075"/>
      <c r="H64" s="1075"/>
      <c r="I64" s="981">
        <f>I63</f>
        <v>6.4276816608996538E-3</v>
      </c>
      <c r="J64" s="962">
        <v>2025</v>
      </c>
      <c r="K64" s="929" t="s">
        <v>932</v>
      </c>
      <c r="T64" s="439"/>
      <c r="U64" s="138"/>
      <c r="V64" s="439"/>
      <c r="W64" s="439"/>
      <c r="X64" s="439"/>
      <c r="Y64" s="439"/>
      <c r="Z64" s="439"/>
      <c r="AA64" s="439"/>
      <c r="AB64" s="439"/>
      <c r="AC64" s="439"/>
      <c r="AD64" s="439"/>
      <c r="AE64" s="439"/>
      <c r="AF64" s="138"/>
      <c r="AG64" s="439"/>
      <c r="AH64" s="439"/>
      <c r="AI64" s="439"/>
      <c r="AJ64" s="439"/>
      <c r="AK64" s="439"/>
      <c r="AL64" s="439"/>
      <c r="AM64" s="439"/>
      <c r="AN64" s="439"/>
      <c r="AO64" s="439"/>
      <c r="AP64" s="439"/>
      <c r="AQ64" s="439"/>
      <c r="AR64" s="439"/>
      <c r="AS64" s="439"/>
      <c r="AT64" s="439"/>
      <c r="AU64" s="439"/>
      <c r="AV64" s="439"/>
      <c r="AW64" s="439"/>
      <c r="AX64" s="439"/>
      <c r="AY64" s="439"/>
      <c r="AZ64" s="439"/>
      <c r="BA64" s="439"/>
      <c r="BB64" s="439"/>
      <c r="BC64" s="439"/>
      <c r="BD64" s="439"/>
      <c r="BE64" s="439"/>
      <c r="BF64" s="439"/>
      <c r="BG64" s="439"/>
      <c r="BH64" s="439"/>
      <c r="BI64" s="439"/>
      <c r="BJ64" s="439"/>
      <c r="BK64" s="439"/>
      <c r="BL64" s="439"/>
      <c r="BM64" s="439"/>
      <c r="BN64" s="439"/>
      <c r="BO64" s="439"/>
      <c r="BP64" s="439"/>
      <c r="BQ64" s="439"/>
      <c r="BR64" s="439"/>
      <c r="BS64" s="439"/>
      <c r="BT64" s="439"/>
      <c r="BU64" s="439"/>
      <c r="BV64" s="439"/>
      <c r="BW64" s="439"/>
      <c r="BX64" s="439"/>
      <c r="BY64" s="439"/>
      <c r="BZ64" s="439"/>
      <c r="CA64" s="439"/>
      <c r="CB64" s="439"/>
      <c r="CC64" s="439"/>
      <c r="CD64" s="439"/>
      <c r="CE64" s="439"/>
      <c r="CF64" s="439"/>
      <c r="CG64" s="439"/>
      <c r="CH64" s="439"/>
    </row>
    <row r="65" spans="1:86" s="440" customFormat="1" ht="70.150000000000006" customHeight="1" outlineLevel="1" x14ac:dyDescent="0.25">
      <c r="A65" s="439"/>
      <c r="B65" s="1685"/>
      <c r="C65" s="1659"/>
      <c r="D65" s="927" t="s">
        <v>935</v>
      </c>
      <c r="E65" s="960">
        <f>(E61/(85*0.33))</f>
        <v>4.2742343315508011E-2</v>
      </c>
      <c r="F65" s="1074"/>
      <c r="G65" s="1075"/>
      <c r="H65" s="1075"/>
      <c r="I65" s="981">
        <f>I63</f>
        <v>6.4276816608996538E-3</v>
      </c>
      <c r="J65" s="962">
        <v>2025</v>
      </c>
      <c r="K65" s="929" t="s">
        <v>933</v>
      </c>
      <c r="T65" s="439"/>
      <c r="U65" s="138"/>
      <c r="V65" s="439"/>
      <c r="W65" s="439"/>
      <c r="X65" s="439"/>
      <c r="Y65" s="439"/>
      <c r="Z65" s="439"/>
      <c r="AA65" s="439"/>
      <c r="AB65" s="439"/>
      <c r="AC65" s="439"/>
      <c r="AD65" s="439"/>
      <c r="AE65" s="439"/>
      <c r="AF65" s="138"/>
      <c r="AG65" s="439"/>
      <c r="AH65" s="439"/>
      <c r="AI65" s="439"/>
      <c r="AJ65" s="439"/>
      <c r="AK65" s="439"/>
      <c r="AL65" s="439"/>
      <c r="AM65" s="439"/>
      <c r="AN65" s="439"/>
      <c r="AO65" s="439"/>
      <c r="AP65" s="439"/>
      <c r="AQ65" s="439"/>
      <c r="AR65" s="439"/>
      <c r="AS65" s="439"/>
      <c r="AT65" s="439"/>
      <c r="AU65" s="439"/>
      <c r="AV65" s="439"/>
      <c r="AW65" s="439"/>
      <c r="AX65" s="439"/>
      <c r="AY65" s="439"/>
      <c r="AZ65" s="439"/>
      <c r="BA65" s="439"/>
      <c r="BB65" s="439"/>
      <c r="BC65" s="439"/>
      <c r="BD65" s="439"/>
      <c r="BE65" s="439"/>
      <c r="BF65" s="439"/>
      <c r="BG65" s="439"/>
      <c r="BH65" s="439"/>
      <c r="BI65" s="439"/>
      <c r="BJ65" s="439"/>
      <c r="BK65" s="439"/>
      <c r="BL65" s="439"/>
      <c r="BM65" s="439"/>
      <c r="BN65" s="439"/>
      <c r="BO65" s="439"/>
      <c r="BP65" s="439"/>
      <c r="BQ65" s="439"/>
      <c r="BR65" s="439"/>
      <c r="BS65" s="439"/>
      <c r="BT65" s="439"/>
      <c r="BU65" s="439"/>
      <c r="BV65" s="439"/>
      <c r="BW65" s="439"/>
      <c r="BX65" s="439"/>
      <c r="BY65" s="439"/>
      <c r="BZ65" s="439"/>
      <c r="CA65" s="439"/>
      <c r="CB65" s="439"/>
      <c r="CC65" s="439"/>
      <c r="CD65" s="439"/>
      <c r="CE65" s="439"/>
      <c r="CF65" s="439"/>
      <c r="CG65" s="439"/>
      <c r="CH65" s="439"/>
    </row>
    <row r="66" spans="1:86" s="440" customFormat="1" ht="70.150000000000006" customHeight="1" outlineLevel="1" x14ac:dyDescent="0.25">
      <c r="A66" s="439"/>
      <c r="B66" s="1685"/>
      <c r="C66" s="1658" t="s">
        <v>374</v>
      </c>
      <c r="D66" s="927" t="s">
        <v>250</v>
      </c>
      <c r="E66" s="960">
        <f>(SUM(F66:H66))</f>
        <v>1.3508783</v>
      </c>
      <c r="F66" s="968">
        <f>1339.89/1000</f>
        <v>1.33989</v>
      </c>
      <c r="G66" s="968">
        <f>998.83/100000</f>
        <v>9.9883000000000003E-3</v>
      </c>
      <c r="H66" s="968">
        <f>1000/1000000</f>
        <v>1E-3</v>
      </c>
      <c r="I66" s="958">
        <f>(1.504*0.06)</f>
        <v>9.0240000000000001E-2</v>
      </c>
      <c r="J66" s="962">
        <v>2022</v>
      </c>
      <c r="K66" s="1249" t="s">
        <v>941</v>
      </c>
      <c r="T66" s="439"/>
      <c r="U66" s="138"/>
      <c r="V66" s="439"/>
      <c r="W66" s="439"/>
      <c r="X66" s="439"/>
      <c r="Y66" s="439"/>
      <c r="Z66" s="439"/>
      <c r="AA66" s="439"/>
      <c r="AB66" s="439"/>
      <c r="AC66" s="439"/>
      <c r="AD66" s="439"/>
      <c r="AE66" s="439"/>
      <c r="AF66" s="138"/>
      <c r="AG66" s="439"/>
      <c r="AH66" s="439"/>
      <c r="AI66" s="439"/>
      <c r="AJ66" s="439"/>
      <c r="AK66" s="439"/>
      <c r="AL66" s="439"/>
      <c r="AM66" s="439"/>
      <c r="AN66" s="439"/>
      <c r="AO66" s="439"/>
      <c r="AP66" s="439"/>
      <c r="AQ66" s="439"/>
      <c r="AR66" s="439"/>
      <c r="AS66" s="439"/>
      <c r="AT66" s="439"/>
      <c r="AU66" s="439"/>
      <c r="AV66" s="439"/>
      <c r="AW66" s="439"/>
      <c r="AX66" s="439"/>
      <c r="AY66" s="439"/>
      <c r="AZ66" s="439"/>
      <c r="BA66" s="439"/>
      <c r="BB66" s="439"/>
      <c r="BC66" s="439"/>
      <c r="BD66" s="439"/>
      <c r="BE66" s="439"/>
      <c r="BF66" s="439"/>
      <c r="BG66" s="439"/>
      <c r="BH66" s="439"/>
      <c r="BI66" s="439"/>
      <c r="BJ66" s="439"/>
      <c r="BK66" s="439"/>
      <c r="BL66" s="439"/>
      <c r="BM66" s="439"/>
      <c r="BN66" s="439"/>
      <c r="BO66" s="439"/>
      <c r="BP66" s="439"/>
      <c r="BQ66" s="439"/>
      <c r="BR66" s="439"/>
      <c r="BS66" s="439"/>
      <c r="BT66" s="439"/>
      <c r="BU66" s="439"/>
      <c r="BV66" s="439"/>
      <c r="BW66" s="439"/>
      <c r="BX66" s="439"/>
      <c r="BY66" s="439"/>
      <c r="BZ66" s="439"/>
      <c r="CA66" s="439"/>
      <c r="CB66" s="439"/>
      <c r="CC66" s="439"/>
      <c r="CD66" s="439"/>
      <c r="CE66" s="439"/>
      <c r="CF66" s="439"/>
      <c r="CG66" s="439"/>
      <c r="CH66" s="439"/>
    </row>
    <row r="67" spans="1:86" s="440" customFormat="1" ht="70.150000000000006" customHeight="1" outlineLevel="1" x14ac:dyDescent="0.25">
      <c r="A67" s="439"/>
      <c r="B67" s="1685"/>
      <c r="C67" s="1658"/>
      <c r="D67" s="927" t="s">
        <v>122</v>
      </c>
      <c r="E67" s="964">
        <f>(85*0.17)</f>
        <v>14.450000000000001</v>
      </c>
      <c r="F67" s="983">
        <f>E67</f>
        <v>14.450000000000001</v>
      </c>
      <c r="G67" s="983">
        <f>F67</f>
        <v>14.450000000000001</v>
      </c>
      <c r="H67" s="983">
        <f>F67</f>
        <v>14.450000000000001</v>
      </c>
      <c r="I67" s="981">
        <f>F67</f>
        <v>14.450000000000001</v>
      </c>
      <c r="J67" s="962">
        <v>2023</v>
      </c>
      <c r="K67" s="929" t="s">
        <v>931</v>
      </c>
      <c r="T67" s="439"/>
      <c r="U67" s="138"/>
      <c r="V67" s="439"/>
      <c r="W67" s="439"/>
      <c r="X67" s="439"/>
      <c r="Y67" s="439"/>
      <c r="Z67" s="439"/>
      <c r="AA67" s="439"/>
      <c r="AB67" s="439"/>
      <c r="AC67" s="439"/>
      <c r="AD67" s="439"/>
      <c r="AE67" s="439"/>
      <c r="AF67" s="138"/>
      <c r="AG67" s="439"/>
      <c r="AH67" s="439"/>
      <c r="AI67" s="439"/>
      <c r="AJ67" s="439"/>
      <c r="AK67" s="439"/>
      <c r="AL67" s="439"/>
      <c r="AM67" s="439"/>
      <c r="AN67" s="439"/>
      <c r="AO67" s="439"/>
      <c r="AP67" s="439"/>
      <c r="AQ67" s="439"/>
      <c r="AR67" s="439"/>
      <c r="AS67" s="439"/>
      <c r="AT67" s="439"/>
      <c r="AU67" s="439"/>
      <c r="AV67" s="439"/>
      <c r="AW67" s="439"/>
      <c r="AX67" s="439"/>
      <c r="AY67" s="439"/>
      <c r="AZ67" s="439"/>
      <c r="BA67" s="439"/>
      <c r="BB67" s="439"/>
      <c r="BC67" s="439"/>
      <c r="BD67" s="439"/>
      <c r="BE67" s="439"/>
      <c r="BF67" s="439"/>
      <c r="BG67" s="439"/>
      <c r="BH67" s="439"/>
      <c r="BI67" s="439"/>
      <c r="BJ67" s="439"/>
      <c r="BK67" s="439"/>
      <c r="BL67" s="439"/>
      <c r="BM67" s="439"/>
      <c r="BN67" s="439"/>
      <c r="BO67" s="439"/>
      <c r="BP67" s="439"/>
      <c r="BQ67" s="439"/>
      <c r="BR67" s="439"/>
      <c r="BS67" s="439"/>
      <c r="BT67" s="439"/>
      <c r="BU67" s="439"/>
      <c r="BV67" s="439"/>
      <c r="BW67" s="439"/>
      <c r="BX67" s="439"/>
      <c r="BY67" s="439"/>
      <c r="BZ67" s="439"/>
      <c r="CA67" s="439"/>
      <c r="CB67" s="439"/>
      <c r="CC67" s="439"/>
      <c r="CD67" s="439"/>
      <c r="CE67" s="439"/>
      <c r="CF67" s="439"/>
      <c r="CG67" s="439"/>
      <c r="CH67" s="439"/>
    </row>
    <row r="68" spans="1:86" s="440" customFormat="1" ht="70.150000000000006" customHeight="1" outlineLevel="1" x14ac:dyDescent="0.25">
      <c r="A68" s="439"/>
      <c r="B68" s="1685"/>
      <c r="C68" s="1658"/>
      <c r="D68" s="928" t="s">
        <v>120</v>
      </c>
      <c r="E68" s="957">
        <f>(E66/E67)</f>
        <v>9.3486387543252586E-2</v>
      </c>
      <c r="F68" s="968">
        <f>F66/F67</f>
        <v>9.2725951557093414E-2</v>
      </c>
      <c r="G68" s="968">
        <f>G66/G67</f>
        <v>6.9123183391003461E-4</v>
      </c>
      <c r="H68" s="968">
        <f>H66/H67</f>
        <v>6.920415224913494E-5</v>
      </c>
      <c r="I68" s="967">
        <f>(I66/I67)</f>
        <v>6.2449826989619374E-3</v>
      </c>
      <c r="J68" s="962">
        <v>2025</v>
      </c>
      <c r="K68" s="929" t="s">
        <v>214</v>
      </c>
      <c r="T68" s="439"/>
      <c r="U68" s="138"/>
      <c r="V68" s="439"/>
      <c r="W68" s="439"/>
      <c r="X68" s="439"/>
      <c r="Y68" s="439"/>
      <c r="Z68" s="439"/>
      <c r="AA68" s="439"/>
      <c r="AB68" s="439"/>
      <c r="AC68" s="439"/>
      <c r="AD68" s="439"/>
      <c r="AE68" s="439"/>
      <c r="AF68" s="138"/>
      <c r="AG68" s="439"/>
      <c r="AH68" s="439"/>
      <c r="AI68" s="439"/>
      <c r="AJ68" s="439"/>
      <c r="AK68" s="439"/>
      <c r="AL68" s="439"/>
      <c r="AM68" s="439"/>
      <c r="AN68" s="439"/>
      <c r="AO68" s="439"/>
      <c r="AP68" s="439"/>
      <c r="AQ68" s="439"/>
      <c r="AR68" s="439"/>
      <c r="AS68" s="439"/>
      <c r="AT68" s="439"/>
      <c r="AU68" s="439"/>
      <c r="AV68" s="439"/>
      <c r="AW68" s="439"/>
      <c r="AX68" s="439"/>
      <c r="AY68" s="439"/>
      <c r="AZ68" s="439"/>
      <c r="BA68" s="439"/>
      <c r="BB68" s="439"/>
      <c r="BC68" s="439"/>
      <c r="BD68" s="439"/>
      <c r="BE68" s="439"/>
      <c r="BF68" s="439"/>
      <c r="BG68" s="439"/>
      <c r="BH68" s="439"/>
      <c r="BI68" s="439"/>
      <c r="BJ68" s="439"/>
      <c r="BK68" s="439"/>
      <c r="BL68" s="439"/>
      <c r="BM68" s="439"/>
      <c r="BN68" s="439"/>
      <c r="BO68" s="439"/>
      <c r="BP68" s="439"/>
      <c r="BQ68" s="439"/>
      <c r="BR68" s="439"/>
      <c r="BS68" s="439"/>
      <c r="BT68" s="439"/>
      <c r="BU68" s="439"/>
      <c r="BV68" s="439"/>
      <c r="BW68" s="439"/>
      <c r="BX68" s="439"/>
      <c r="BY68" s="439"/>
      <c r="BZ68" s="439"/>
      <c r="CA68" s="439"/>
      <c r="CB68" s="439"/>
      <c r="CC68" s="439"/>
      <c r="CD68" s="439"/>
      <c r="CE68" s="439"/>
      <c r="CF68" s="439"/>
      <c r="CG68" s="439"/>
      <c r="CH68" s="439"/>
    </row>
    <row r="69" spans="1:86" s="440" customFormat="1" ht="70.150000000000006" customHeight="1" outlineLevel="1" x14ac:dyDescent="0.25">
      <c r="A69" s="439"/>
      <c r="B69" s="1685"/>
      <c r="C69" s="1658"/>
      <c r="D69" s="927" t="s">
        <v>934</v>
      </c>
      <c r="E69" s="960">
        <f>(E66/(85*0.2))</f>
        <v>7.9463429411764708E-2</v>
      </c>
      <c r="F69" s="1627"/>
      <c r="G69" s="1628"/>
      <c r="H69" s="1629"/>
      <c r="I69" s="981">
        <f>I68</f>
        <v>6.2449826989619374E-3</v>
      </c>
      <c r="J69" s="962">
        <v>2025</v>
      </c>
      <c r="K69" s="929" t="s">
        <v>932</v>
      </c>
      <c r="T69" s="439"/>
      <c r="U69" s="138"/>
      <c r="V69" s="439"/>
      <c r="W69" s="439"/>
      <c r="X69" s="439"/>
      <c r="Y69" s="439"/>
      <c r="Z69" s="439"/>
      <c r="AA69" s="439"/>
      <c r="AB69" s="439"/>
      <c r="AC69" s="439"/>
      <c r="AD69" s="439"/>
      <c r="AE69" s="439"/>
      <c r="AF69" s="138"/>
      <c r="AG69" s="439"/>
      <c r="AH69" s="439"/>
      <c r="AI69" s="439"/>
      <c r="AJ69" s="439"/>
      <c r="AK69" s="439"/>
      <c r="AL69" s="439"/>
      <c r="AM69" s="439"/>
      <c r="AN69" s="439"/>
      <c r="AO69" s="439"/>
      <c r="AP69" s="439"/>
      <c r="AQ69" s="439"/>
      <c r="AR69" s="439"/>
      <c r="AS69" s="439"/>
      <c r="AT69" s="439"/>
      <c r="AU69" s="439"/>
      <c r="AV69" s="439"/>
      <c r="AW69" s="439"/>
      <c r="AX69" s="439"/>
      <c r="AY69" s="439"/>
      <c r="AZ69" s="439"/>
      <c r="BA69" s="439"/>
      <c r="BB69" s="439"/>
      <c r="BC69" s="439"/>
      <c r="BD69" s="439"/>
      <c r="BE69" s="439"/>
      <c r="BF69" s="439"/>
      <c r="BG69" s="439"/>
      <c r="BH69" s="439"/>
      <c r="BI69" s="439"/>
      <c r="BJ69" s="439"/>
      <c r="BK69" s="439"/>
      <c r="BL69" s="439"/>
      <c r="BM69" s="439"/>
      <c r="BN69" s="439"/>
      <c r="BO69" s="439"/>
      <c r="BP69" s="439"/>
      <c r="BQ69" s="439"/>
      <c r="BR69" s="439"/>
      <c r="BS69" s="439"/>
      <c r="BT69" s="439"/>
      <c r="BU69" s="439"/>
      <c r="BV69" s="439"/>
      <c r="BW69" s="439"/>
      <c r="BX69" s="439"/>
      <c r="BY69" s="439"/>
      <c r="BZ69" s="439"/>
      <c r="CA69" s="439"/>
      <c r="CB69" s="439"/>
      <c r="CC69" s="439"/>
      <c r="CD69" s="439"/>
      <c r="CE69" s="439"/>
      <c r="CF69" s="439"/>
      <c r="CG69" s="439"/>
      <c r="CH69" s="439"/>
    </row>
    <row r="70" spans="1:86" s="440" customFormat="1" ht="70.150000000000006" customHeight="1" outlineLevel="1" x14ac:dyDescent="0.25">
      <c r="A70" s="439"/>
      <c r="B70" s="1685"/>
      <c r="C70" s="1658"/>
      <c r="D70" s="927" t="s">
        <v>935</v>
      </c>
      <c r="E70" s="960">
        <f>(E66/(85*0.33))</f>
        <v>4.8159654188948305E-2</v>
      </c>
      <c r="F70" s="1627"/>
      <c r="G70" s="1628"/>
      <c r="H70" s="1629"/>
      <c r="I70" s="981">
        <f>I68</f>
        <v>6.2449826989619374E-3</v>
      </c>
      <c r="J70" s="962">
        <v>2025</v>
      </c>
      <c r="K70" s="929" t="s">
        <v>933</v>
      </c>
      <c r="T70" s="439"/>
      <c r="U70" s="138"/>
      <c r="V70" s="439"/>
      <c r="W70" s="439"/>
      <c r="X70" s="439"/>
      <c r="Y70" s="439"/>
      <c r="Z70" s="439"/>
      <c r="AA70" s="439"/>
      <c r="AB70" s="439"/>
      <c r="AC70" s="439"/>
      <c r="AD70" s="439"/>
      <c r="AE70" s="439"/>
      <c r="AF70" s="138"/>
      <c r="AG70" s="439"/>
      <c r="AH70" s="439"/>
      <c r="AI70" s="439"/>
      <c r="AJ70" s="439"/>
      <c r="AK70" s="439"/>
      <c r="AL70" s="439"/>
      <c r="AM70" s="439"/>
      <c r="AN70" s="439"/>
      <c r="AO70" s="439"/>
      <c r="AP70" s="439"/>
      <c r="AQ70" s="439"/>
      <c r="AR70" s="439"/>
      <c r="AS70" s="439"/>
      <c r="AT70" s="439"/>
      <c r="AU70" s="439"/>
      <c r="AV70" s="439"/>
      <c r="AW70" s="439"/>
      <c r="AX70" s="439"/>
      <c r="AY70" s="439"/>
      <c r="AZ70" s="439"/>
      <c r="BA70" s="439"/>
      <c r="BB70" s="439"/>
      <c r="BC70" s="439"/>
      <c r="BD70" s="439"/>
      <c r="BE70" s="439"/>
      <c r="BF70" s="439"/>
      <c r="BG70" s="439"/>
      <c r="BH70" s="439"/>
      <c r="BI70" s="439"/>
      <c r="BJ70" s="439"/>
      <c r="BK70" s="439"/>
      <c r="BL70" s="439"/>
      <c r="BM70" s="439"/>
      <c r="BN70" s="439"/>
      <c r="BO70" s="439"/>
      <c r="BP70" s="439"/>
      <c r="BQ70" s="439"/>
      <c r="BR70" s="439"/>
      <c r="BS70" s="439"/>
      <c r="BT70" s="439"/>
      <c r="BU70" s="439"/>
      <c r="BV70" s="439"/>
      <c r="BW70" s="439"/>
      <c r="BX70" s="439"/>
      <c r="BY70" s="439"/>
      <c r="BZ70" s="439"/>
      <c r="CA70" s="439"/>
      <c r="CB70" s="439"/>
      <c r="CC70" s="439"/>
      <c r="CD70" s="439"/>
      <c r="CE70" s="439"/>
      <c r="CF70" s="439"/>
      <c r="CG70" s="439"/>
      <c r="CH70" s="439"/>
    </row>
    <row r="71" spans="1:86" s="440" customFormat="1" ht="70.150000000000006" customHeight="1" outlineLevel="1" x14ac:dyDescent="0.25">
      <c r="A71" s="439"/>
      <c r="B71" s="1685"/>
      <c r="C71" s="1659" t="s">
        <v>930</v>
      </c>
      <c r="D71" s="927" t="s">
        <v>250</v>
      </c>
      <c r="E71" s="960">
        <v>0.68600000000000005</v>
      </c>
      <c r="F71" s="1652"/>
      <c r="G71" s="1653"/>
      <c r="H71" s="1654"/>
      <c r="I71" s="958">
        <f>(1.051*0.06)</f>
        <v>6.3059999999999991E-2</v>
      </c>
      <c r="J71" s="962">
        <v>2021</v>
      </c>
      <c r="K71" s="963" t="s">
        <v>450</v>
      </c>
      <c r="T71" s="439"/>
      <c r="U71" s="138"/>
      <c r="V71" s="439"/>
      <c r="W71" s="439"/>
      <c r="X71" s="439"/>
      <c r="Y71" s="439"/>
      <c r="Z71" s="439"/>
      <c r="AA71" s="439"/>
      <c r="AB71" s="439"/>
      <c r="AC71" s="439"/>
      <c r="AD71" s="439"/>
      <c r="AE71" s="439"/>
      <c r="AF71" s="138"/>
      <c r="AG71" s="439"/>
      <c r="AH71" s="439"/>
      <c r="AI71" s="439"/>
      <c r="AJ71" s="439"/>
      <c r="AK71" s="439"/>
      <c r="AL71" s="439"/>
      <c r="AM71" s="439"/>
      <c r="AN71" s="439"/>
      <c r="AO71" s="439"/>
      <c r="AP71" s="439"/>
      <c r="AQ71" s="439"/>
      <c r="AR71" s="439"/>
      <c r="AS71" s="439"/>
      <c r="AT71" s="439"/>
      <c r="AU71" s="439"/>
      <c r="AV71" s="439"/>
      <c r="AW71" s="439"/>
      <c r="AX71" s="439"/>
      <c r="AY71" s="439"/>
      <c r="AZ71" s="439"/>
      <c r="BA71" s="439"/>
      <c r="BB71" s="439"/>
      <c r="BC71" s="439"/>
      <c r="BD71" s="439"/>
      <c r="BE71" s="439"/>
      <c r="BF71" s="439"/>
      <c r="BG71" s="439"/>
      <c r="BH71" s="439"/>
      <c r="BI71" s="439"/>
      <c r="BJ71" s="439"/>
      <c r="BK71" s="439"/>
      <c r="BL71" s="439"/>
      <c r="BM71" s="439"/>
      <c r="BN71" s="439"/>
      <c r="BO71" s="439"/>
      <c r="BP71" s="439"/>
      <c r="BQ71" s="439"/>
      <c r="BR71" s="439"/>
      <c r="BS71" s="439"/>
      <c r="BT71" s="439"/>
      <c r="BU71" s="439"/>
      <c r="BV71" s="439"/>
      <c r="BW71" s="439"/>
      <c r="BX71" s="439"/>
      <c r="BY71" s="439"/>
      <c r="BZ71" s="439"/>
      <c r="CA71" s="439"/>
      <c r="CB71" s="439"/>
      <c r="CC71" s="439"/>
      <c r="CD71" s="439"/>
      <c r="CE71" s="439"/>
      <c r="CF71" s="439"/>
      <c r="CG71" s="439"/>
      <c r="CH71" s="439"/>
    </row>
    <row r="72" spans="1:86" s="440" customFormat="1" ht="70.150000000000006" customHeight="1" outlineLevel="1" x14ac:dyDescent="0.25">
      <c r="A72" s="439"/>
      <c r="B72" s="1685"/>
      <c r="C72" s="1659"/>
      <c r="D72" s="927" t="s">
        <v>122</v>
      </c>
      <c r="E72" s="964">
        <f>(40*0.17)</f>
        <v>6.8000000000000007</v>
      </c>
      <c r="F72" s="1655"/>
      <c r="G72" s="1656"/>
      <c r="H72" s="1657"/>
      <c r="I72" s="981">
        <f>E72</f>
        <v>6.8000000000000007</v>
      </c>
      <c r="J72" s="962">
        <v>2023</v>
      </c>
      <c r="K72" s="929" t="s">
        <v>931</v>
      </c>
      <c r="T72" s="439"/>
      <c r="U72" s="138"/>
      <c r="V72" s="439"/>
      <c r="W72" s="439"/>
      <c r="X72" s="439"/>
      <c r="Y72" s="439"/>
      <c r="Z72" s="439"/>
      <c r="AA72" s="439"/>
      <c r="AB72" s="439"/>
      <c r="AC72" s="439"/>
      <c r="AD72" s="439"/>
      <c r="AE72" s="439"/>
      <c r="AF72" s="138"/>
      <c r="AG72" s="439"/>
      <c r="AH72" s="439"/>
      <c r="AI72" s="439"/>
      <c r="AJ72" s="439"/>
      <c r="AK72" s="439"/>
      <c r="AL72" s="439"/>
      <c r="AM72" s="439"/>
      <c r="AN72" s="439"/>
      <c r="AO72" s="439"/>
      <c r="AP72" s="439"/>
      <c r="AQ72" s="439"/>
      <c r="AR72" s="439"/>
      <c r="AS72" s="439"/>
      <c r="AT72" s="439"/>
      <c r="AU72" s="439"/>
      <c r="AV72" s="439"/>
      <c r="AW72" s="439"/>
      <c r="AX72" s="439"/>
      <c r="AY72" s="439"/>
      <c r="AZ72" s="439"/>
      <c r="BA72" s="439"/>
      <c r="BB72" s="439"/>
      <c r="BC72" s="439"/>
      <c r="BD72" s="439"/>
      <c r="BE72" s="439"/>
      <c r="BF72" s="439"/>
      <c r="BG72" s="439"/>
      <c r="BH72" s="439"/>
      <c r="BI72" s="439"/>
      <c r="BJ72" s="439"/>
      <c r="BK72" s="439"/>
      <c r="BL72" s="439"/>
      <c r="BM72" s="439"/>
      <c r="BN72" s="439"/>
      <c r="BO72" s="439"/>
      <c r="BP72" s="439"/>
      <c r="BQ72" s="439"/>
      <c r="BR72" s="439"/>
      <c r="BS72" s="439"/>
      <c r="BT72" s="439"/>
      <c r="BU72" s="439"/>
      <c r="BV72" s="439"/>
      <c r="BW72" s="439"/>
      <c r="BX72" s="439"/>
      <c r="BY72" s="439"/>
      <c r="BZ72" s="439"/>
      <c r="CA72" s="439"/>
      <c r="CB72" s="439"/>
      <c r="CC72" s="439"/>
      <c r="CD72" s="439"/>
      <c r="CE72" s="439"/>
      <c r="CF72" s="439"/>
      <c r="CG72" s="439"/>
      <c r="CH72" s="439"/>
    </row>
    <row r="73" spans="1:86" s="440" customFormat="1" ht="70.150000000000006" customHeight="1" outlineLevel="1" x14ac:dyDescent="0.25">
      <c r="A73" s="439"/>
      <c r="B73" s="1685"/>
      <c r="C73" s="1659"/>
      <c r="D73" s="928" t="s">
        <v>120</v>
      </c>
      <c r="E73" s="957">
        <f>(E71/E72)</f>
        <v>0.10088235294117646</v>
      </c>
      <c r="F73" s="1649"/>
      <c r="G73" s="1650"/>
      <c r="H73" s="1651"/>
      <c r="I73" s="967">
        <f>(I71/I72)</f>
        <v>9.273529411764703E-3</v>
      </c>
      <c r="J73" s="962">
        <v>2025</v>
      </c>
      <c r="K73" s="929" t="s">
        <v>214</v>
      </c>
      <c r="T73" s="439"/>
      <c r="U73" s="138"/>
      <c r="V73" s="439"/>
      <c r="W73" s="439"/>
      <c r="X73" s="439"/>
      <c r="Y73" s="439"/>
      <c r="Z73" s="439"/>
      <c r="AA73" s="439"/>
      <c r="AB73" s="439"/>
      <c r="AC73" s="439"/>
      <c r="AD73" s="439"/>
      <c r="AE73" s="439"/>
      <c r="AF73" s="138"/>
      <c r="AG73" s="439"/>
      <c r="AH73" s="439"/>
      <c r="AI73" s="439"/>
      <c r="AJ73" s="439"/>
      <c r="AK73" s="439"/>
      <c r="AL73" s="439"/>
      <c r="AM73" s="439"/>
      <c r="AN73" s="439"/>
      <c r="AO73" s="439"/>
      <c r="AP73" s="439"/>
      <c r="AQ73" s="439"/>
      <c r="AR73" s="439"/>
      <c r="AS73" s="439"/>
      <c r="AT73" s="439"/>
      <c r="AU73" s="439"/>
      <c r="AV73" s="439"/>
      <c r="AW73" s="439"/>
      <c r="AX73" s="439"/>
      <c r="AY73" s="439"/>
      <c r="AZ73" s="439"/>
      <c r="BA73" s="439"/>
      <c r="BB73" s="439"/>
      <c r="BC73" s="439"/>
      <c r="BD73" s="439"/>
      <c r="BE73" s="439"/>
      <c r="BF73" s="439"/>
      <c r="BG73" s="439"/>
      <c r="BH73" s="439"/>
      <c r="BI73" s="439"/>
      <c r="BJ73" s="439"/>
      <c r="BK73" s="439"/>
      <c r="BL73" s="439"/>
      <c r="BM73" s="439"/>
      <c r="BN73" s="439"/>
      <c r="BO73" s="439"/>
      <c r="BP73" s="439"/>
      <c r="BQ73" s="439"/>
      <c r="BR73" s="439"/>
      <c r="BS73" s="439"/>
      <c r="BT73" s="439"/>
      <c r="BU73" s="439"/>
      <c r="BV73" s="439"/>
      <c r="BW73" s="439"/>
      <c r="BX73" s="439"/>
      <c r="BY73" s="439"/>
      <c r="BZ73" s="439"/>
      <c r="CA73" s="439"/>
      <c r="CB73" s="439"/>
      <c r="CC73" s="439"/>
      <c r="CD73" s="439"/>
      <c r="CE73" s="439"/>
      <c r="CF73" s="439"/>
      <c r="CG73" s="439"/>
      <c r="CH73" s="439"/>
    </row>
    <row r="74" spans="1:86" s="440" customFormat="1" ht="70.150000000000006" customHeight="1" outlineLevel="1" x14ac:dyDescent="0.25">
      <c r="A74" s="439"/>
      <c r="B74" s="1685"/>
      <c r="C74" s="1659"/>
      <c r="D74" s="927" t="s">
        <v>934</v>
      </c>
      <c r="E74" s="964">
        <f>(E71/(40*0.2))</f>
        <v>8.5750000000000007E-2</v>
      </c>
      <c r="F74" s="1076"/>
      <c r="G74" s="1077"/>
      <c r="H74" s="1077"/>
      <c r="I74" s="981">
        <f>I73</f>
        <v>9.273529411764703E-3</v>
      </c>
      <c r="J74" s="962">
        <v>2025</v>
      </c>
      <c r="K74" s="929" t="s">
        <v>932</v>
      </c>
      <c r="T74" s="439"/>
      <c r="U74" s="138"/>
      <c r="V74" s="439"/>
      <c r="W74" s="439"/>
      <c r="X74" s="439"/>
      <c r="Y74" s="439"/>
      <c r="Z74" s="439"/>
      <c r="AA74" s="439"/>
      <c r="AB74" s="439"/>
      <c r="AC74" s="439"/>
      <c r="AD74" s="439"/>
      <c r="AE74" s="439"/>
      <c r="AF74" s="138"/>
      <c r="AG74" s="439"/>
      <c r="AH74" s="439"/>
      <c r="AI74" s="439"/>
      <c r="AJ74" s="439"/>
      <c r="AK74" s="439"/>
      <c r="AL74" s="439"/>
      <c r="AM74" s="439"/>
      <c r="AN74" s="439"/>
      <c r="AO74" s="439"/>
      <c r="AP74" s="439"/>
      <c r="AQ74" s="439"/>
      <c r="AR74" s="439"/>
      <c r="AS74" s="439"/>
      <c r="AT74" s="439"/>
      <c r="AU74" s="439"/>
      <c r="AV74" s="439"/>
      <c r="AW74" s="439"/>
      <c r="AX74" s="439"/>
      <c r="AY74" s="439"/>
      <c r="AZ74" s="439"/>
      <c r="BA74" s="439"/>
      <c r="BB74" s="439"/>
      <c r="BC74" s="439"/>
      <c r="BD74" s="439"/>
      <c r="BE74" s="439"/>
      <c r="BF74" s="439"/>
      <c r="BG74" s="439"/>
      <c r="BH74" s="439"/>
      <c r="BI74" s="439"/>
      <c r="BJ74" s="439"/>
      <c r="BK74" s="439"/>
      <c r="BL74" s="439"/>
      <c r="BM74" s="439"/>
      <c r="BN74" s="439"/>
      <c r="BO74" s="439"/>
      <c r="BP74" s="439"/>
      <c r="BQ74" s="439"/>
      <c r="BR74" s="439"/>
      <c r="BS74" s="439"/>
      <c r="BT74" s="439"/>
      <c r="BU74" s="439"/>
      <c r="BV74" s="439"/>
      <c r="BW74" s="439"/>
      <c r="BX74" s="439"/>
      <c r="BY74" s="439"/>
      <c r="BZ74" s="439"/>
      <c r="CA74" s="439"/>
      <c r="CB74" s="439"/>
      <c r="CC74" s="439"/>
      <c r="CD74" s="439"/>
      <c r="CE74" s="439"/>
      <c r="CF74" s="439"/>
      <c r="CG74" s="439"/>
      <c r="CH74" s="439"/>
    </row>
    <row r="75" spans="1:86" s="440" customFormat="1" ht="70.150000000000006" customHeight="1" outlineLevel="1" x14ac:dyDescent="0.25">
      <c r="A75" s="439"/>
      <c r="B75" s="1685"/>
      <c r="C75" s="1659"/>
      <c r="D75" s="927" t="s">
        <v>935</v>
      </c>
      <c r="E75" s="960">
        <f>(E71/(40*0.33))</f>
        <v>5.1969696969696971E-2</v>
      </c>
      <c r="F75" s="1078"/>
      <c r="G75" s="1079"/>
      <c r="H75" s="1079"/>
      <c r="I75" s="981">
        <f>I73</f>
        <v>9.273529411764703E-3</v>
      </c>
      <c r="J75" s="962">
        <v>2025</v>
      </c>
      <c r="K75" s="929" t="s">
        <v>933</v>
      </c>
      <c r="T75" s="439"/>
      <c r="U75" s="138"/>
      <c r="V75" s="439"/>
      <c r="W75" s="439"/>
      <c r="X75" s="439"/>
      <c r="Y75" s="439"/>
      <c r="Z75" s="439"/>
      <c r="AA75" s="439"/>
      <c r="AB75" s="439"/>
      <c r="AC75" s="439"/>
      <c r="AD75" s="439"/>
      <c r="AE75" s="439"/>
      <c r="AF75" s="138"/>
      <c r="AG75" s="439"/>
      <c r="AH75" s="439"/>
      <c r="AI75" s="439"/>
      <c r="AJ75" s="439"/>
      <c r="AK75" s="439"/>
      <c r="AL75" s="439"/>
      <c r="AM75" s="439"/>
      <c r="AN75" s="439"/>
      <c r="AO75" s="439"/>
      <c r="AP75" s="439"/>
      <c r="AQ75" s="439"/>
      <c r="AR75" s="439"/>
      <c r="AS75" s="439"/>
      <c r="AT75" s="439"/>
      <c r="AU75" s="439"/>
      <c r="AV75" s="439"/>
      <c r="AW75" s="439"/>
      <c r="AX75" s="439"/>
      <c r="AY75" s="439"/>
      <c r="AZ75" s="439"/>
      <c r="BA75" s="439"/>
      <c r="BB75" s="439"/>
      <c r="BC75" s="439"/>
      <c r="BD75" s="439"/>
      <c r="BE75" s="439"/>
      <c r="BF75" s="439"/>
      <c r="BG75" s="439"/>
      <c r="BH75" s="439"/>
      <c r="BI75" s="439"/>
      <c r="BJ75" s="439"/>
      <c r="BK75" s="439"/>
      <c r="BL75" s="439"/>
      <c r="BM75" s="439"/>
      <c r="BN75" s="439"/>
      <c r="BO75" s="439"/>
      <c r="BP75" s="439"/>
      <c r="BQ75" s="439"/>
      <c r="BR75" s="439"/>
      <c r="BS75" s="439"/>
      <c r="BT75" s="439"/>
      <c r="BU75" s="439"/>
      <c r="BV75" s="439"/>
      <c r="BW75" s="439"/>
      <c r="BX75" s="439"/>
      <c r="BY75" s="439"/>
      <c r="BZ75" s="439"/>
      <c r="CA75" s="439"/>
      <c r="CB75" s="439"/>
      <c r="CC75" s="439"/>
      <c r="CD75" s="439"/>
      <c r="CE75" s="439"/>
      <c r="CF75" s="439"/>
      <c r="CG75" s="439"/>
      <c r="CH75" s="439"/>
    </row>
    <row r="76" spans="1:86" s="441" customFormat="1" ht="70.150000000000006" customHeight="1" outlineLevel="1" x14ac:dyDescent="0.25">
      <c r="A76" s="404"/>
      <c r="B76" s="1685"/>
      <c r="C76" s="1659" t="s">
        <v>929</v>
      </c>
      <c r="D76" s="927" t="s">
        <v>250</v>
      </c>
      <c r="E76" s="960">
        <v>0.58199999999999996</v>
      </c>
      <c r="F76" s="1630"/>
      <c r="G76" s="1631"/>
      <c r="H76" s="1632"/>
      <c r="I76" s="958">
        <f>(1.129*0.06)</f>
        <v>6.7739999999999995E-2</v>
      </c>
      <c r="J76" s="962">
        <v>2021</v>
      </c>
      <c r="K76" s="963" t="s">
        <v>450</v>
      </c>
      <c r="T76" s="404"/>
      <c r="U76" s="753"/>
      <c r="V76" s="404"/>
      <c r="W76" s="404"/>
      <c r="X76" s="404"/>
      <c r="Y76" s="404"/>
      <c r="Z76" s="404"/>
      <c r="AA76" s="404"/>
      <c r="AB76" s="404"/>
      <c r="AC76" s="404"/>
      <c r="AD76" s="404"/>
      <c r="AE76" s="404"/>
      <c r="AF76" s="753"/>
      <c r="AG76" s="404"/>
      <c r="AH76" s="404"/>
      <c r="AI76" s="404"/>
      <c r="AJ76" s="404"/>
      <c r="AK76" s="404"/>
      <c r="AL76" s="404"/>
      <c r="AM76" s="404"/>
      <c r="AN76" s="404"/>
      <c r="AO76" s="404"/>
      <c r="AP76" s="404"/>
      <c r="AQ76" s="404"/>
      <c r="AR76" s="404"/>
      <c r="AS76" s="404"/>
      <c r="AT76" s="404"/>
      <c r="AU76" s="404"/>
      <c r="AV76" s="404"/>
      <c r="AW76" s="404"/>
      <c r="AX76" s="404"/>
      <c r="AY76" s="404"/>
      <c r="AZ76" s="404"/>
      <c r="BA76" s="404"/>
      <c r="BB76" s="404"/>
      <c r="BC76" s="404"/>
      <c r="BD76" s="404"/>
      <c r="BE76" s="404"/>
      <c r="BF76" s="404"/>
      <c r="BG76" s="404"/>
      <c r="BH76" s="404"/>
      <c r="BI76" s="404"/>
      <c r="BJ76" s="404"/>
      <c r="BK76" s="404"/>
      <c r="BL76" s="404"/>
      <c r="BM76" s="404"/>
      <c r="BN76" s="404"/>
      <c r="BO76" s="404"/>
      <c r="BP76" s="404"/>
      <c r="BQ76" s="404"/>
      <c r="BR76" s="404"/>
      <c r="BS76" s="404"/>
      <c r="BT76" s="404"/>
      <c r="BU76" s="404"/>
      <c r="BV76" s="404"/>
      <c r="BW76" s="404"/>
      <c r="BX76" s="404"/>
      <c r="BY76" s="404"/>
      <c r="BZ76" s="404"/>
      <c r="CA76" s="404"/>
      <c r="CB76" s="404"/>
      <c r="CC76" s="404"/>
      <c r="CD76" s="404"/>
      <c r="CE76" s="404"/>
      <c r="CF76" s="404"/>
      <c r="CG76" s="404"/>
      <c r="CH76" s="404"/>
    </row>
    <row r="77" spans="1:86" s="441" customFormat="1" ht="70.150000000000006" customHeight="1" outlineLevel="1" x14ac:dyDescent="0.25">
      <c r="A77" s="404"/>
      <c r="B77" s="1685"/>
      <c r="C77" s="1659"/>
      <c r="D77" s="927" t="s">
        <v>122</v>
      </c>
      <c r="E77" s="964">
        <f>(40*0.17)</f>
        <v>6.8000000000000007</v>
      </c>
      <c r="F77" s="1630"/>
      <c r="G77" s="1631"/>
      <c r="H77" s="1632"/>
      <c r="I77" s="981">
        <f>(40*0.17)</f>
        <v>6.8000000000000007</v>
      </c>
      <c r="J77" s="962">
        <v>2023</v>
      </c>
      <c r="K77" s="929" t="s">
        <v>931</v>
      </c>
      <c r="T77" s="404"/>
      <c r="U77" s="753"/>
      <c r="V77" s="404"/>
      <c r="W77" s="404"/>
      <c r="X77" s="404"/>
      <c r="Y77" s="404"/>
      <c r="Z77" s="404"/>
      <c r="AA77" s="404"/>
      <c r="AB77" s="404"/>
      <c r="AC77" s="404"/>
      <c r="AD77" s="404"/>
      <c r="AE77" s="404"/>
      <c r="AF77" s="753"/>
      <c r="AG77" s="404"/>
      <c r="AH77" s="404"/>
      <c r="AI77" s="404"/>
      <c r="AJ77" s="404"/>
      <c r="AK77" s="404"/>
      <c r="AL77" s="404"/>
      <c r="AM77" s="404"/>
      <c r="AN77" s="404"/>
      <c r="AO77" s="404"/>
      <c r="AP77" s="404"/>
      <c r="AQ77" s="404"/>
      <c r="AR77" s="404"/>
      <c r="AS77" s="404"/>
      <c r="AT77" s="404"/>
      <c r="AU77" s="404"/>
      <c r="AV77" s="404"/>
      <c r="AW77" s="404"/>
      <c r="AX77" s="404"/>
      <c r="AY77" s="404"/>
      <c r="AZ77" s="404"/>
      <c r="BA77" s="404"/>
      <c r="BB77" s="404"/>
      <c r="BC77" s="404"/>
      <c r="BD77" s="404"/>
      <c r="BE77" s="404"/>
      <c r="BF77" s="404"/>
      <c r="BG77" s="404"/>
      <c r="BH77" s="404"/>
      <c r="BI77" s="404"/>
      <c r="BJ77" s="404"/>
      <c r="BK77" s="404"/>
      <c r="BL77" s="404"/>
      <c r="BM77" s="404"/>
      <c r="BN77" s="404"/>
      <c r="BO77" s="404"/>
      <c r="BP77" s="404"/>
      <c r="BQ77" s="404"/>
      <c r="BR77" s="404"/>
      <c r="BS77" s="404"/>
      <c r="BT77" s="404"/>
      <c r="BU77" s="404"/>
      <c r="BV77" s="404"/>
      <c r="BW77" s="404"/>
      <c r="BX77" s="404"/>
      <c r="BY77" s="404"/>
      <c r="BZ77" s="404"/>
      <c r="CA77" s="404"/>
      <c r="CB77" s="404"/>
      <c r="CC77" s="404"/>
      <c r="CD77" s="404"/>
      <c r="CE77" s="404"/>
      <c r="CF77" s="404"/>
      <c r="CG77" s="404"/>
      <c r="CH77" s="404"/>
    </row>
    <row r="78" spans="1:86" s="441" customFormat="1" ht="70.150000000000006" customHeight="1" outlineLevel="1" x14ac:dyDescent="0.25">
      <c r="A78" s="404"/>
      <c r="B78" s="1685"/>
      <c r="C78" s="1659"/>
      <c r="D78" s="928" t="s">
        <v>120</v>
      </c>
      <c r="E78" s="957">
        <f>(E76/E77)</f>
        <v>8.5588235294117632E-2</v>
      </c>
      <c r="F78" s="1630"/>
      <c r="G78" s="1631"/>
      <c r="H78" s="1632"/>
      <c r="I78" s="967">
        <f>(I76/I77)</f>
        <v>9.9617647058823505E-3</v>
      </c>
      <c r="J78" s="962">
        <v>2025</v>
      </c>
      <c r="K78" s="929" t="s">
        <v>214</v>
      </c>
      <c r="T78" s="404"/>
      <c r="U78" s="753"/>
      <c r="V78" s="404"/>
      <c r="W78" s="404"/>
      <c r="X78" s="404"/>
      <c r="Y78" s="404"/>
      <c r="Z78" s="404"/>
      <c r="AA78" s="404"/>
      <c r="AB78" s="404"/>
      <c r="AC78" s="404"/>
      <c r="AD78" s="404"/>
      <c r="AE78" s="404"/>
      <c r="AF78" s="753"/>
      <c r="AG78" s="404"/>
      <c r="AH78" s="404"/>
      <c r="AI78" s="404"/>
      <c r="AJ78" s="404"/>
      <c r="AK78" s="404"/>
      <c r="AL78" s="404"/>
      <c r="AM78" s="404"/>
      <c r="AN78" s="404"/>
      <c r="AO78" s="404"/>
      <c r="AP78" s="404"/>
      <c r="AQ78" s="404"/>
      <c r="AR78" s="404"/>
      <c r="AS78" s="404"/>
      <c r="AT78" s="404"/>
      <c r="AU78" s="404"/>
      <c r="AV78" s="404"/>
      <c r="AW78" s="404"/>
      <c r="AX78" s="404"/>
      <c r="AY78" s="404"/>
      <c r="AZ78" s="404"/>
      <c r="BA78" s="404"/>
      <c r="BB78" s="404"/>
      <c r="BC78" s="404"/>
      <c r="BD78" s="404"/>
      <c r="BE78" s="404"/>
      <c r="BF78" s="404"/>
      <c r="BG78" s="404"/>
      <c r="BH78" s="404"/>
      <c r="BI78" s="404"/>
      <c r="BJ78" s="404"/>
      <c r="BK78" s="404"/>
      <c r="BL78" s="404"/>
      <c r="BM78" s="404"/>
      <c r="BN78" s="404"/>
      <c r="BO78" s="404"/>
      <c r="BP78" s="404"/>
      <c r="BQ78" s="404"/>
      <c r="BR78" s="404"/>
      <c r="BS78" s="404"/>
      <c r="BT78" s="404"/>
      <c r="BU78" s="404"/>
      <c r="BV78" s="404"/>
      <c r="BW78" s="404"/>
      <c r="BX78" s="404"/>
      <c r="BY78" s="404"/>
      <c r="BZ78" s="404"/>
      <c r="CA78" s="404"/>
      <c r="CB78" s="404"/>
      <c r="CC78" s="404"/>
      <c r="CD78" s="404"/>
      <c r="CE78" s="404"/>
      <c r="CF78" s="404"/>
      <c r="CG78" s="404"/>
      <c r="CH78" s="404"/>
    </row>
    <row r="79" spans="1:86" s="441" customFormat="1" ht="70.150000000000006" customHeight="1" outlineLevel="1" x14ac:dyDescent="0.25">
      <c r="A79" s="404"/>
      <c r="B79" s="1685"/>
      <c r="C79" s="1659"/>
      <c r="D79" s="927" t="s">
        <v>934</v>
      </c>
      <c r="E79" s="960">
        <f>(E76/(40*0.2))</f>
        <v>7.2749999999999995E-2</v>
      </c>
      <c r="F79" s="977"/>
      <c r="G79" s="978"/>
      <c r="H79" s="979"/>
      <c r="I79" s="981">
        <f>I78</f>
        <v>9.9617647058823505E-3</v>
      </c>
      <c r="J79" s="962">
        <v>2025</v>
      </c>
      <c r="K79" s="929" t="s">
        <v>932</v>
      </c>
      <c r="T79" s="404"/>
      <c r="U79" s="753"/>
      <c r="V79" s="404"/>
      <c r="W79" s="404"/>
      <c r="X79" s="404"/>
      <c r="Y79" s="404"/>
      <c r="Z79" s="404"/>
      <c r="AA79" s="404"/>
      <c r="AB79" s="404"/>
      <c r="AC79" s="404"/>
      <c r="AD79" s="404"/>
      <c r="AE79" s="404"/>
      <c r="AF79" s="753"/>
      <c r="AG79" s="404"/>
      <c r="AH79" s="404"/>
      <c r="AI79" s="404"/>
      <c r="AJ79" s="404"/>
      <c r="AK79" s="404"/>
      <c r="AL79" s="404"/>
      <c r="AM79" s="404"/>
      <c r="AN79" s="404"/>
      <c r="AO79" s="404"/>
      <c r="AP79" s="404"/>
      <c r="AQ79" s="404"/>
      <c r="AR79" s="404"/>
      <c r="AS79" s="404"/>
      <c r="AT79" s="404"/>
      <c r="AU79" s="404"/>
      <c r="AV79" s="404"/>
      <c r="AW79" s="404"/>
      <c r="AX79" s="404"/>
      <c r="AY79" s="404"/>
      <c r="AZ79" s="404"/>
      <c r="BA79" s="404"/>
      <c r="BB79" s="404"/>
      <c r="BC79" s="404"/>
      <c r="BD79" s="404"/>
      <c r="BE79" s="404"/>
      <c r="BF79" s="404"/>
      <c r="BG79" s="404"/>
      <c r="BH79" s="404"/>
      <c r="BI79" s="404"/>
      <c r="BJ79" s="404"/>
      <c r="BK79" s="404"/>
      <c r="BL79" s="404"/>
      <c r="BM79" s="404"/>
      <c r="BN79" s="404"/>
      <c r="BO79" s="404"/>
      <c r="BP79" s="404"/>
      <c r="BQ79" s="404"/>
      <c r="BR79" s="404"/>
      <c r="BS79" s="404"/>
      <c r="BT79" s="404"/>
      <c r="BU79" s="404"/>
      <c r="BV79" s="404"/>
      <c r="BW79" s="404"/>
      <c r="BX79" s="404"/>
      <c r="BY79" s="404"/>
      <c r="BZ79" s="404"/>
      <c r="CA79" s="404"/>
      <c r="CB79" s="404"/>
      <c r="CC79" s="404"/>
      <c r="CD79" s="404"/>
      <c r="CE79" s="404"/>
      <c r="CF79" s="404"/>
      <c r="CG79" s="404"/>
      <c r="CH79" s="404"/>
    </row>
    <row r="80" spans="1:86" s="441" customFormat="1" ht="70.150000000000006" customHeight="1" outlineLevel="1" x14ac:dyDescent="0.25">
      <c r="A80" s="404"/>
      <c r="B80" s="1685"/>
      <c r="C80" s="1659"/>
      <c r="D80" s="927" t="s">
        <v>935</v>
      </c>
      <c r="E80" s="960">
        <f>(E76/(40*0.33))</f>
        <v>4.4090909090909083E-2</v>
      </c>
      <c r="F80" s="1630"/>
      <c r="G80" s="1631"/>
      <c r="H80" s="1632"/>
      <c r="I80" s="981">
        <f>I78</f>
        <v>9.9617647058823505E-3</v>
      </c>
      <c r="J80" s="962">
        <v>2025</v>
      </c>
      <c r="K80" s="929" t="s">
        <v>933</v>
      </c>
      <c r="T80" s="404"/>
      <c r="U80" s="753"/>
      <c r="V80" s="404"/>
      <c r="W80" s="404"/>
      <c r="X80" s="404"/>
      <c r="Y80" s="404"/>
      <c r="Z80" s="404"/>
      <c r="AA80" s="404"/>
      <c r="AB80" s="404"/>
      <c r="AC80" s="404"/>
      <c r="AD80" s="404"/>
      <c r="AE80" s="404"/>
      <c r="AF80" s="753"/>
      <c r="AG80" s="404"/>
      <c r="AH80" s="404"/>
      <c r="AI80" s="404"/>
      <c r="AJ80" s="404"/>
      <c r="AK80" s="404"/>
      <c r="AL80" s="404"/>
      <c r="AM80" s="404"/>
      <c r="AN80" s="404"/>
      <c r="AO80" s="404"/>
      <c r="AP80" s="404"/>
      <c r="AQ80" s="404"/>
      <c r="AR80" s="404"/>
      <c r="AS80" s="404"/>
      <c r="AT80" s="404"/>
      <c r="AU80" s="404"/>
      <c r="AV80" s="404"/>
      <c r="AW80" s="404"/>
      <c r="AX80" s="404"/>
      <c r="AY80" s="404"/>
      <c r="AZ80" s="404"/>
      <c r="BA80" s="404"/>
      <c r="BB80" s="404"/>
      <c r="BC80" s="404"/>
      <c r="BD80" s="404"/>
      <c r="BE80" s="404"/>
      <c r="BF80" s="404"/>
      <c r="BG80" s="404"/>
      <c r="BH80" s="404"/>
      <c r="BI80" s="404"/>
      <c r="BJ80" s="404"/>
      <c r="BK80" s="404"/>
      <c r="BL80" s="404"/>
      <c r="BM80" s="404"/>
      <c r="BN80" s="404"/>
      <c r="BO80" s="404"/>
      <c r="BP80" s="404"/>
      <c r="BQ80" s="404"/>
      <c r="BR80" s="404"/>
      <c r="BS80" s="404"/>
      <c r="BT80" s="404"/>
      <c r="BU80" s="404"/>
      <c r="BV80" s="404"/>
      <c r="BW80" s="404"/>
      <c r="BX80" s="404"/>
      <c r="BY80" s="404"/>
      <c r="BZ80" s="404"/>
      <c r="CA80" s="404"/>
      <c r="CB80" s="404"/>
      <c r="CC80" s="404"/>
      <c r="CD80" s="404"/>
      <c r="CE80" s="404"/>
      <c r="CF80" s="404"/>
      <c r="CG80" s="404"/>
      <c r="CH80" s="404"/>
    </row>
    <row r="81" spans="1:86" s="441" customFormat="1" ht="70.150000000000006" customHeight="1" outlineLevel="1" x14ac:dyDescent="0.25">
      <c r="A81" s="404"/>
      <c r="B81" s="1685"/>
      <c r="C81" s="1633" t="s">
        <v>369</v>
      </c>
      <c r="D81" s="927" t="s">
        <v>250</v>
      </c>
      <c r="E81" s="960">
        <v>1.641</v>
      </c>
      <c r="F81" s="977"/>
      <c r="G81" s="978"/>
      <c r="H81" s="978"/>
      <c r="I81" s="979"/>
      <c r="J81" s="962">
        <v>2021</v>
      </c>
      <c r="K81" s="963" t="s">
        <v>450</v>
      </c>
      <c r="T81" s="404"/>
      <c r="U81" s="753"/>
      <c r="V81" s="404"/>
      <c r="W81" s="404"/>
      <c r="X81" s="404"/>
      <c r="Y81" s="404"/>
      <c r="Z81" s="404"/>
      <c r="AA81" s="404"/>
      <c r="AB81" s="404"/>
      <c r="AC81" s="404"/>
      <c r="AD81" s="404"/>
      <c r="AE81" s="404"/>
      <c r="AF81" s="753"/>
      <c r="AG81" s="404"/>
      <c r="AH81" s="404"/>
      <c r="AI81" s="404"/>
      <c r="AJ81" s="404"/>
      <c r="AK81" s="404"/>
      <c r="AL81" s="404"/>
      <c r="AM81" s="404"/>
      <c r="AN81" s="404"/>
      <c r="AO81" s="404"/>
      <c r="AP81" s="404"/>
      <c r="AQ81" s="404"/>
      <c r="AR81" s="404"/>
      <c r="AS81" s="404"/>
      <c r="AT81" s="404"/>
      <c r="AU81" s="404"/>
      <c r="AV81" s="404"/>
      <c r="AW81" s="404"/>
      <c r="AX81" s="404"/>
      <c r="AY81" s="404"/>
      <c r="AZ81" s="404"/>
      <c r="BA81" s="404"/>
      <c r="BB81" s="404"/>
      <c r="BC81" s="404"/>
      <c r="BD81" s="404"/>
      <c r="BE81" s="404"/>
      <c r="BF81" s="404"/>
      <c r="BG81" s="404"/>
      <c r="BH81" s="404"/>
      <c r="BI81" s="404"/>
      <c r="BJ81" s="404"/>
      <c r="BK81" s="404"/>
      <c r="BL81" s="404"/>
      <c r="BM81" s="404"/>
      <c r="BN81" s="404"/>
      <c r="BO81" s="404"/>
      <c r="BP81" s="404"/>
      <c r="BQ81" s="404"/>
      <c r="BR81" s="404"/>
      <c r="BS81" s="404"/>
      <c r="BT81" s="404"/>
      <c r="BU81" s="404"/>
      <c r="BV81" s="404"/>
      <c r="BW81" s="404"/>
      <c r="BX81" s="404"/>
      <c r="BY81" s="404"/>
      <c r="BZ81" s="404"/>
      <c r="CA81" s="404"/>
      <c r="CB81" s="404"/>
      <c r="CC81" s="404"/>
      <c r="CD81" s="404"/>
      <c r="CE81" s="404"/>
      <c r="CF81" s="404"/>
      <c r="CG81" s="404"/>
      <c r="CH81" s="404"/>
    </row>
    <row r="82" spans="1:86" s="441" customFormat="1" ht="70.150000000000006" customHeight="1" outlineLevel="1" x14ac:dyDescent="0.25">
      <c r="A82" s="404"/>
      <c r="B82" s="1685"/>
      <c r="C82" s="1634"/>
      <c r="D82" s="927" t="s">
        <v>122</v>
      </c>
      <c r="E82" s="964">
        <f>(130*0.17)</f>
        <v>22.1</v>
      </c>
      <c r="F82" s="977"/>
      <c r="G82" s="978"/>
      <c r="H82" s="978"/>
      <c r="I82" s="979"/>
      <c r="J82" s="962">
        <v>2023</v>
      </c>
      <c r="K82" s="929" t="s">
        <v>931</v>
      </c>
      <c r="T82" s="404"/>
      <c r="U82" s="753"/>
      <c r="V82" s="404"/>
      <c r="W82" s="404"/>
      <c r="X82" s="404"/>
      <c r="Y82" s="404"/>
      <c r="Z82" s="404"/>
      <c r="AA82" s="404"/>
      <c r="AB82" s="404"/>
      <c r="AC82" s="404"/>
      <c r="AD82" s="404"/>
      <c r="AE82" s="404"/>
      <c r="AF82" s="753"/>
      <c r="AG82" s="404"/>
      <c r="AH82" s="404"/>
      <c r="AI82" s="404"/>
      <c r="AJ82" s="404"/>
      <c r="AK82" s="404"/>
      <c r="AL82" s="404"/>
      <c r="AM82" s="404"/>
      <c r="AN82" s="404"/>
      <c r="AO82" s="404"/>
      <c r="AP82" s="404"/>
      <c r="AQ82" s="404"/>
      <c r="AR82" s="404"/>
      <c r="AS82" s="404"/>
      <c r="AT82" s="404"/>
      <c r="AU82" s="404"/>
      <c r="AV82" s="404"/>
      <c r="AW82" s="404"/>
      <c r="AX82" s="404"/>
      <c r="AY82" s="404"/>
      <c r="AZ82" s="404"/>
      <c r="BA82" s="404"/>
      <c r="BB82" s="404"/>
      <c r="BC82" s="404"/>
      <c r="BD82" s="404"/>
      <c r="BE82" s="404"/>
      <c r="BF82" s="404"/>
      <c r="BG82" s="404"/>
      <c r="BH82" s="404"/>
      <c r="BI82" s="404"/>
      <c r="BJ82" s="404"/>
      <c r="BK82" s="404"/>
      <c r="BL82" s="404"/>
      <c r="BM82" s="404"/>
      <c r="BN82" s="404"/>
      <c r="BO82" s="404"/>
      <c r="BP82" s="404"/>
      <c r="BQ82" s="404"/>
      <c r="BR82" s="404"/>
      <c r="BS82" s="404"/>
      <c r="BT82" s="404"/>
      <c r="BU82" s="404"/>
      <c r="BV82" s="404"/>
      <c r="BW82" s="404"/>
      <c r="BX82" s="404"/>
      <c r="BY82" s="404"/>
      <c r="BZ82" s="404"/>
      <c r="CA82" s="404"/>
      <c r="CB82" s="404"/>
      <c r="CC82" s="404"/>
      <c r="CD82" s="404"/>
      <c r="CE82" s="404"/>
      <c r="CF82" s="404"/>
      <c r="CG82" s="404"/>
      <c r="CH82" s="404"/>
    </row>
    <row r="83" spans="1:86" s="441" customFormat="1" ht="70.150000000000006" customHeight="1" outlineLevel="1" x14ac:dyDescent="0.25">
      <c r="A83" s="404"/>
      <c r="B83" s="1685"/>
      <c r="C83" s="1634"/>
      <c r="D83" s="928" t="s">
        <v>120</v>
      </c>
      <c r="E83" s="957">
        <f>(E81/E82)</f>
        <v>7.4253393665158374E-2</v>
      </c>
      <c r="F83" s="1630"/>
      <c r="G83" s="1631"/>
      <c r="H83" s="1632"/>
      <c r="I83" s="969">
        <f>(3.65/1000)</f>
        <v>3.65E-3</v>
      </c>
      <c r="J83" s="962">
        <v>2025</v>
      </c>
      <c r="K83" s="929" t="s">
        <v>214</v>
      </c>
      <c r="T83" s="404"/>
      <c r="U83" s="753"/>
      <c r="V83" s="404"/>
      <c r="W83" s="404"/>
      <c r="X83" s="404"/>
      <c r="Y83" s="404"/>
      <c r="Z83" s="404"/>
      <c r="AA83" s="404"/>
      <c r="AB83" s="404"/>
      <c r="AC83" s="404"/>
      <c r="AD83" s="404"/>
      <c r="AE83" s="404"/>
      <c r="AF83" s="753"/>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c r="BS83" s="404"/>
      <c r="BT83" s="404"/>
      <c r="BU83" s="404"/>
      <c r="BV83" s="404"/>
      <c r="BW83" s="404"/>
      <c r="BX83" s="404"/>
      <c r="BY83" s="404"/>
      <c r="BZ83" s="404"/>
      <c r="CA83" s="404"/>
      <c r="CB83" s="404"/>
      <c r="CC83" s="404"/>
      <c r="CD83" s="404"/>
      <c r="CE83" s="404"/>
      <c r="CF83" s="404"/>
      <c r="CG83" s="404"/>
      <c r="CH83" s="404"/>
    </row>
    <row r="84" spans="1:86" s="441" customFormat="1" ht="70.150000000000006" customHeight="1" outlineLevel="1" x14ac:dyDescent="0.25">
      <c r="A84" s="404"/>
      <c r="B84" s="1685"/>
      <c r="C84" s="1634"/>
      <c r="D84" s="927" t="s">
        <v>934</v>
      </c>
      <c r="E84" s="960">
        <f>(E81/(130*0.2))</f>
        <v>6.3115384615384615E-2</v>
      </c>
      <c r="F84" s="1630"/>
      <c r="G84" s="1631"/>
      <c r="H84" s="1632"/>
      <c r="I84" s="981">
        <f>I83</f>
        <v>3.65E-3</v>
      </c>
      <c r="J84" s="962">
        <v>2025</v>
      </c>
      <c r="K84" s="929" t="s">
        <v>932</v>
      </c>
      <c r="T84" s="404"/>
      <c r="U84" s="753"/>
      <c r="V84" s="404"/>
      <c r="W84" s="404"/>
      <c r="X84" s="404"/>
      <c r="Y84" s="404"/>
      <c r="Z84" s="404"/>
      <c r="AA84" s="404"/>
      <c r="AB84" s="404"/>
      <c r="AC84" s="404"/>
      <c r="AD84" s="404"/>
      <c r="AE84" s="404"/>
      <c r="AF84" s="753"/>
      <c r="AG84" s="404"/>
      <c r="AH84" s="404"/>
      <c r="AI84" s="404"/>
      <c r="AJ84" s="404"/>
      <c r="AK84" s="404"/>
      <c r="AL84" s="404"/>
      <c r="AM84" s="404"/>
      <c r="AN84" s="404"/>
      <c r="AO84" s="404"/>
      <c r="AP84" s="404"/>
      <c r="AQ84" s="404"/>
      <c r="AR84" s="404"/>
      <c r="AS84" s="404"/>
      <c r="AT84" s="404"/>
      <c r="AU84" s="404"/>
      <c r="AV84" s="404"/>
      <c r="AW84" s="404"/>
      <c r="AX84" s="404"/>
      <c r="AY84" s="404"/>
      <c r="AZ84" s="404"/>
      <c r="BA84" s="404"/>
      <c r="BB84" s="404"/>
      <c r="BC84" s="404"/>
      <c r="BD84" s="404"/>
      <c r="BE84" s="404"/>
      <c r="BF84" s="404"/>
      <c r="BG84" s="404"/>
      <c r="BH84" s="404"/>
      <c r="BI84" s="404"/>
      <c r="BJ84" s="404"/>
      <c r="BK84" s="404"/>
      <c r="BL84" s="404"/>
      <c r="BM84" s="404"/>
      <c r="BN84" s="404"/>
      <c r="BO84" s="404"/>
      <c r="BP84" s="404"/>
      <c r="BQ84" s="404"/>
      <c r="BR84" s="404"/>
      <c r="BS84" s="404"/>
      <c r="BT84" s="404"/>
      <c r="BU84" s="404"/>
      <c r="BV84" s="404"/>
      <c r="BW84" s="404"/>
      <c r="BX84" s="404"/>
      <c r="BY84" s="404"/>
      <c r="BZ84" s="404"/>
      <c r="CA84" s="404"/>
      <c r="CB84" s="404"/>
      <c r="CC84" s="404"/>
      <c r="CD84" s="404"/>
      <c r="CE84" s="404"/>
      <c r="CF84" s="404"/>
      <c r="CG84" s="404"/>
      <c r="CH84" s="404"/>
    </row>
    <row r="85" spans="1:86" s="441" customFormat="1" ht="70.150000000000006" customHeight="1" outlineLevel="1" x14ac:dyDescent="0.25">
      <c r="A85" s="404"/>
      <c r="B85" s="1685"/>
      <c r="C85" s="1635"/>
      <c r="D85" s="927" t="s">
        <v>935</v>
      </c>
      <c r="E85" s="960">
        <f>(E81/(130*0.33))</f>
        <v>3.8251748251748256E-2</v>
      </c>
      <c r="F85" s="1630"/>
      <c r="G85" s="1631"/>
      <c r="H85" s="1632"/>
      <c r="I85" s="981">
        <f>I83</f>
        <v>3.65E-3</v>
      </c>
      <c r="J85" s="962">
        <v>2025</v>
      </c>
      <c r="K85" s="929" t="s">
        <v>933</v>
      </c>
      <c r="T85" s="404"/>
      <c r="U85" s="753"/>
      <c r="V85" s="404"/>
      <c r="W85" s="404"/>
      <c r="X85" s="404"/>
      <c r="Y85" s="404"/>
      <c r="Z85" s="404"/>
      <c r="AA85" s="404"/>
      <c r="AB85" s="404"/>
      <c r="AC85" s="404"/>
      <c r="AD85" s="404"/>
      <c r="AE85" s="404"/>
      <c r="AF85" s="753"/>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c r="BS85" s="404"/>
      <c r="BT85" s="404"/>
      <c r="BU85" s="404"/>
      <c r="BV85" s="404"/>
      <c r="BW85" s="404"/>
      <c r="BX85" s="404"/>
      <c r="BY85" s="404"/>
      <c r="BZ85" s="404"/>
      <c r="CA85" s="404"/>
      <c r="CB85" s="404"/>
      <c r="CC85" s="404"/>
      <c r="CD85" s="404"/>
      <c r="CE85" s="404"/>
      <c r="CF85" s="404"/>
      <c r="CG85" s="404"/>
      <c r="CH85" s="404"/>
    </row>
    <row r="86" spans="1:86" s="441" customFormat="1" ht="70.150000000000006" customHeight="1" outlineLevel="1" x14ac:dyDescent="0.25">
      <c r="A86" s="404"/>
      <c r="B86" s="1685"/>
      <c r="C86" s="1633" t="s">
        <v>370</v>
      </c>
      <c r="D86" s="927" t="s">
        <v>250</v>
      </c>
      <c r="E86" s="960">
        <v>1.452</v>
      </c>
      <c r="F86" s="1630"/>
      <c r="G86" s="1631"/>
      <c r="H86" s="1631"/>
      <c r="I86" s="1632"/>
      <c r="J86" s="962">
        <v>2021</v>
      </c>
      <c r="K86" s="963" t="s">
        <v>450</v>
      </c>
      <c r="T86" s="404"/>
      <c r="U86" s="753"/>
      <c r="V86" s="404"/>
      <c r="W86" s="404"/>
      <c r="X86" s="404"/>
      <c r="Y86" s="404"/>
      <c r="Z86" s="404"/>
      <c r="AA86" s="404"/>
      <c r="AB86" s="404"/>
      <c r="AC86" s="404"/>
      <c r="AD86" s="404"/>
      <c r="AE86" s="404"/>
      <c r="AF86" s="753"/>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c r="BS86" s="404"/>
      <c r="BT86" s="404"/>
      <c r="BU86" s="404"/>
      <c r="BV86" s="404"/>
      <c r="BW86" s="404"/>
      <c r="BX86" s="404"/>
      <c r="BY86" s="404"/>
      <c r="BZ86" s="404"/>
      <c r="CA86" s="404"/>
      <c r="CB86" s="404"/>
      <c r="CC86" s="404"/>
      <c r="CD86" s="404"/>
      <c r="CE86" s="404"/>
      <c r="CF86" s="404"/>
      <c r="CG86" s="404"/>
      <c r="CH86" s="404"/>
    </row>
    <row r="87" spans="1:86" s="441" customFormat="1" ht="70.150000000000006" customHeight="1" outlineLevel="1" x14ac:dyDescent="0.25">
      <c r="A87" s="404"/>
      <c r="B87" s="1685"/>
      <c r="C87" s="1634"/>
      <c r="D87" s="927" t="s">
        <v>122</v>
      </c>
      <c r="E87" s="964">
        <f>(130*0.17)</f>
        <v>22.1</v>
      </c>
      <c r="F87" s="1630"/>
      <c r="G87" s="1631"/>
      <c r="H87" s="1631"/>
      <c r="I87" s="1632"/>
      <c r="J87" s="962">
        <v>2023</v>
      </c>
      <c r="K87" s="929" t="s">
        <v>931</v>
      </c>
      <c r="T87" s="404"/>
      <c r="U87" s="753"/>
      <c r="V87" s="404"/>
      <c r="W87" s="404"/>
      <c r="X87" s="404"/>
      <c r="Y87" s="404"/>
      <c r="Z87" s="404"/>
      <c r="AA87" s="404"/>
      <c r="AB87" s="404"/>
      <c r="AC87" s="404"/>
      <c r="AD87" s="404"/>
      <c r="AE87" s="404"/>
      <c r="AF87" s="753"/>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c r="BS87" s="404"/>
      <c r="BT87" s="404"/>
      <c r="BU87" s="404"/>
      <c r="BV87" s="404"/>
      <c r="BW87" s="404"/>
      <c r="BX87" s="404"/>
      <c r="BY87" s="404"/>
      <c r="BZ87" s="404"/>
      <c r="CA87" s="404"/>
      <c r="CB87" s="404"/>
      <c r="CC87" s="404"/>
      <c r="CD87" s="404"/>
      <c r="CE87" s="404"/>
      <c r="CF87" s="404"/>
      <c r="CG87" s="404"/>
      <c r="CH87" s="404"/>
    </row>
    <row r="88" spans="1:86" s="441" customFormat="1" ht="70.150000000000006" customHeight="1" outlineLevel="1" x14ac:dyDescent="0.25">
      <c r="A88" s="404"/>
      <c r="B88" s="1685"/>
      <c r="C88" s="1634"/>
      <c r="D88" s="928" t="s">
        <v>120</v>
      </c>
      <c r="E88" s="957">
        <f>(E86/E87)</f>
        <v>6.5701357466063343E-2</v>
      </c>
      <c r="F88" s="1630"/>
      <c r="G88" s="1631"/>
      <c r="H88" s="1632"/>
      <c r="I88" s="969">
        <f>(3.65/1000)</f>
        <v>3.65E-3</v>
      </c>
      <c r="J88" s="962">
        <v>2025</v>
      </c>
      <c r="K88" s="929" t="s">
        <v>214</v>
      </c>
      <c r="T88" s="404"/>
      <c r="U88" s="753"/>
      <c r="V88" s="404"/>
      <c r="W88" s="404"/>
      <c r="X88" s="404"/>
      <c r="Y88" s="404"/>
      <c r="Z88" s="404"/>
      <c r="AA88" s="404"/>
      <c r="AB88" s="404"/>
      <c r="AC88" s="404"/>
      <c r="AD88" s="404"/>
      <c r="AE88" s="404"/>
      <c r="AF88" s="753"/>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c r="BS88" s="404"/>
      <c r="BT88" s="404"/>
      <c r="BU88" s="404"/>
      <c r="BV88" s="404"/>
      <c r="BW88" s="404"/>
      <c r="BX88" s="404"/>
      <c r="BY88" s="404"/>
      <c r="BZ88" s="404"/>
      <c r="CA88" s="404"/>
      <c r="CB88" s="404"/>
      <c r="CC88" s="404"/>
      <c r="CD88" s="404"/>
      <c r="CE88" s="404"/>
      <c r="CF88" s="404"/>
      <c r="CG88" s="404"/>
      <c r="CH88" s="404"/>
    </row>
    <row r="89" spans="1:86" s="441" customFormat="1" ht="70.150000000000006" customHeight="1" outlineLevel="1" x14ac:dyDescent="0.25">
      <c r="A89" s="404"/>
      <c r="B89" s="1685"/>
      <c r="C89" s="1634"/>
      <c r="D89" s="927" t="s">
        <v>934</v>
      </c>
      <c r="E89" s="960">
        <f>(E86/(130*0.2))</f>
        <v>5.5846153846153844E-2</v>
      </c>
      <c r="F89" s="1630"/>
      <c r="G89" s="1631"/>
      <c r="H89" s="1632"/>
      <c r="I89" s="958">
        <f>I88</f>
        <v>3.65E-3</v>
      </c>
      <c r="J89" s="962">
        <v>2025</v>
      </c>
      <c r="K89" s="929" t="s">
        <v>932</v>
      </c>
      <c r="T89" s="404"/>
      <c r="U89" s="753"/>
      <c r="V89" s="404"/>
      <c r="W89" s="404"/>
      <c r="X89" s="404"/>
      <c r="Y89" s="404"/>
      <c r="Z89" s="404"/>
      <c r="AA89" s="404"/>
      <c r="AB89" s="404"/>
      <c r="AC89" s="404"/>
      <c r="AD89" s="404"/>
      <c r="AE89" s="404"/>
      <c r="AF89" s="753"/>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c r="BS89" s="404"/>
      <c r="BT89" s="404"/>
      <c r="BU89" s="404"/>
      <c r="BV89" s="404"/>
      <c r="BW89" s="404"/>
      <c r="BX89" s="404"/>
      <c r="BY89" s="404"/>
      <c r="BZ89" s="404"/>
      <c r="CA89" s="404"/>
      <c r="CB89" s="404"/>
      <c r="CC89" s="404"/>
      <c r="CD89" s="404"/>
      <c r="CE89" s="404"/>
      <c r="CF89" s="404"/>
      <c r="CG89" s="404"/>
      <c r="CH89" s="404"/>
    </row>
    <row r="90" spans="1:86" s="441" customFormat="1" ht="70.150000000000006" customHeight="1" outlineLevel="1" x14ac:dyDescent="0.25">
      <c r="A90" s="404"/>
      <c r="B90" s="1686"/>
      <c r="C90" s="1635"/>
      <c r="D90" s="927" t="s">
        <v>935</v>
      </c>
      <c r="E90" s="960">
        <f>(E86/(130*0.33))</f>
        <v>3.3846153846153845E-2</v>
      </c>
      <c r="F90" s="1630"/>
      <c r="G90" s="1631"/>
      <c r="H90" s="1632"/>
      <c r="I90" s="958">
        <f>I88</f>
        <v>3.65E-3</v>
      </c>
      <c r="J90" s="962">
        <v>2025</v>
      </c>
      <c r="K90" s="929" t="s">
        <v>933</v>
      </c>
      <c r="T90" s="404"/>
      <c r="U90" s="753"/>
      <c r="V90" s="404"/>
      <c r="W90" s="404"/>
      <c r="X90" s="404"/>
      <c r="Y90" s="404"/>
      <c r="Z90" s="404"/>
      <c r="AA90" s="404"/>
      <c r="AB90" s="404"/>
      <c r="AC90" s="404"/>
      <c r="AD90" s="404"/>
      <c r="AE90" s="404"/>
      <c r="AF90" s="753"/>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c r="BS90" s="404"/>
      <c r="BT90" s="404"/>
      <c r="BU90" s="404"/>
      <c r="BV90" s="404"/>
      <c r="BW90" s="404"/>
      <c r="BX90" s="404"/>
      <c r="BY90" s="404"/>
      <c r="BZ90" s="404"/>
      <c r="CA90" s="404"/>
      <c r="CB90" s="404"/>
      <c r="CC90" s="404"/>
      <c r="CD90" s="404"/>
      <c r="CE90" s="404"/>
      <c r="CF90" s="404"/>
      <c r="CG90" s="404"/>
      <c r="CH90" s="404"/>
    </row>
    <row r="91" spans="1:86" s="441" customFormat="1" ht="49.9" customHeight="1" outlineLevel="1" x14ac:dyDescent="0.25">
      <c r="A91" s="404"/>
      <c r="B91" s="1648" t="s">
        <v>10</v>
      </c>
      <c r="C91" s="1645" t="s">
        <v>11</v>
      </c>
      <c r="D91" s="927" t="s">
        <v>250</v>
      </c>
      <c r="E91" s="960">
        <f>(SUM(F91:H91))</f>
        <v>0.20214171</v>
      </c>
      <c r="F91" s="968">
        <f>202.11/1000</f>
        <v>0.20211000000000001</v>
      </c>
      <c r="G91" s="968">
        <f>27.95/1000000</f>
        <v>2.7949999999999998E-5</v>
      </c>
      <c r="H91" s="968">
        <f>3.76/1000000</f>
        <v>3.7599999999999996E-6</v>
      </c>
      <c r="I91" s="958">
        <f>(48.9/1000)</f>
        <v>4.8899999999999999E-2</v>
      </c>
      <c r="J91" s="962">
        <v>2022</v>
      </c>
      <c r="K91" s="1249" t="s">
        <v>1338</v>
      </c>
      <c r="T91" s="404"/>
      <c r="U91" s="753"/>
      <c r="V91" s="404"/>
      <c r="W91" s="404"/>
      <c r="X91" s="404"/>
      <c r="Y91" s="404"/>
      <c r="Z91" s="404"/>
      <c r="AA91" s="404"/>
      <c r="AB91" s="404"/>
      <c r="AC91" s="404"/>
      <c r="AD91" s="404"/>
      <c r="AE91" s="404"/>
      <c r="AF91" s="753"/>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c r="BS91" s="404"/>
      <c r="BT91" s="404"/>
      <c r="BU91" s="404"/>
      <c r="BV91" s="404"/>
      <c r="BW91" s="404"/>
      <c r="BX91" s="404"/>
      <c r="BY91" s="404"/>
      <c r="BZ91" s="404"/>
      <c r="CA91" s="404"/>
      <c r="CB91" s="404"/>
      <c r="CC91" s="404"/>
      <c r="CD91" s="404"/>
      <c r="CE91" s="404"/>
      <c r="CF91" s="404"/>
      <c r="CG91" s="404"/>
      <c r="CH91" s="404"/>
    </row>
    <row r="92" spans="1:86" s="441" customFormat="1" ht="49.9" customHeight="1" outlineLevel="1" x14ac:dyDescent="0.25">
      <c r="A92" s="404"/>
      <c r="B92" s="1648"/>
      <c r="C92" s="1645"/>
      <c r="D92" s="927" t="s">
        <v>122</v>
      </c>
      <c r="E92" s="964">
        <v>1.6</v>
      </c>
      <c r="F92" s="968">
        <v>1.6</v>
      </c>
      <c r="G92" s="968">
        <v>1.6</v>
      </c>
      <c r="H92" s="968">
        <v>1.6</v>
      </c>
      <c r="I92" s="958">
        <v>1.6</v>
      </c>
      <c r="J92" s="962">
        <v>2017</v>
      </c>
      <c r="K92" s="1126" t="s">
        <v>1105</v>
      </c>
      <c r="T92" s="404"/>
      <c r="U92" s="753"/>
      <c r="V92" s="404"/>
      <c r="W92" s="404"/>
      <c r="X92" s="404"/>
      <c r="Y92" s="404"/>
      <c r="Z92" s="404"/>
      <c r="AA92" s="404"/>
      <c r="AB92" s="404"/>
      <c r="AC92" s="404"/>
      <c r="AD92" s="404"/>
      <c r="AE92" s="404"/>
      <c r="AF92" s="753"/>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c r="BS92" s="404"/>
      <c r="BT92" s="404"/>
      <c r="BU92" s="404"/>
      <c r="BV92" s="404"/>
      <c r="BW92" s="404"/>
      <c r="BX92" s="404"/>
      <c r="BY92" s="404"/>
      <c r="BZ92" s="404"/>
      <c r="CA92" s="404"/>
      <c r="CB92" s="404"/>
      <c r="CC92" s="404"/>
      <c r="CD92" s="404"/>
      <c r="CE92" s="404"/>
      <c r="CF92" s="404"/>
      <c r="CG92" s="404"/>
      <c r="CH92" s="404"/>
    </row>
    <row r="93" spans="1:86" s="441" customFormat="1" ht="49.9" customHeight="1" outlineLevel="1" x14ac:dyDescent="0.25">
      <c r="A93" s="404"/>
      <c r="B93" s="1648"/>
      <c r="C93" s="1645"/>
      <c r="D93" s="928" t="s">
        <v>120</v>
      </c>
      <c r="E93" s="957">
        <f>(E91/E92)</f>
        <v>0.12633856874999999</v>
      </c>
      <c r="F93" s="968">
        <f>F91/F92</f>
        <v>0.12631875000000001</v>
      </c>
      <c r="G93" s="968">
        <f>G91/G92</f>
        <v>1.7468749999999998E-5</v>
      </c>
      <c r="H93" s="968">
        <f>H91/H92</f>
        <v>2.3499999999999995E-6</v>
      </c>
      <c r="I93" s="969">
        <f>(I91/I92)</f>
        <v>3.0562499999999999E-2</v>
      </c>
      <c r="J93" s="962">
        <v>2025</v>
      </c>
      <c r="K93" s="963" t="s">
        <v>121</v>
      </c>
      <c r="T93" s="404"/>
      <c r="U93" s="753"/>
      <c r="V93" s="404"/>
      <c r="W93" s="404"/>
      <c r="X93" s="404"/>
      <c r="Y93" s="404"/>
      <c r="Z93" s="404"/>
      <c r="AA93" s="404"/>
      <c r="AB93" s="404"/>
      <c r="AC93" s="404"/>
      <c r="AD93" s="404"/>
      <c r="AE93" s="404"/>
      <c r="AF93" s="753"/>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c r="BS93" s="404"/>
      <c r="BT93" s="404"/>
      <c r="BU93" s="404"/>
      <c r="BV93" s="404"/>
      <c r="BW93" s="404"/>
      <c r="BX93" s="404"/>
      <c r="BY93" s="404"/>
      <c r="BZ93" s="404"/>
      <c r="CA93" s="404"/>
      <c r="CB93" s="404"/>
      <c r="CC93" s="404"/>
      <c r="CD93" s="404"/>
      <c r="CE93" s="404"/>
      <c r="CF93" s="404"/>
      <c r="CG93" s="404"/>
      <c r="CH93" s="404"/>
    </row>
    <row r="94" spans="1:86" s="441" customFormat="1" ht="49.9" customHeight="1" outlineLevel="1" x14ac:dyDescent="0.25">
      <c r="A94" s="404"/>
      <c r="B94" s="1648"/>
      <c r="C94" s="1645" t="s">
        <v>13</v>
      </c>
      <c r="D94" s="927" t="s">
        <v>250</v>
      </c>
      <c r="E94" s="964">
        <v>0.12825</v>
      </c>
      <c r="F94" s="968">
        <v>0.12708</v>
      </c>
      <c r="G94" s="968">
        <v>1.9000000000000001E-4</v>
      </c>
      <c r="H94" s="968">
        <v>9.7999999999999997E-4</v>
      </c>
      <c r="I94" s="958">
        <f>(48.9/1000)</f>
        <v>4.8899999999999999E-2</v>
      </c>
      <c r="J94" s="962">
        <v>2025</v>
      </c>
      <c r="K94" s="1125" t="s">
        <v>1104</v>
      </c>
      <c r="T94" s="404"/>
      <c r="U94" s="753"/>
      <c r="V94" s="404"/>
      <c r="W94" s="404"/>
      <c r="X94" s="404"/>
      <c r="Y94" s="404"/>
      <c r="Z94" s="404"/>
      <c r="AA94" s="404"/>
      <c r="AB94" s="404"/>
      <c r="AC94" s="404"/>
      <c r="AD94" s="404"/>
      <c r="AE94" s="404"/>
      <c r="AF94" s="753"/>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c r="BS94" s="404"/>
      <c r="BT94" s="404"/>
      <c r="BU94" s="404"/>
      <c r="BV94" s="404"/>
      <c r="BW94" s="404"/>
      <c r="BX94" s="404"/>
      <c r="BY94" s="404"/>
      <c r="BZ94" s="404"/>
      <c r="CA94" s="404"/>
      <c r="CB94" s="404"/>
      <c r="CC94" s="404"/>
      <c r="CD94" s="404"/>
      <c r="CE94" s="404"/>
      <c r="CF94" s="404"/>
      <c r="CG94" s="404"/>
      <c r="CH94" s="404"/>
    </row>
    <row r="95" spans="1:86" s="441" customFormat="1" ht="49.9" customHeight="1" outlineLevel="1" x14ac:dyDescent="0.25">
      <c r="A95" s="404"/>
      <c r="B95" s="1648"/>
      <c r="C95" s="1645"/>
      <c r="D95" s="972" t="s">
        <v>122</v>
      </c>
      <c r="E95" s="964">
        <v>1.6</v>
      </c>
      <c r="F95" s="968">
        <v>1.6</v>
      </c>
      <c r="G95" s="968">
        <v>1.6</v>
      </c>
      <c r="H95" s="968">
        <v>1.6</v>
      </c>
      <c r="I95" s="958">
        <v>1.6</v>
      </c>
      <c r="J95" s="962">
        <v>2017</v>
      </c>
      <c r="K95" s="1126" t="s">
        <v>1105</v>
      </c>
      <c r="T95" s="404"/>
      <c r="U95" s="753"/>
      <c r="V95" s="404"/>
      <c r="W95" s="404"/>
      <c r="X95" s="404"/>
      <c r="Y95" s="404"/>
      <c r="Z95" s="404"/>
      <c r="AA95" s="404"/>
      <c r="AB95" s="404"/>
      <c r="AC95" s="404"/>
      <c r="AD95" s="404"/>
      <c r="AE95" s="404"/>
      <c r="AF95" s="753"/>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c r="BS95" s="404"/>
      <c r="BT95" s="404"/>
      <c r="BU95" s="404"/>
      <c r="BV95" s="404"/>
      <c r="BW95" s="404"/>
      <c r="BX95" s="404"/>
      <c r="BY95" s="404"/>
      <c r="BZ95" s="404"/>
      <c r="CA95" s="404"/>
      <c r="CB95" s="404"/>
      <c r="CC95" s="404"/>
      <c r="CD95" s="404"/>
      <c r="CE95" s="404"/>
      <c r="CF95" s="404"/>
      <c r="CG95" s="404"/>
      <c r="CH95" s="404"/>
    </row>
    <row r="96" spans="1:86" s="441" customFormat="1" ht="49.9" customHeight="1" outlineLevel="1" x14ac:dyDescent="0.25">
      <c r="A96" s="404"/>
      <c r="B96" s="1648"/>
      <c r="C96" s="1645"/>
      <c r="D96" s="928" t="s">
        <v>120</v>
      </c>
      <c r="E96" s="973">
        <f>(E94/E95)</f>
        <v>8.0156249999999998E-2</v>
      </c>
      <c r="F96" s="968">
        <f>F94/F95</f>
        <v>7.9424999999999996E-2</v>
      </c>
      <c r="G96" s="968">
        <f>G94/G95</f>
        <v>1.1875E-4</v>
      </c>
      <c r="H96" s="968">
        <f>H94/H95</f>
        <v>6.1249999999999998E-4</v>
      </c>
      <c r="I96" s="969">
        <f>(I94/I95)</f>
        <v>3.0562499999999999E-2</v>
      </c>
      <c r="J96" s="962">
        <v>2025</v>
      </c>
      <c r="K96" s="963" t="s">
        <v>121</v>
      </c>
      <c r="T96" s="404"/>
      <c r="U96" s="753"/>
      <c r="V96" s="404"/>
      <c r="W96" s="404"/>
      <c r="X96" s="404"/>
      <c r="Y96" s="404"/>
      <c r="Z96" s="404"/>
      <c r="AA96" s="404"/>
      <c r="AB96" s="404"/>
      <c r="AC96" s="404"/>
      <c r="AD96" s="404"/>
      <c r="AE96" s="404"/>
      <c r="AF96" s="753"/>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c r="BS96" s="404"/>
      <c r="BT96" s="404"/>
      <c r="BU96" s="404"/>
      <c r="BV96" s="404"/>
      <c r="BW96" s="404"/>
      <c r="BX96" s="404"/>
      <c r="BY96" s="404"/>
      <c r="BZ96" s="404"/>
      <c r="CA96" s="404"/>
      <c r="CB96" s="404"/>
      <c r="CC96" s="404"/>
      <c r="CD96" s="404"/>
      <c r="CE96" s="404"/>
      <c r="CF96" s="404"/>
      <c r="CG96" s="404"/>
      <c r="CH96" s="404"/>
    </row>
    <row r="97" spans="1:86" s="441" customFormat="1" ht="49.9" customHeight="1" outlineLevel="1" x14ac:dyDescent="0.25">
      <c r="A97" s="404"/>
      <c r="B97" s="1648"/>
      <c r="C97" s="1645" t="s">
        <v>12</v>
      </c>
      <c r="D97" s="927" t="s">
        <v>250</v>
      </c>
      <c r="E97" s="960">
        <f>(SUM(F97:H97))</f>
        <v>0.19246834000000004</v>
      </c>
      <c r="F97" s="968">
        <f>192.46/1000</f>
        <v>0.19246000000000002</v>
      </c>
      <c r="G97" s="968">
        <f>1.19/1000000</f>
        <v>1.19E-6</v>
      </c>
      <c r="H97" s="968">
        <f>7.15/1000000</f>
        <v>7.1500000000000002E-6</v>
      </c>
      <c r="I97" s="958">
        <f>(48.9/1000)</f>
        <v>4.8899999999999999E-2</v>
      </c>
      <c r="J97" s="962">
        <v>2022</v>
      </c>
      <c r="K97" s="1249" t="s">
        <v>941</v>
      </c>
      <c r="T97" s="404"/>
      <c r="U97" s="753"/>
      <c r="V97" s="404"/>
      <c r="W97" s="404"/>
      <c r="X97" s="404"/>
      <c r="Y97" s="404"/>
      <c r="Z97" s="404"/>
      <c r="AA97" s="404"/>
      <c r="AB97" s="404"/>
      <c r="AC97" s="404"/>
      <c r="AD97" s="404"/>
      <c r="AE97" s="404"/>
      <c r="AF97" s="753"/>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c r="BS97" s="404"/>
      <c r="BT97" s="404"/>
      <c r="BU97" s="404"/>
      <c r="BV97" s="404"/>
      <c r="BW97" s="404"/>
      <c r="BX97" s="404"/>
      <c r="BY97" s="404"/>
      <c r="BZ97" s="404"/>
      <c r="CA97" s="404"/>
      <c r="CB97" s="404"/>
      <c r="CC97" s="404"/>
      <c r="CD97" s="404"/>
      <c r="CE97" s="404"/>
      <c r="CF97" s="404"/>
      <c r="CG97" s="404"/>
      <c r="CH97" s="404"/>
    </row>
    <row r="98" spans="1:86" s="441" customFormat="1" ht="49.9" customHeight="1" outlineLevel="1" x14ac:dyDescent="0.25">
      <c r="A98" s="404"/>
      <c r="B98" s="1648"/>
      <c r="C98" s="1645"/>
      <c r="D98" s="927" t="s">
        <v>122</v>
      </c>
      <c r="E98" s="964">
        <v>1.6</v>
      </c>
      <c r="F98" s="968">
        <v>1.6</v>
      </c>
      <c r="G98" s="968">
        <v>1.6</v>
      </c>
      <c r="H98" s="968">
        <v>1.6</v>
      </c>
      <c r="I98" s="958">
        <v>1.6</v>
      </c>
      <c r="J98" s="962">
        <v>2017</v>
      </c>
      <c r="K98" s="1126" t="s">
        <v>1105</v>
      </c>
      <c r="T98" s="404"/>
      <c r="U98" s="753"/>
      <c r="V98" s="404"/>
      <c r="W98" s="404"/>
      <c r="X98" s="404"/>
      <c r="Y98" s="404"/>
      <c r="Z98" s="404"/>
      <c r="AA98" s="404"/>
      <c r="AB98" s="404"/>
      <c r="AC98" s="404"/>
      <c r="AD98" s="404"/>
      <c r="AE98" s="404"/>
      <c r="AF98" s="753"/>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c r="BS98" s="404"/>
      <c r="BT98" s="404"/>
      <c r="BU98" s="404"/>
      <c r="BV98" s="404"/>
      <c r="BW98" s="404"/>
      <c r="BX98" s="404"/>
      <c r="BY98" s="404"/>
      <c r="BZ98" s="404"/>
      <c r="CA98" s="404"/>
      <c r="CB98" s="404"/>
      <c r="CC98" s="404"/>
      <c r="CD98" s="404"/>
      <c r="CE98" s="404"/>
      <c r="CF98" s="404"/>
      <c r="CG98" s="404"/>
      <c r="CH98" s="404"/>
    </row>
    <row r="99" spans="1:86" s="441" customFormat="1" ht="49.9" customHeight="1" outlineLevel="1" x14ac:dyDescent="0.25">
      <c r="A99" s="404"/>
      <c r="B99" s="1648"/>
      <c r="C99" s="1645"/>
      <c r="D99" s="928" t="s">
        <v>120</v>
      </c>
      <c r="E99" s="957">
        <f>(E97/E98)</f>
        <v>0.12029271250000002</v>
      </c>
      <c r="F99" s="968">
        <f>F97/F98</f>
        <v>0.12028750000000001</v>
      </c>
      <c r="G99" s="968">
        <f>G97/G98</f>
        <v>7.4374999999999997E-7</v>
      </c>
      <c r="H99" s="968">
        <f>H97/H98</f>
        <v>4.4687500000000002E-6</v>
      </c>
      <c r="I99" s="969">
        <f>(I97/I98)</f>
        <v>3.0562499999999999E-2</v>
      </c>
      <c r="J99" s="962">
        <v>2025</v>
      </c>
      <c r="K99" s="963" t="s">
        <v>135</v>
      </c>
      <c r="T99" s="404"/>
      <c r="U99" s="753"/>
      <c r="V99" s="404"/>
      <c r="W99" s="404"/>
      <c r="X99" s="404"/>
      <c r="Y99" s="404"/>
      <c r="Z99" s="404"/>
      <c r="AA99" s="404"/>
      <c r="AB99" s="404"/>
      <c r="AC99" s="404"/>
      <c r="AD99" s="404"/>
      <c r="AE99" s="404"/>
      <c r="AF99" s="753"/>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c r="BS99" s="404"/>
      <c r="BT99" s="404"/>
      <c r="BU99" s="404"/>
      <c r="BV99" s="404"/>
      <c r="BW99" s="404"/>
      <c r="BX99" s="404"/>
      <c r="BY99" s="404"/>
      <c r="BZ99" s="404"/>
      <c r="CA99" s="404"/>
      <c r="CB99" s="404"/>
      <c r="CC99" s="404"/>
      <c r="CD99" s="404"/>
      <c r="CE99" s="404"/>
      <c r="CF99" s="404"/>
      <c r="CG99" s="404"/>
      <c r="CH99" s="404"/>
    </row>
    <row r="100" spans="1:86" s="441" customFormat="1" ht="49.9" customHeight="1" outlineLevel="1" x14ac:dyDescent="0.25">
      <c r="A100" s="404"/>
      <c r="B100" s="1648"/>
      <c r="C100" s="1645" t="s">
        <v>14</v>
      </c>
      <c r="D100" s="927" t="s">
        <v>250</v>
      </c>
      <c r="E100" s="960">
        <f>(SUM(F100:H100))</f>
        <v>0.19193440000000001</v>
      </c>
      <c r="F100" s="968">
        <f>191.9/1000</f>
        <v>0.19190000000000002</v>
      </c>
      <c r="G100" s="968">
        <f>34.4/1000000</f>
        <v>3.4399999999999996E-5</v>
      </c>
      <c r="H100" s="968">
        <f>0/1000000</f>
        <v>0</v>
      </c>
      <c r="I100" s="958">
        <f>(48.9/1000)</f>
        <v>4.8899999999999999E-2</v>
      </c>
      <c r="J100" s="962">
        <v>2022</v>
      </c>
      <c r="K100" s="1249" t="s">
        <v>941</v>
      </c>
      <c r="T100" s="404"/>
      <c r="U100" s="753"/>
      <c r="V100" s="404"/>
      <c r="W100" s="404"/>
      <c r="X100" s="404"/>
      <c r="Y100" s="404"/>
      <c r="Z100" s="404"/>
      <c r="AA100" s="404"/>
      <c r="AB100" s="404"/>
      <c r="AC100" s="404"/>
      <c r="AD100" s="404"/>
      <c r="AE100" s="404"/>
      <c r="AF100" s="753"/>
      <c r="AG100" s="404"/>
      <c r="AH100" s="404"/>
      <c r="AI100" s="404"/>
      <c r="AJ100" s="404"/>
      <c r="AK100" s="404"/>
      <c r="AL100" s="404"/>
      <c r="AM100" s="404"/>
      <c r="AN100" s="404"/>
      <c r="AO100" s="404"/>
      <c r="AP100" s="404"/>
      <c r="AQ100" s="404"/>
      <c r="AR100" s="404"/>
      <c r="AS100" s="404"/>
      <c r="AT100" s="404"/>
      <c r="AU100" s="404"/>
      <c r="AV100" s="404"/>
      <c r="AW100" s="404"/>
      <c r="AX100" s="404"/>
      <c r="AY100" s="404"/>
      <c r="AZ100" s="404"/>
      <c r="BA100" s="404"/>
      <c r="BB100" s="404"/>
      <c r="BC100" s="404"/>
      <c r="BD100" s="404"/>
      <c r="BE100" s="404"/>
      <c r="BF100" s="404"/>
      <c r="BG100" s="404"/>
      <c r="BH100" s="404"/>
      <c r="BI100" s="404"/>
      <c r="BJ100" s="404"/>
      <c r="BK100" s="404"/>
      <c r="BL100" s="404"/>
      <c r="BM100" s="404"/>
      <c r="BN100" s="404"/>
      <c r="BO100" s="404"/>
      <c r="BP100" s="404"/>
      <c r="BQ100" s="404"/>
      <c r="BR100" s="404"/>
      <c r="BS100" s="404"/>
      <c r="BT100" s="404"/>
      <c r="BU100" s="404"/>
      <c r="BV100" s="404"/>
      <c r="BW100" s="404"/>
      <c r="BX100" s="404"/>
      <c r="BY100" s="404"/>
      <c r="BZ100" s="404"/>
      <c r="CA100" s="404"/>
      <c r="CB100" s="404"/>
      <c r="CC100" s="404"/>
      <c r="CD100" s="404"/>
      <c r="CE100" s="404"/>
      <c r="CF100" s="404"/>
      <c r="CG100" s="404"/>
      <c r="CH100" s="404"/>
    </row>
    <row r="101" spans="1:86" s="441" customFormat="1" ht="49.9" customHeight="1" outlineLevel="1" x14ac:dyDescent="0.25">
      <c r="A101" s="404"/>
      <c r="B101" s="1648"/>
      <c r="C101" s="1645"/>
      <c r="D101" s="927" t="s">
        <v>122</v>
      </c>
      <c r="E101" s="964">
        <v>1.6</v>
      </c>
      <c r="F101" s="968">
        <v>1.6</v>
      </c>
      <c r="G101" s="968">
        <v>1.6</v>
      </c>
      <c r="H101" s="968">
        <v>1.6</v>
      </c>
      <c r="I101" s="958">
        <v>1.6</v>
      </c>
      <c r="J101" s="962">
        <v>2017</v>
      </c>
      <c r="K101" s="1126" t="s">
        <v>1105</v>
      </c>
      <c r="T101" s="404"/>
      <c r="U101" s="753"/>
      <c r="V101" s="404"/>
      <c r="W101" s="404"/>
      <c r="X101" s="404"/>
      <c r="Y101" s="404"/>
      <c r="Z101" s="404"/>
      <c r="AA101" s="404"/>
      <c r="AB101" s="404"/>
      <c r="AC101" s="404"/>
      <c r="AD101" s="404"/>
      <c r="AE101" s="404"/>
      <c r="AF101" s="753"/>
      <c r="AG101" s="404"/>
      <c r="AH101" s="404"/>
      <c r="AI101" s="404"/>
      <c r="AJ101" s="404"/>
      <c r="AK101" s="404"/>
      <c r="AL101" s="404"/>
      <c r="AM101" s="404"/>
      <c r="AN101" s="404"/>
      <c r="AO101" s="404"/>
      <c r="AP101" s="404"/>
      <c r="AQ101" s="404"/>
      <c r="AR101" s="404"/>
      <c r="AS101" s="404"/>
      <c r="AT101" s="404"/>
      <c r="AU101" s="404"/>
      <c r="AV101" s="404"/>
      <c r="AW101" s="404"/>
      <c r="AX101" s="404"/>
      <c r="AY101" s="404"/>
      <c r="AZ101" s="404"/>
      <c r="BA101" s="404"/>
      <c r="BB101" s="404"/>
      <c r="BC101" s="404"/>
      <c r="BD101" s="404"/>
      <c r="BE101" s="404"/>
      <c r="BF101" s="404"/>
      <c r="BG101" s="404"/>
      <c r="BH101" s="404"/>
      <c r="BI101" s="404"/>
      <c r="BJ101" s="404"/>
      <c r="BK101" s="404"/>
      <c r="BL101" s="404"/>
      <c r="BM101" s="404"/>
      <c r="BN101" s="404"/>
      <c r="BO101" s="404"/>
      <c r="BP101" s="404"/>
      <c r="BQ101" s="404"/>
      <c r="BR101" s="404"/>
      <c r="BS101" s="404"/>
      <c r="BT101" s="404"/>
      <c r="BU101" s="404"/>
      <c r="BV101" s="404"/>
      <c r="BW101" s="404"/>
      <c r="BX101" s="404"/>
      <c r="BY101" s="404"/>
      <c r="BZ101" s="404"/>
      <c r="CA101" s="404"/>
      <c r="CB101" s="404"/>
      <c r="CC101" s="404"/>
      <c r="CD101" s="404"/>
      <c r="CE101" s="404"/>
      <c r="CF101" s="404"/>
      <c r="CG101" s="404"/>
      <c r="CH101" s="404"/>
    </row>
    <row r="102" spans="1:86" s="441" customFormat="1" ht="49.9" customHeight="1" outlineLevel="1" x14ac:dyDescent="0.25">
      <c r="A102" s="404"/>
      <c r="B102" s="1648"/>
      <c r="C102" s="1645"/>
      <c r="D102" s="928" t="s">
        <v>120</v>
      </c>
      <c r="E102" s="957">
        <f>(E100/E101)</f>
        <v>0.119959</v>
      </c>
      <c r="F102" s="968">
        <f>F100/F101</f>
        <v>0.1199375</v>
      </c>
      <c r="G102" s="968">
        <f>G100/G101</f>
        <v>2.1499999999999997E-5</v>
      </c>
      <c r="H102" s="968">
        <f>H100/H101</f>
        <v>0</v>
      </c>
      <c r="I102" s="969">
        <f>(I100/I101)</f>
        <v>3.0562499999999999E-2</v>
      </c>
      <c r="J102" s="962">
        <v>2025</v>
      </c>
      <c r="K102" s="963" t="s">
        <v>121</v>
      </c>
      <c r="T102" s="404"/>
      <c r="U102" s="753"/>
      <c r="V102" s="404"/>
      <c r="W102" s="404"/>
      <c r="X102" s="404"/>
      <c r="Y102" s="404"/>
      <c r="Z102" s="404"/>
      <c r="AA102" s="404"/>
      <c r="AB102" s="404"/>
      <c r="AC102" s="404"/>
      <c r="AD102" s="404"/>
      <c r="AE102" s="404"/>
      <c r="AF102" s="753"/>
      <c r="AG102" s="404"/>
      <c r="AH102" s="404"/>
      <c r="AI102" s="404"/>
      <c r="AJ102" s="404"/>
      <c r="AK102" s="404"/>
      <c r="AL102" s="404"/>
      <c r="AM102" s="404"/>
      <c r="AN102" s="404"/>
      <c r="AO102" s="404"/>
      <c r="AP102" s="404"/>
      <c r="AQ102" s="404"/>
      <c r="AR102" s="404"/>
      <c r="AS102" s="404"/>
      <c r="AT102" s="404"/>
      <c r="AU102" s="404"/>
      <c r="AV102" s="404"/>
      <c r="AW102" s="404"/>
      <c r="AX102" s="404"/>
      <c r="AY102" s="404"/>
      <c r="AZ102" s="404"/>
      <c r="BA102" s="404"/>
      <c r="BB102" s="404"/>
      <c r="BC102" s="404"/>
      <c r="BD102" s="404"/>
      <c r="BE102" s="404"/>
      <c r="BF102" s="404"/>
      <c r="BG102" s="404"/>
      <c r="BH102" s="404"/>
      <c r="BI102" s="404"/>
      <c r="BJ102" s="404"/>
      <c r="BK102" s="404"/>
      <c r="BL102" s="404"/>
      <c r="BM102" s="404"/>
      <c r="BN102" s="404"/>
      <c r="BO102" s="404"/>
      <c r="BP102" s="404"/>
      <c r="BQ102" s="404"/>
      <c r="BR102" s="404"/>
      <c r="BS102" s="404"/>
      <c r="BT102" s="404"/>
      <c r="BU102" s="404"/>
      <c r="BV102" s="404"/>
      <c r="BW102" s="404"/>
      <c r="BX102" s="404"/>
      <c r="BY102" s="404"/>
      <c r="BZ102" s="404"/>
      <c r="CA102" s="404"/>
      <c r="CB102" s="404"/>
      <c r="CC102" s="404"/>
      <c r="CD102" s="404"/>
      <c r="CE102" s="404"/>
      <c r="CF102" s="404"/>
      <c r="CG102" s="404"/>
      <c r="CH102" s="404"/>
    </row>
    <row r="103" spans="1:86" s="441" customFormat="1" ht="49.9" customHeight="1" outlineLevel="1" x14ac:dyDescent="0.25">
      <c r="A103" s="404"/>
      <c r="B103" s="1640" t="s">
        <v>15</v>
      </c>
      <c r="C103" s="1646" t="s">
        <v>123</v>
      </c>
      <c r="D103" s="927" t="s">
        <v>250</v>
      </c>
      <c r="E103" s="960">
        <f>(SUM(F103:H103))</f>
        <v>7.1007210000000001E-2</v>
      </c>
      <c r="F103" s="968">
        <f>70.89/1000</f>
        <v>7.0889999999999995E-2</v>
      </c>
      <c r="G103" s="968">
        <f>116.21/1000000</f>
        <v>1.1621E-4</v>
      </c>
      <c r="H103" s="968">
        <f>1/1000000</f>
        <v>9.9999999999999995E-7</v>
      </c>
      <c r="I103" s="958">
        <f>(382/10000)</f>
        <v>3.8199999999999998E-2</v>
      </c>
      <c r="J103" s="962">
        <v>2022</v>
      </c>
      <c r="K103" s="1249" t="s">
        <v>941</v>
      </c>
      <c r="T103" s="404"/>
      <c r="U103" s="753"/>
      <c r="V103" s="404"/>
      <c r="W103" s="404"/>
      <c r="X103" s="404"/>
      <c r="Y103" s="404"/>
      <c r="Z103" s="404"/>
      <c r="AA103" s="404"/>
      <c r="AB103" s="404"/>
      <c r="AC103" s="404"/>
      <c r="AD103" s="404"/>
      <c r="AE103" s="404"/>
      <c r="AF103" s="753"/>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c r="BS103" s="404"/>
      <c r="BT103" s="404"/>
      <c r="BU103" s="404"/>
      <c r="BV103" s="404"/>
      <c r="BW103" s="404"/>
      <c r="BX103" s="404"/>
      <c r="BY103" s="404"/>
      <c r="BZ103" s="404"/>
      <c r="CA103" s="404"/>
      <c r="CB103" s="404"/>
      <c r="CC103" s="404"/>
      <c r="CD103" s="404"/>
      <c r="CE103" s="404"/>
      <c r="CF103" s="404"/>
      <c r="CG103" s="404"/>
      <c r="CH103" s="404"/>
    </row>
    <row r="104" spans="1:86" s="441" customFormat="1" ht="49.9" customHeight="1" outlineLevel="1" x14ac:dyDescent="0.25">
      <c r="A104" s="404"/>
      <c r="B104" s="1640"/>
      <c r="C104" s="1646"/>
      <c r="D104" s="927" t="s">
        <v>122</v>
      </c>
      <c r="E104" s="964">
        <v>1</v>
      </c>
      <c r="F104" s="968">
        <v>1</v>
      </c>
      <c r="G104" s="968">
        <v>1</v>
      </c>
      <c r="H104" s="968">
        <v>1</v>
      </c>
      <c r="I104" s="958">
        <v>1</v>
      </c>
      <c r="J104" s="962">
        <v>2025</v>
      </c>
      <c r="K104" s="963" t="s">
        <v>1099</v>
      </c>
      <c r="T104" s="404"/>
      <c r="U104" s="753"/>
      <c r="V104" s="404"/>
      <c r="W104" s="404"/>
      <c r="X104" s="404"/>
      <c r="Y104" s="404"/>
      <c r="Z104" s="404"/>
      <c r="AA104" s="404"/>
      <c r="AB104" s="404"/>
      <c r="AC104" s="404"/>
      <c r="AD104" s="404"/>
      <c r="AE104" s="404"/>
      <c r="AF104" s="753"/>
      <c r="AG104" s="404"/>
      <c r="AH104" s="404"/>
      <c r="AI104" s="404"/>
      <c r="AJ104" s="404"/>
      <c r="AK104" s="404"/>
      <c r="AL104" s="404"/>
      <c r="AM104" s="404"/>
      <c r="AN104" s="404"/>
      <c r="AO104" s="404"/>
      <c r="AP104" s="404"/>
      <c r="AQ104" s="404"/>
      <c r="AR104" s="404"/>
      <c r="AS104" s="404"/>
      <c r="AT104" s="404"/>
      <c r="AU104" s="404"/>
      <c r="AV104" s="404"/>
      <c r="AW104" s="404"/>
      <c r="AX104" s="404"/>
      <c r="AY104" s="404"/>
      <c r="AZ104" s="404"/>
      <c r="BA104" s="404"/>
      <c r="BB104" s="404"/>
      <c r="BC104" s="404"/>
      <c r="BD104" s="404"/>
      <c r="BE104" s="404"/>
      <c r="BF104" s="404"/>
      <c r="BG104" s="404"/>
      <c r="BH104" s="404"/>
      <c r="BI104" s="404"/>
      <c r="BJ104" s="404"/>
      <c r="BK104" s="404"/>
      <c r="BL104" s="404"/>
      <c r="BM104" s="404"/>
      <c r="BN104" s="404"/>
      <c r="BO104" s="404"/>
      <c r="BP104" s="404"/>
      <c r="BQ104" s="404"/>
      <c r="BR104" s="404"/>
      <c r="BS104" s="404"/>
      <c r="BT104" s="404"/>
      <c r="BU104" s="404"/>
      <c r="BV104" s="404"/>
      <c r="BW104" s="404"/>
      <c r="BX104" s="404"/>
      <c r="BY104" s="404"/>
      <c r="BZ104" s="404"/>
      <c r="CA104" s="404"/>
      <c r="CB104" s="404"/>
      <c r="CC104" s="404"/>
      <c r="CD104" s="404"/>
      <c r="CE104" s="404"/>
      <c r="CF104" s="404"/>
      <c r="CG104" s="404"/>
      <c r="CH104" s="404"/>
    </row>
    <row r="105" spans="1:86" s="441" customFormat="1" ht="49.9" customHeight="1" outlineLevel="1" x14ac:dyDescent="0.25">
      <c r="A105" s="404"/>
      <c r="B105" s="1640"/>
      <c r="C105" s="1646"/>
      <c r="D105" s="927" t="s">
        <v>120</v>
      </c>
      <c r="E105" s="960">
        <f>(E103/E104)</f>
        <v>7.1007210000000001E-2</v>
      </c>
      <c r="F105" s="968">
        <f>F103/F104</f>
        <v>7.0889999999999995E-2</v>
      </c>
      <c r="G105" s="968">
        <f>G103/G104</f>
        <v>1.1621E-4</v>
      </c>
      <c r="H105" s="968">
        <f>H103/H104</f>
        <v>9.9999999999999995E-7</v>
      </c>
      <c r="I105" s="958">
        <f>(I103/I104)</f>
        <v>3.8199999999999998E-2</v>
      </c>
      <c r="J105" s="962">
        <v>2025</v>
      </c>
      <c r="K105" s="963" t="s">
        <v>121</v>
      </c>
      <c r="T105" s="404"/>
      <c r="U105" s="753"/>
      <c r="V105" s="404"/>
      <c r="W105" s="404"/>
      <c r="X105" s="404"/>
      <c r="Y105" s="404"/>
      <c r="Z105" s="404"/>
      <c r="AA105" s="404"/>
      <c r="AB105" s="404"/>
      <c r="AC105" s="404"/>
      <c r="AD105" s="404"/>
      <c r="AE105" s="404"/>
      <c r="AF105" s="753"/>
      <c r="AG105" s="404"/>
      <c r="AH105" s="404"/>
      <c r="AI105" s="404"/>
      <c r="AJ105" s="404"/>
      <c r="AK105" s="404"/>
      <c r="AL105" s="404"/>
      <c r="AM105" s="404"/>
      <c r="AN105" s="404"/>
      <c r="AO105" s="404"/>
      <c r="AP105" s="404"/>
      <c r="AQ105" s="404"/>
      <c r="AR105" s="404"/>
      <c r="AS105" s="404"/>
      <c r="AT105" s="404"/>
      <c r="AU105" s="404"/>
      <c r="AV105" s="404"/>
      <c r="AW105" s="404"/>
      <c r="AX105" s="404"/>
      <c r="AY105" s="404"/>
      <c r="AZ105" s="404"/>
      <c r="BA105" s="404"/>
      <c r="BB105" s="404"/>
      <c r="BC105" s="404"/>
      <c r="BD105" s="404"/>
      <c r="BE105" s="404"/>
      <c r="BF105" s="404"/>
      <c r="BG105" s="404"/>
      <c r="BH105" s="404"/>
      <c r="BI105" s="404"/>
      <c r="BJ105" s="404"/>
      <c r="BK105" s="404"/>
      <c r="BL105" s="404"/>
      <c r="BM105" s="404"/>
      <c r="BN105" s="404"/>
      <c r="BO105" s="404"/>
      <c r="BP105" s="404"/>
      <c r="BQ105" s="404"/>
      <c r="BR105" s="404"/>
      <c r="BS105" s="404"/>
      <c r="BT105" s="404"/>
      <c r="BU105" s="404"/>
      <c r="BV105" s="404"/>
      <c r="BW105" s="404"/>
      <c r="BX105" s="404"/>
      <c r="BY105" s="404"/>
      <c r="BZ105" s="404"/>
      <c r="CA105" s="404"/>
      <c r="CB105" s="404"/>
      <c r="CC105" s="404"/>
      <c r="CD105" s="404"/>
      <c r="CE105" s="404"/>
      <c r="CF105" s="404"/>
      <c r="CG105" s="404"/>
      <c r="CH105" s="404"/>
    </row>
    <row r="106" spans="1:86" s="441" customFormat="1" ht="49.9" customHeight="1" outlineLevel="1" x14ac:dyDescent="0.25">
      <c r="A106" s="404"/>
      <c r="B106" s="1640"/>
      <c r="C106" s="1647" t="s">
        <v>1106</v>
      </c>
      <c r="D106" s="927" t="s">
        <v>250</v>
      </c>
      <c r="E106" s="960">
        <f>(SUM(F106:H106))</f>
        <v>0.12754610999999999</v>
      </c>
      <c r="F106" s="968">
        <f>127.49/1000</f>
        <v>0.12748999999999999</v>
      </c>
      <c r="G106" s="968">
        <f>54.11/1000000</f>
        <v>5.4110000000000002E-5</v>
      </c>
      <c r="H106" s="968">
        <f>2/1000000</f>
        <v>1.9999999999999999E-6</v>
      </c>
      <c r="I106" s="958">
        <f>(382/20000)</f>
        <v>1.9099999999999999E-2</v>
      </c>
      <c r="J106" s="962">
        <v>2022</v>
      </c>
      <c r="K106" s="1249" t="s">
        <v>941</v>
      </c>
      <c r="T106" s="404"/>
      <c r="U106" s="753"/>
      <c r="V106" s="404"/>
      <c r="W106" s="404"/>
      <c r="X106" s="404"/>
      <c r="Y106" s="404"/>
      <c r="Z106" s="404"/>
      <c r="AA106" s="404"/>
      <c r="AB106" s="404"/>
      <c r="AC106" s="404"/>
      <c r="AD106" s="404"/>
      <c r="AE106" s="404"/>
      <c r="AF106" s="753"/>
      <c r="AG106" s="404"/>
      <c r="AH106" s="404"/>
      <c r="AI106" s="404"/>
      <c r="AJ106" s="404"/>
      <c r="AK106" s="404"/>
      <c r="AL106" s="404"/>
      <c r="AM106" s="404"/>
      <c r="AN106" s="404"/>
      <c r="AO106" s="404"/>
      <c r="AP106" s="404"/>
      <c r="AQ106" s="404"/>
      <c r="AR106" s="404"/>
      <c r="AS106" s="404"/>
      <c r="AT106" s="404"/>
      <c r="AU106" s="404"/>
      <c r="AV106" s="404"/>
      <c r="AW106" s="404"/>
      <c r="AX106" s="404"/>
      <c r="AY106" s="404"/>
      <c r="AZ106" s="404"/>
      <c r="BA106" s="404"/>
      <c r="BB106" s="404"/>
      <c r="BC106" s="404"/>
      <c r="BD106" s="404"/>
      <c r="BE106" s="404"/>
      <c r="BF106" s="404"/>
      <c r="BG106" s="404"/>
      <c r="BH106" s="404"/>
      <c r="BI106" s="404"/>
      <c r="BJ106" s="404"/>
      <c r="BK106" s="404"/>
      <c r="BL106" s="404"/>
      <c r="BM106" s="404"/>
      <c r="BN106" s="404"/>
      <c r="BO106" s="404"/>
      <c r="BP106" s="404"/>
      <c r="BQ106" s="404"/>
      <c r="BR106" s="404"/>
      <c r="BS106" s="404"/>
      <c r="BT106" s="404"/>
      <c r="BU106" s="404"/>
      <c r="BV106" s="404"/>
      <c r="BW106" s="404"/>
      <c r="BX106" s="404"/>
      <c r="BY106" s="404"/>
      <c r="BZ106" s="404"/>
      <c r="CA106" s="404"/>
      <c r="CB106" s="404"/>
      <c r="CC106" s="404"/>
      <c r="CD106" s="404"/>
      <c r="CE106" s="404"/>
      <c r="CF106" s="404"/>
      <c r="CG106" s="404"/>
      <c r="CH106" s="404"/>
    </row>
    <row r="107" spans="1:86" s="441" customFormat="1" ht="49.9" customHeight="1" outlineLevel="1" x14ac:dyDescent="0.25">
      <c r="A107" s="404"/>
      <c r="B107" s="1640"/>
      <c r="C107" s="1647"/>
      <c r="D107" s="927" t="s">
        <v>122</v>
      </c>
      <c r="E107" s="960">
        <v>1</v>
      </c>
      <c r="F107" s="968">
        <v>1</v>
      </c>
      <c r="G107" s="968">
        <v>1</v>
      </c>
      <c r="H107" s="968">
        <v>1</v>
      </c>
      <c r="I107" s="958">
        <v>1</v>
      </c>
      <c r="J107" s="962">
        <v>2025</v>
      </c>
      <c r="K107" s="963" t="s">
        <v>257</v>
      </c>
      <c r="T107" s="404"/>
      <c r="U107" s="753"/>
      <c r="V107" s="404"/>
      <c r="W107" s="404"/>
      <c r="X107" s="404"/>
      <c r="Y107" s="404"/>
      <c r="Z107" s="404"/>
      <c r="AA107" s="404"/>
      <c r="AB107" s="404"/>
      <c r="AC107" s="404"/>
      <c r="AD107" s="404"/>
      <c r="AE107" s="404"/>
      <c r="AF107" s="753"/>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c r="BS107" s="404"/>
      <c r="BT107" s="404"/>
      <c r="BU107" s="404"/>
      <c r="BV107" s="404"/>
      <c r="BW107" s="404"/>
      <c r="BX107" s="404"/>
      <c r="BY107" s="404"/>
      <c r="BZ107" s="404"/>
      <c r="CA107" s="404"/>
      <c r="CB107" s="404"/>
      <c r="CC107" s="404"/>
      <c r="CD107" s="404"/>
      <c r="CE107" s="404"/>
      <c r="CF107" s="404"/>
      <c r="CG107" s="404"/>
      <c r="CH107" s="404"/>
    </row>
    <row r="108" spans="1:86" s="404" customFormat="1" ht="49.9" customHeight="1" outlineLevel="1" x14ac:dyDescent="0.25">
      <c r="B108" s="1640"/>
      <c r="C108" s="1647"/>
      <c r="D108" s="927" t="s">
        <v>120</v>
      </c>
      <c r="E108" s="960">
        <f>(E106/E107)</f>
        <v>0.12754610999999999</v>
      </c>
      <c r="F108" s="968">
        <f>F106/F107</f>
        <v>0.12748999999999999</v>
      </c>
      <c r="G108" s="968">
        <f>G106/G107</f>
        <v>5.4110000000000002E-5</v>
      </c>
      <c r="H108" s="968">
        <f>H106/H107</f>
        <v>1.9999999999999999E-6</v>
      </c>
      <c r="I108" s="958">
        <f>(I106/I107)</f>
        <v>1.9099999999999999E-2</v>
      </c>
      <c r="J108" s="962">
        <v>2025</v>
      </c>
      <c r="K108" s="963" t="s">
        <v>121</v>
      </c>
      <c r="R108" s="438"/>
      <c r="S108" s="743"/>
      <c r="T108" s="442"/>
      <c r="U108" s="757"/>
      <c r="V108" s="442"/>
      <c r="W108" s="442"/>
      <c r="X108" s="442"/>
      <c r="Y108" s="442"/>
      <c r="Z108" s="442"/>
      <c r="AA108" s="442"/>
      <c r="AB108" s="442"/>
      <c r="AC108" s="442"/>
      <c r="AD108" s="442"/>
      <c r="AE108" s="442"/>
      <c r="AF108" s="757"/>
      <c r="AG108" s="442"/>
      <c r="AH108" s="442"/>
      <c r="AI108" s="442"/>
      <c r="AJ108" s="442"/>
      <c r="AK108" s="442"/>
      <c r="AL108" s="442"/>
      <c r="AM108" s="442"/>
      <c r="AN108" s="442"/>
      <c r="AO108" s="4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row>
    <row r="109" spans="1:86" s="404" customFormat="1" ht="49.9" customHeight="1" outlineLevel="1" x14ac:dyDescent="0.25">
      <c r="B109" s="927" t="s">
        <v>124</v>
      </c>
      <c r="C109" s="974" t="s">
        <v>373</v>
      </c>
      <c r="D109" s="927" t="s">
        <v>120</v>
      </c>
      <c r="E109" s="960" t="s">
        <v>371</v>
      </c>
      <c r="F109" s="1627"/>
      <c r="G109" s="1628"/>
      <c r="H109" s="1629"/>
      <c r="I109" s="958">
        <f>(385/1000)</f>
        <v>0.38500000000000001</v>
      </c>
      <c r="J109" s="962">
        <v>2023</v>
      </c>
      <c r="K109" s="1126" t="s">
        <v>372</v>
      </c>
      <c r="R109" s="442"/>
      <c r="S109" s="442"/>
      <c r="T109" s="442"/>
      <c r="U109" s="757"/>
      <c r="V109" s="442"/>
      <c r="W109" s="442"/>
      <c r="X109" s="442"/>
      <c r="Y109" s="442"/>
      <c r="Z109" s="442"/>
      <c r="AA109" s="442"/>
      <c r="AB109" s="442"/>
      <c r="AC109" s="442"/>
      <c r="AD109" s="442"/>
      <c r="AE109" s="442"/>
      <c r="AF109" s="757"/>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row>
    <row r="110" spans="1:86" s="404" customFormat="1" ht="49.9" customHeight="1" x14ac:dyDescent="0.25">
      <c r="B110" s="442"/>
      <c r="C110" s="443"/>
      <c r="D110" s="442"/>
      <c r="E110" s="442"/>
      <c r="F110" s="442"/>
      <c r="G110" s="442"/>
      <c r="H110" s="442"/>
      <c r="I110" s="443"/>
      <c r="J110" s="442"/>
      <c r="K110" s="442"/>
      <c r="L110" s="442"/>
      <c r="M110" s="442"/>
      <c r="N110" s="442"/>
      <c r="O110" s="442"/>
      <c r="P110" s="442"/>
      <c r="Q110" s="442"/>
      <c r="R110" s="442"/>
      <c r="S110" s="442"/>
      <c r="T110" s="442"/>
      <c r="U110" s="757"/>
      <c r="V110" s="442"/>
      <c r="W110" s="442"/>
      <c r="X110" s="442"/>
      <c r="Y110" s="442"/>
      <c r="Z110" s="442"/>
      <c r="AA110" s="442"/>
      <c r="AB110" s="442"/>
      <c r="AC110" s="442"/>
      <c r="AD110" s="442"/>
      <c r="AE110" s="442"/>
      <c r="AF110" s="757"/>
      <c r="AG110" s="442"/>
      <c r="AH110" s="442"/>
      <c r="AI110" s="442"/>
      <c r="AJ110" s="442"/>
      <c r="AK110" s="442"/>
      <c r="AL110" s="442"/>
      <c r="AM110" s="442"/>
      <c r="AN110" s="442"/>
      <c r="AO110" s="4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row>
    <row r="111" spans="1:86" s="404" customFormat="1" ht="49.9" customHeight="1" x14ac:dyDescent="0.25">
      <c r="C111" s="405"/>
      <c r="I111" s="405"/>
      <c r="U111" s="753"/>
      <c r="AF111" s="753"/>
    </row>
  </sheetData>
  <sheetProtection algorithmName="SHA-512" hashValue="CDnwW16TO9T8KX0SZs3ETeTleDShpA7v77984PORE288hOd2wM+M2zjiHYaJ1va3rtLMuScJJfMStmmXdyX7zA==" saltValue="7Y1J6eMKwnzwc85Vu92Gpg==" spinCount="100000" sheet="1" selectLockedCells="1"/>
  <mergeCells count="105">
    <mergeCell ref="V6:V11"/>
    <mergeCell ref="W6:AA6"/>
    <mergeCell ref="AD6:AD11"/>
    <mergeCell ref="AE6:AH6"/>
    <mergeCell ref="W7:AA7"/>
    <mergeCell ref="AE7:AH7"/>
    <mergeCell ref="W8:AA8"/>
    <mergeCell ref="AE8:AH8"/>
    <mergeCell ref="W9:AA9"/>
    <mergeCell ref="AE9:AH9"/>
    <mergeCell ref="AD14:AH14"/>
    <mergeCell ref="V16:AA16"/>
    <mergeCell ref="B2:C2"/>
    <mergeCell ref="C76:C80"/>
    <mergeCell ref="C71:C75"/>
    <mergeCell ref="C25:C29"/>
    <mergeCell ref="C41:C43"/>
    <mergeCell ref="B41:B46"/>
    <mergeCell ref="B15:B39"/>
    <mergeCell ref="B61:B90"/>
    <mergeCell ref="C30:C34"/>
    <mergeCell ref="C15:C19"/>
    <mergeCell ref="C35:C39"/>
    <mergeCell ref="B49:B51"/>
    <mergeCell ref="B47:B48"/>
    <mergeCell ref="C44:C46"/>
    <mergeCell ref="C20:C24"/>
    <mergeCell ref="B6:B7"/>
    <mergeCell ref="L40:L45"/>
    <mergeCell ref="L47:L49"/>
    <mergeCell ref="L52:L55"/>
    <mergeCell ref="L24:L30"/>
    <mergeCell ref="K58:K59"/>
    <mergeCell ref="R6:R7"/>
    <mergeCell ref="L9:L11"/>
    <mergeCell ref="S6:S7"/>
    <mergeCell ref="L6:L7"/>
    <mergeCell ref="M6:M7"/>
    <mergeCell ref="N6:N7"/>
    <mergeCell ref="O6:O7"/>
    <mergeCell ref="P6:P7"/>
    <mergeCell ref="C6:C7"/>
    <mergeCell ref="D6:D7"/>
    <mergeCell ref="H6:H7"/>
    <mergeCell ref="I6:I7"/>
    <mergeCell ref="Q6:Q7"/>
    <mergeCell ref="K6:K7"/>
    <mergeCell ref="E6:E7"/>
    <mergeCell ref="F6:F7"/>
    <mergeCell ref="G6:G7"/>
    <mergeCell ref="J58:J59"/>
    <mergeCell ref="F73:H73"/>
    <mergeCell ref="F69:H69"/>
    <mergeCell ref="F70:H70"/>
    <mergeCell ref="F71:H71"/>
    <mergeCell ref="F72:H72"/>
    <mergeCell ref="B9:B10"/>
    <mergeCell ref="B11:B13"/>
    <mergeCell ref="C66:C70"/>
    <mergeCell ref="C61:C65"/>
    <mergeCell ref="D53:E53"/>
    <mergeCell ref="D54:E54"/>
    <mergeCell ref="B103:B108"/>
    <mergeCell ref="E58:H58"/>
    <mergeCell ref="I58:I59"/>
    <mergeCell ref="B58:B59"/>
    <mergeCell ref="C58:C59"/>
    <mergeCell ref="D58:D59"/>
    <mergeCell ref="C91:C93"/>
    <mergeCell ref="C94:C96"/>
    <mergeCell ref="C97:C99"/>
    <mergeCell ref="C100:C102"/>
    <mergeCell ref="C103:C105"/>
    <mergeCell ref="C106:C108"/>
    <mergeCell ref="B91:B102"/>
    <mergeCell ref="F76:H76"/>
    <mergeCell ref="F77:H77"/>
    <mergeCell ref="F78:H78"/>
    <mergeCell ref="F80:H80"/>
    <mergeCell ref="AL55:AM55"/>
    <mergeCell ref="U52:V55"/>
    <mergeCell ref="W52:AD52"/>
    <mergeCell ref="AF52:AG55"/>
    <mergeCell ref="AH52:AM52"/>
    <mergeCell ref="W53:AD53"/>
    <mergeCell ref="AH53:AM53"/>
    <mergeCell ref="W54:AD54"/>
    <mergeCell ref="AH54:AM54"/>
    <mergeCell ref="W55:X55"/>
    <mergeCell ref="Y55:Z55"/>
    <mergeCell ref="AA55:AB55"/>
    <mergeCell ref="AC55:AD55"/>
    <mergeCell ref="AH55:AI55"/>
    <mergeCell ref="AJ55:AK55"/>
    <mergeCell ref="F109:H109"/>
    <mergeCell ref="F83:H83"/>
    <mergeCell ref="F84:H84"/>
    <mergeCell ref="F85:H85"/>
    <mergeCell ref="F86:I86"/>
    <mergeCell ref="F87:I87"/>
    <mergeCell ref="C86:C90"/>
    <mergeCell ref="C81:C85"/>
    <mergeCell ref="F88:H88"/>
    <mergeCell ref="F89:H89"/>
    <mergeCell ref="F90:H90"/>
  </mergeCells>
  <phoneticPr fontId="21" type="noConversion"/>
  <hyperlinks>
    <hyperlink ref="I40" r:id="rId1" display="Fonte: https://ttsl.pt/empresa/financiamento-europeu/saiba-mais-sobre-a-nova-frota-100-eletrica/" xr:uid="{4F640CF3-DB31-473C-9436-13A08408BF9E}"/>
    <hyperlink ref="D54:E54" r:id="rId2" display=" International  Transport Forum- BoardCPBGood to Go? Assessing the Environmental Performance of New Mobility" xr:uid="{9F0DB9CE-87B4-4E4D-B791-BF4906811620}"/>
    <hyperlink ref="I20" r:id="rId3" xr:uid="{2F94939F-F38B-40C3-A9A7-15D04749063D}"/>
    <hyperlink ref="K109" r:id="rId4" xr:uid="{A2EC7872-5CAB-4150-8D5F-60065F2A98A6}"/>
    <hyperlink ref="I8" r:id="rId5" display="APA (2025). Fator de emissão da eletricidade em " xr:uid="{E27ADC2F-263F-4457-8DAA-ADF9C570F16F}"/>
    <hyperlink ref="I11" r:id="rId6" xr:uid="{2DFBF69D-9776-43D6-81F1-B08B7EC5BA3A}"/>
    <hyperlink ref="I12" r:id="rId7" xr:uid="{47C64EE8-3C43-4B91-BBD6-A59431A19C92}"/>
    <hyperlink ref="I14" r:id="rId8" xr:uid="{FFFA77F9-F749-4BB8-B3D7-3B2CE772A7C0}"/>
    <hyperlink ref="I49" r:id="rId9" xr:uid="{25A32FF4-CCDE-452D-9A1F-6376554916EF}"/>
    <hyperlink ref="I35" r:id="rId10" xr:uid="{D2EB4F76-700F-45A6-8063-3CC6944E88AC}"/>
    <hyperlink ref="K60" r:id="rId11" display="FE de DEFRA 2025. " xr:uid="{299CEEE2-8069-4131-AA44-D06AA24FC670}"/>
    <hyperlink ref="K94" r:id="rId12" xr:uid="{C1622FA9-16E6-4A4A-8EA0-0F498599487D}"/>
    <hyperlink ref="K101" r:id="rId13" xr:uid="{15935519-5225-4B9F-A018-B0684993EE6A}"/>
    <hyperlink ref="K98" r:id="rId14" xr:uid="{99561486-F4BA-479A-BB8F-C89D237E8C2C}"/>
    <hyperlink ref="K95" r:id="rId15" xr:uid="{7FF56910-B33E-4C18-9ABD-764EFC9D9BC9}"/>
    <hyperlink ref="K92" r:id="rId16" xr:uid="{DE5376EA-FD61-49AA-A564-CD5C536786E5}"/>
  </hyperlinks>
  <pageMargins left="0.7" right="0.7" top="0.75" bottom="0.75" header="0.3" footer="0.3"/>
  <pageSetup paperSize="9" orientation="portrait" r:id="rId17"/>
  <drawing r:id="rId18"/>
  <legacyDrawing r:id="rId1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D772-9160-4135-A24B-3ECE33B36CE9}">
  <sheetPr codeName="Sheet29">
    <tabColor rgb="FFFFD757"/>
  </sheetPr>
  <dimension ref="D1:AA50"/>
  <sheetViews>
    <sheetView showGridLines="0" topLeftCell="D1" zoomScale="70" zoomScaleNormal="70" workbookViewId="0">
      <selection activeCell="D13" sqref="D13"/>
    </sheetView>
  </sheetViews>
  <sheetFormatPr defaultColWidth="0" defaultRowHeight="15.75" zeroHeight="1" x14ac:dyDescent="0.25"/>
  <cols>
    <col min="1" max="3" width="8.7109375" style="5" hidden="1" customWidth="1"/>
    <col min="4" max="4" width="4" style="5" customWidth="1"/>
    <col min="5" max="5" width="34.28515625" style="5" customWidth="1"/>
    <col min="6" max="6" width="31.42578125" style="5" bestFit="1" customWidth="1"/>
    <col min="7" max="7" width="30.28515625" style="5" bestFit="1" customWidth="1"/>
    <col min="8" max="8" width="31.28515625" style="5" bestFit="1" customWidth="1"/>
    <col min="9" max="20" width="8.7109375" style="5" customWidth="1"/>
    <col min="21" max="21" width="58.7109375" style="5" customWidth="1"/>
    <col min="22" max="16384" width="8.7109375" style="5" hidden="1"/>
  </cols>
  <sheetData>
    <row r="1" spans="4:27" x14ac:dyDescent="0.25"/>
    <row r="2" spans="4:27" s="401" customFormat="1" ht="70.150000000000006" customHeight="1" x14ac:dyDescent="0.25">
      <c r="D2"/>
      <c r="E2" s="1677" t="s">
        <v>451</v>
      </c>
      <c r="F2" s="1677"/>
      <c r="G2" s="1677"/>
      <c r="H2" s="399"/>
      <c r="I2" s="399"/>
      <c r="J2" s="399"/>
      <c r="K2" s="399"/>
      <c r="L2" s="399"/>
      <c r="M2" s="402"/>
      <c r="N2" s="399"/>
      <c r="O2" s="403"/>
      <c r="P2" s="403"/>
      <c r="Q2" s="399"/>
      <c r="R2" s="399"/>
      <c r="S2" s="399"/>
      <c r="T2" s="399"/>
      <c r="U2" s="399"/>
      <c r="V2" s="399"/>
      <c r="W2" s="399"/>
      <c r="X2" s="399"/>
      <c r="Y2" s="399"/>
      <c r="Z2" s="399"/>
      <c r="AA2" s="399"/>
    </row>
    <row r="3" spans="4:27" x14ac:dyDescent="0.25"/>
    <row r="4" spans="4:27" x14ac:dyDescent="0.25"/>
    <row r="5" spans="4:27" ht="18.75" x14ac:dyDescent="0.3">
      <c r="E5" s="500" t="s">
        <v>21</v>
      </c>
      <c r="F5" s="11"/>
      <c r="G5" s="11"/>
      <c r="H5" s="11"/>
      <c r="I5" s="7"/>
    </row>
    <row r="6" spans="4:27" x14ac:dyDescent="0.25">
      <c r="E6" s="502" t="s">
        <v>22</v>
      </c>
      <c r="F6" s="501"/>
      <c r="G6" s="501"/>
      <c r="H6" s="501"/>
      <c r="I6" s="7"/>
    </row>
    <row r="7" spans="4:27" x14ac:dyDescent="0.25">
      <c r="E7" s="11"/>
      <c r="F7" s="11"/>
      <c r="G7" s="11"/>
      <c r="H7" s="11"/>
      <c r="I7" s="7"/>
    </row>
    <row r="8" spans="4:27" x14ac:dyDescent="0.25">
      <c r="E8" s="1703" t="s">
        <v>23</v>
      </c>
      <c r="F8" s="1703"/>
      <c r="G8" s="1703"/>
      <c r="H8" s="1703"/>
      <c r="I8" s="7"/>
    </row>
    <row r="9" spans="4:27" x14ac:dyDescent="0.25">
      <c r="E9" s="997" t="s">
        <v>24</v>
      </c>
      <c r="F9" s="998" t="s">
        <v>25</v>
      </c>
      <c r="G9" s="998" t="s">
        <v>26</v>
      </c>
      <c r="H9" s="998" t="s">
        <v>27</v>
      </c>
      <c r="I9" s="7"/>
    </row>
    <row r="10" spans="4:27" x14ac:dyDescent="0.25">
      <c r="E10" s="997" t="s">
        <v>28</v>
      </c>
      <c r="F10" s="998" t="s">
        <v>29</v>
      </c>
      <c r="G10" s="1000"/>
      <c r="H10" s="1006"/>
      <c r="I10" s="7"/>
    </row>
    <row r="11" spans="4:27" x14ac:dyDescent="0.25">
      <c r="E11" s="997" t="s">
        <v>30</v>
      </c>
      <c r="F11" s="998" t="s">
        <v>31</v>
      </c>
      <c r="G11" s="998" t="s">
        <v>32</v>
      </c>
      <c r="H11" s="1008"/>
      <c r="I11" s="7"/>
    </row>
    <row r="12" spans="4:27" x14ac:dyDescent="0.25">
      <c r="E12" s="997" t="s">
        <v>33</v>
      </c>
      <c r="F12" s="998" t="s">
        <v>29</v>
      </c>
      <c r="G12" s="998" t="s">
        <v>34</v>
      </c>
      <c r="H12" s="998" t="s">
        <v>35</v>
      </c>
      <c r="I12" s="7"/>
    </row>
    <row r="13" spans="4:27" x14ac:dyDescent="0.25">
      <c r="E13" s="1703" t="s">
        <v>36</v>
      </c>
      <c r="F13" s="1703"/>
      <c r="G13" s="1703"/>
      <c r="H13" s="1703"/>
      <c r="I13" s="7"/>
    </row>
    <row r="14" spans="4:27" ht="18" x14ac:dyDescent="0.25">
      <c r="E14" s="997" t="s">
        <v>1108</v>
      </c>
      <c r="F14" s="998" t="s">
        <v>37</v>
      </c>
      <c r="G14" s="998" t="s">
        <v>38</v>
      </c>
      <c r="H14" s="1006"/>
      <c r="I14" s="7"/>
    </row>
    <row r="15" spans="4:27" ht="18" x14ac:dyDescent="0.25">
      <c r="E15" s="997" t="s">
        <v>1108</v>
      </c>
      <c r="F15" s="998" t="s">
        <v>39</v>
      </c>
      <c r="G15" s="998" t="s">
        <v>1109</v>
      </c>
      <c r="H15" s="1008"/>
      <c r="I15" s="7"/>
    </row>
    <row r="16" spans="4:27" ht="18" x14ac:dyDescent="0.25">
      <c r="E16" s="997" t="s">
        <v>40</v>
      </c>
      <c r="F16" s="998" t="s">
        <v>41</v>
      </c>
      <c r="G16" s="998" t="s">
        <v>42</v>
      </c>
      <c r="H16" s="998" t="s">
        <v>1110</v>
      </c>
      <c r="I16" s="7"/>
    </row>
    <row r="17" spans="5:9" ht="18" x14ac:dyDescent="0.25">
      <c r="E17" s="997" t="s">
        <v>43</v>
      </c>
      <c r="F17" s="998" t="s">
        <v>44</v>
      </c>
      <c r="G17" s="998" t="s">
        <v>45</v>
      </c>
      <c r="H17" s="998" t="s">
        <v>1111</v>
      </c>
      <c r="I17" s="7"/>
    </row>
    <row r="18" spans="5:9" ht="18" x14ac:dyDescent="0.25">
      <c r="E18" s="997" t="s">
        <v>46</v>
      </c>
      <c r="F18" s="998" t="s">
        <v>1112</v>
      </c>
      <c r="G18" s="998" t="s">
        <v>47</v>
      </c>
      <c r="H18" s="1000"/>
      <c r="I18" s="7"/>
    </row>
    <row r="19" spans="5:9" ht="18" x14ac:dyDescent="0.25">
      <c r="E19" s="997" t="s">
        <v>1113</v>
      </c>
      <c r="F19" s="998" t="s">
        <v>48</v>
      </c>
      <c r="G19" s="998" t="s">
        <v>49</v>
      </c>
      <c r="H19" s="998" t="s">
        <v>50</v>
      </c>
      <c r="I19" s="7"/>
    </row>
    <row r="20" spans="5:9" x14ac:dyDescent="0.25">
      <c r="E20" s="1703" t="s">
        <v>2</v>
      </c>
      <c r="F20" s="1703"/>
      <c r="G20" s="1703"/>
      <c r="H20" s="1703"/>
      <c r="I20" s="7"/>
    </row>
    <row r="21" spans="5:9" x14ac:dyDescent="0.25">
      <c r="E21" s="997" t="s">
        <v>51</v>
      </c>
      <c r="F21" s="998" t="s">
        <v>52</v>
      </c>
      <c r="G21" s="998" t="s">
        <v>53</v>
      </c>
      <c r="H21" s="1006"/>
      <c r="I21" s="7"/>
    </row>
    <row r="22" spans="5:9" x14ac:dyDescent="0.25">
      <c r="E22" s="997" t="s">
        <v>54</v>
      </c>
      <c r="F22" s="998" t="s">
        <v>55</v>
      </c>
      <c r="G22" s="998"/>
      <c r="H22" s="1007"/>
      <c r="I22" s="7"/>
    </row>
    <row r="23" spans="5:9" x14ac:dyDescent="0.25">
      <c r="E23" s="997" t="s">
        <v>56</v>
      </c>
      <c r="F23" s="998" t="s">
        <v>57</v>
      </c>
      <c r="G23" s="998" t="s">
        <v>58</v>
      </c>
      <c r="H23" s="1007"/>
      <c r="I23" s="7"/>
    </row>
    <row r="24" spans="5:9" x14ac:dyDescent="0.25">
      <c r="E24" s="997" t="s">
        <v>59</v>
      </c>
      <c r="F24" s="998" t="s">
        <v>60</v>
      </c>
      <c r="G24" s="998"/>
      <c r="H24" s="1007"/>
      <c r="I24" s="7"/>
    </row>
    <row r="25" spans="5:9" x14ac:dyDescent="0.25">
      <c r="E25" s="997" t="s">
        <v>61</v>
      </c>
      <c r="F25" s="998" t="s">
        <v>62</v>
      </c>
      <c r="G25" s="998" t="s">
        <v>63</v>
      </c>
      <c r="H25" s="1007"/>
      <c r="I25" s="7"/>
    </row>
    <row r="26" spans="5:9" x14ac:dyDescent="0.25">
      <c r="E26" s="997" t="s">
        <v>64</v>
      </c>
      <c r="F26" s="998" t="s">
        <v>65</v>
      </c>
      <c r="G26" s="1001"/>
      <c r="H26" s="1009"/>
      <c r="I26" s="7"/>
    </row>
    <row r="27" spans="5:9" x14ac:dyDescent="0.25">
      <c r="E27" s="1703" t="s">
        <v>66</v>
      </c>
      <c r="F27" s="1703"/>
      <c r="G27" s="1002"/>
      <c r="H27" s="1003"/>
      <c r="I27" s="7"/>
    </row>
    <row r="28" spans="5:9" x14ac:dyDescent="0.25">
      <c r="E28" s="997" t="s">
        <v>67</v>
      </c>
      <c r="F28" s="998" t="s">
        <v>68</v>
      </c>
      <c r="G28" s="1002"/>
      <c r="H28" s="1003"/>
      <c r="I28" s="7"/>
    </row>
    <row r="29" spans="5:9" x14ac:dyDescent="0.25">
      <c r="E29" s="997" t="s">
        <v>69</v>
      </c>
      <c r="F29" s="998" t="s">
        <v>70</v>
      </c>
      <c r="G29" s="1002"/>
      <c r="H29" s="1003"/>
      <c r="I29" s="7"/>
    </row>
    <row r="30" spans="5:9" x14ac:dyDescent="0.25">
      <c r="E30" s="1703" t="s">
        <v>71</v>
      </c>
      <c r="F30" s="1703"/>
      <c r="G30" s="1002"/>
      <c r="H30" s="1003"/>
      <c r="I30" s="7"/>
    </row>
    <row r="31" spans="5:9" ht="18" x14ac:dyDescent="0.25">
      <c r="E31" s="997" t="s">
        <v>72</v>
      </c>
      <c r="F31" s="999" t="s">
        <v>1114</v>
      </c>
      <c r="G31" s="1002"/>
      <c r="H31" s="1003"/>
      <c r="I31" s="7"/>
    </row>
    <row r="32" spans="5:9" ht="18" x14ac:dyDescent="0.25">
      <c r="E32" s="997" t="s">
        <v>73</v>
      </c>
      <c r="F32" s="999" t="s">
        <v>1115</v>
      </c>
      <c r="G32" s="1002"/>
      <c r="H32" s="1003"/>
      <c r="I32" s="7"/>
    </row>
    <row r="33" spans="5:9" ht="18" x14ac:dyDescent="0.25">
      <c r="E33" s="997" t="s">
        <v>74</v>
      </c>
      <c r="F33" s="999" t="s">
        <v>1116</v>
      </c>
      <c r="G33" s="1002"/>
      <c r="H33" s="1003"/>
      <c r="I33" s="7"/>
    </row>
    <row r="34" spans="5:9" ht="18" x14ac:dyDescent="0.25">
      <c r="E34" s="997" t="s">
        <v>75</v>
      </c>
      <c r="F34" s="999" t="s">
        <v>1117</v>
      </c>
      <c r="G34" s="1002"/>
      <c r="H34" s="1003"/>
      <c r="I34" s="7"/>
    </row>
    <row r="35" spans="5:9" x14ac:dyDescent="0.25">
      <c r="E35" s="997" t="s">
        <v>76</v>
      </c>
      <c r="F35" s="998">
        <v>12</v>
      </c>
      <c r="G35" s="1002"/>
      <c r="H35" s="1003"/>
      <c r="I35" s="7"/>
    </row>
    <row r="36" spans="5:9" ht="18.75" x14ac:dyDescent="0.25">
      <c r="E36" s="997" t="s">
        <v>1118</v>
      </c>
      <c r="F36" s="998">
        <v>44</v>
      </c>
      <c r="G36" s="1004"/>
      <c r="H36" s="1005"/>
      <c r="I36" s="7"/>
    </row>
    <row r="37" spans="5:9" x14ac:dyDescent="0.25">
      <c r="E37" s="11"/>
      <c r="F37" s="11"/>
      <c r="G37" s="11"/>
      <c r="H37" s="11"/>
      <c r="I37" s="7"/>
    </row>
    <row r="38" spans="5:9" x14ac:dyDescent="0.25"/>
    <row r="39" spans="5:9" x14ac:dyDescent="0.25"/>
    <row r="40" spans="5:9" x14ac:dyDescent="0.25"/>
    <row r="41" spans="5:9" x14ac:dyDescent="0.25"/>
    <row r="42" spans="5:9" x14ac:dyDescent="0.25"/>
    <row r="43" spans="5:9" x14ac:dyDescent="0.25"/>
    <row r="44" spans="5:9" x14ac:dyDescent="0.25"/>
    <row r="45" spans="5:9" x14ac:dyDescent="0.25"/>
    <row r="46" spans="5:9" x14ac:dyDescent="0.25"/>
    <row r="47" spans="5:9" x14ac:dyDescent="0.25"/>
    <row r="48" spans="5:9" x14ac:dyDescent="0.25"/>
    <row r="49" x14ac:dyDescent="0.25"/>
    <row r="50" x14ac:dyDescent="0.25"/>
  </sheetData>
  <sheetProtection algorithmName="SHA-512" hashValue="PVW/meL2rqEtHY8FMvQ/RC7lPzbh38GXWYtcCz3IrGs8DeghG/gtsm5lSB1MgmWeU6rVphTyr6pz01ntnu2MhA==" saltValue="6A8Q3iVPpZLRZvJDguoHcA==" spinCount="100000" sheet="1" selectLockedCells="1" selectUnlockedCells="1"/>
  <mergeCells count="6">
    <mergeCell ref="E30:F30"/>
    <mergeCell ref="E2:G2"/>
    <mergeCell ref="E8:H8"/>
    <mergeCell ref="E13:H13"/>
    <mergeCell ref="E20:H20"/>
    <mergeCell ref="E27:F2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E7520-E744-41E1-A3BF-33204610377C}">
  <sheetPr codeName="Sheet30">
    <tabColor rgb="FFFFD757"/>
  </sheetPr>
  <dimension ref="A1:XFC53"/>
  <sheetViews>
    <sheetView showGridLines="0" zoomScale="70" zoomScaleNormal="70" workbookViewId="0">
      <selection activeCell="F14" sqref="F14"/>
    </sheetView>
  </sheetViews>
  <sheetFormatPr defaultColWidth="0" defaultRowHeight="15.6" customHeight="1" zeroHeight="1" x14ac:dyDescent="0.25"/>
  <cols>
    <col min="1" max="1" width="2.7109375" style="5" customWidth="1"/>
    <col min="2" max="2" width="34.28515625" style="5" customWidth="1"/>
    <col min="3" max="3" width="31.42578125" style="5" bestFit="1" customWidth="1"/>
    <col min="4" max="4" width="30.28515625" style="5" bestFit="1" customWidth="1"/>
    <col min="5" max="5" width="31.28515625" style="5" bestFit="1" customWidth="1"/>
    <col min="6" max="6" width="19.28515625" style="5" customWidth="1"/>
    <col min="7" max="18" width="8.7109375" style="5" customWidth="1"/>
    <col min="19" max="16383" width="8.7109375" style="5" hidden="1"/>
    <col min="16384" max="16384" width="41.42578125" style="5" customWidth="1"/>
  </cols>
  <sheetData>
    <row r="1" spans="1:27" ht="15.75" x14ac:dyDescent="0.25"/>
    <row r="2" spans="1:27" s="401" customFormat="1" ht="70.150000000000006" customHeight="1" x14ac:dyDescent="0.25">
      <c r="A2"/>
      <c r="B2" s="400" t="s">
        <v>515</v>
      </c>
      <c r="C2" s="400"/>
      <c r="D2" s="400"/>
      <c r="E2" s="400"/>
      <c r="F2" s="400"/>
      <c r="G2" s="400"/>
      <c r="H2" s="399"/>
      <c r="I2" s="399"/>
      <c r="J2" s="399"/>
      <c r="K2" s="399"/>
      <c r="L2" s="399"/>
      <c r="M2" s="402"/>
      <c r="N2" s="399"/>
      <c r="O2" s="403"/>
      <c r="P2" s="403"/>
      <c r="Q2" s="399"/>
      <c r="R2" s="399"/>
      <c r="S2" s="399"/>
      <c r="T2" s="399"/>
      <c r="U2" s="399"/>
      <c r="V2" s="399"/>
      <c r="W2" s="399"/>
      <c r="X2" s="399"/>
      <c r="Y2" s="399"/>
      <c r="Z2" s="399"/>
      <c r="AA2" s="399"/>
    </row>
    <row r="3" spans="1:27" ht="15.75" x14ac:dyDescent="0.25"/>
    <row r="4" spans="1:27" ht="15.75" x14ac:dyDescent="0.25"/>
    <row r="5" spans="1:27" ht="15.75" x14ac:dyDescent="0.25"/>
    <row r="6" spans="1:27" ht="19.5" thickBot="1" x14ac:dyDescent="0.35">
      <c r="B6" s="500" t="s">
        <v>93</v>
      </c>
      <c r="C6" s="1010"/>
      <c r="D6" s="1010"/>
      <c r="E6" s="1010"/>
      <c r="F6" s="1011"/>
    </row>
    <row r="7" spans="1:27" ht="19.5" thickBot="1" x14ac:dyDescent="0.35">
      <c r="B7" s="1012"/>
      <c r="C7" s="1010"/>
      <c r="D7" s="1010"/>
      <c r="E7" s="1010"/>
      <c r="F7" s="1011"/>
    </row>
    <row r="8" spans="1:27" ht="20.25" thickTop="1" thickBot="1" x14ac:dyDescent="0.35">
      <c r="B8" s="1013" t="s">
        <v>94</v>
      </c>
      <c r="C8" s="1707" t="s">
        <v>479</v>
      </c>
      <c r="D8" s="1707"/>
      <c r="E8" s="1707"/>
      <c r="F8" s="1014"/>
    </row>
    <row r="9" spans="1:27" ht="25.9" customHeight="1" thickTop="1" thickBot="1" x14ac:dyDescent="0.35">
      <c r="B9" s="1013" t="s">
        <v>95</v>
      </c>
      <c r="C9" s="1707" t="s">
        <v>96</v>
      </c>
      <c r="D9" s="1707"/>
      <c r="E9" s="1707"/>
      <c r="F9" s="1015"/>
    </row>
    <row r="10" spans="1:27" ht="20.25" thickTop="1" thickBot="1" x14ac:dyDescent="0.35">
      <c r="B10" s="1013" t="s">
        <v>104</v>
      </c>
      <c r="C10" s="1708" t="s">
        <v>1354</v>
      </c>
      <c r="D10" s="1707"/>
      <c r="E10" s="1707"/>
      <c r="F10" s="1015"/>
    </row>
    <row r="11" spans="1:27" ht="40.9" customHeight="1" thickTop="1" thickBot="1" x14ac:dyDescent="0.35">
      <c r="B11" s="1013" t="s">
        <v>97</v>
      </c>
      <c r="C11" s="1709" t="s">
        <v>1306</v>
      </c>
      <c r="D11" s="1707"/>
      <c r="E11" s="1707"/>
      <c r="F11" s="1015"/>
    </row>
    <row r="12" spans="1:27" ht="27" customHeight="1" thickTop="1" thickBot="1" x14ac:dyDescent="0.35">
      <c r="B12" s="1013" t="s">
        <v>98</v>
      </c>
      <c r="C12" s="1710" t="s">
        <v>1355</v>
      </c>
      <c r="D12" s="1707"/>
      <c r="E12" s="1707"/>
      <c r="F12" s="1015"/>
    </row>
    <row r="13" spans="1:27" ht="15.6" customHeight="1" thickTop="1" x14ac:dyDescent="0.3">
      <c r="B13" s="446"/>
      <c r="C13" s="446"/>
      <c r="D13" s="446"/>
      <c r="E13" s="446"/>
      <c r="F13" s="446"/>
    </row>
    <row r="14" spans="1:27" ht="62.45" customHeight="1" x14ac:dyDescent="0.25">
      <c r="B14" s="1711" t="s">
        <v>1356</v>
      </c>
      <c r="C14" s="1711"/>
      <c r="D14" s="1711"/>
      <c r="E14" s="1711"/>
      <c r="F14" s="1240" t="s">
        <v>1237</v>
      </c>
      <c r="G14" s="909"/>
      <c r="H14" s="909"/>
      <c r="I14" s="909"/>
    </row>
    <row r="15" spans="1:27" ht="15.6" customHeight="1" x14ac:dyDescent="0.3">
      <c r="B15" s="1132"/>
      <c r="C15" s="446"/>
      <c r="D15" s="446"/>
      <c r="E15" s="446"/>
      <c r="F15" s="446"/>
    </row>
    <row r="16" spans="1:27" ht="15.6" customHeight="1" x14ac:dyDescent="0.3">
      <c r="B16" s="500" t="s">
        <v>478</v>
      </c>
      <c r="C16" s="446"/>
      <c r="D16" s="446"/>
      <c r="E16" s="446"/>
      <c r="F16" s="446"/>
    </row>
    <row r="17" spans="2:6" ht="15.6" customHeight="1" x14ac:dyDescent="0.3">
      <c r="B17" s="446"/>
      <c r="C17" s="446"/>
      <c r="D17" s="446"/>
      <c r="E17" s="446"/>
      <c r="F17" s="446"/>
    </row>
    <row r="18" spans="2:6" ht="15.6" customHeight="1" x14ac:dyDescent="0.3">
      <c r="B18" s="1016" t="s">
        <v>99</v>
      </c>
      <c r="C18" s="1016" t="s">
        <v>100</v>
      </c>
      <c r="D18" s="1704" t="s">
        <v>101</v>
      </c>
      <c r="E18" s="1704"/>
      <c r="F18" s="1704"/>
    </row>
    <row r="19" spans="2:6" ht="15.6" customHeight="1" x14ac:dyDescent="0.3">
      <c r="B19" s="1127" t="s">
        <v>102</v>
      </c>
      <c r="C19" s="1128"/>
      <c r="D19" s="1705"/>
      <c r="E19" s="1706"/>
      <c r="F19" s="1706"/>
    </row>
    <row r="20" spans="2:6" ht="15.6" customHeight="1" x14ac:dyDescent="0.25">
      <c r="B20" s="1129"/>
      <c r="C20" s="1129"/>
      <c r="D20" s="1129"/>
      <c r="E20" s="1129"/>
      <c r="F20" s="1129"/>
    </row>
    <row r="21" spans="2:6" ht="15.6" customHeight="1" x14ac:dyDescent="0.25">
      <c r="B21" s="1129"/>
      <c r="C21" s="1129"/>
      <c r="D21" s="1129"/>
      <c r="E21" s="1129"/>
      <c r="F21" s="1129"/>
    </row>
    <row r="22" spans="2:6" ht="15.6" customHeight="1" x14ac:dyDescent="0.25">
      <c r="B22" s="1129"/>
      <c r="C22" s="1129"/>
      <c r="D22" s="1129"/>
      <c r="E22" s="1129"/>
      <c r="F22" s="1129"/>
    </row>
    <row r="23" spans="2:6" ht="15.6" customHeight="1" x14ac:dyDescent="0.25">
      <c r="B23" s="1129"/>
      <c r="C23" s="1129"/>
      <c r="D23" s="1129"/>
      <c r="E23" s="1129"/>
      <c r="F23" s="1129"/>
    </row>
    <row r="24" spans="2:6" ht="15.6" customHeight="1" x14ac:dyDescent="0.25">
      <c r="B24" s="1129"/>
      <c r="C24" s="1129"/>
      <c r="D24" s="1129"/>
      <c r="E24" s="1129"/>
      <c r="F24" s="1129"/>
    </row>
    <row r="25" spans="2:6" ht="15.6" customHeight="1" x14ac:dyDescent="0.25">
      <c r="B25" s="1129"/>
      <c r="C25" s="1129"/>
      <c r="D25" s="1129"/>
      <c r="E25" s="1129"/>
      <c r="F25" s="1129"/>
    </row>
    <row r="26" spans="2:6" ht="15.6" customHeight="1" x14ac:dyDescent="0.25">
      <c r="B26" s="1129"/>
      <c r="C26" s="1129"/>
      <c r="D26" s="1129"/>
      <c r="E26" s="1129"/>
      <c r="F26" s="1129"/>
    </row>
    <row r="27" spans="2:6" ht="15.6" customHeight="1" x14ac:dyDescent="0.25">
      <c r="B27" s="1129"/>
      <c r="C27" s="1129"/>
      <c r="D27" s="1129"/>
      <c r="E27" s="1129"/>
      <c r="F27" s="1129"/>
    </row>
    <row r="28" spans="2:6" ht="15.6" customHeight="1" x14ac:dyDescent="0.25">
      <c r="B28" s="1129"/>
      <c r="C28" s="1129"/>
      <c r="D28" s="1129"/>
      <c r="E28" s="1129"/>
      <c r="F28" s="1129"/>
    </row>
    <row r="29" spans="2:6" ht="15.6" customHeight="1" x14ac:dyDescent="0.25">
      <c r="B29" s="1129"/>
      <c r="C29" s="1129"/>
      <c r="D29" s="1129"/>
      <c r="E29" s="1129"/>
      <c r="F29" s="1129"/>
    </row>
    <row r="30" spans="2:6" ht="15.6" customHeight="1" x14ac:dyDescent="0.25">
      <c r="B30" s="1129"/>
      <c r="C30" s="1129"/>
      <c r="D30" s="1129"/>
      <c r="E30" s="1129"/>
      <c r="F30" s="1129"/>
    </row>
    <row r="31" spans="2:6" ht="15.6" customHeight="1" x14ac:dyDescent="0.25">
      <c r="B31" s="1129"/>
      <c r="C31" s="1129"/>
      <c r="D31" s="1129"/>
      <c r="E31" s="1129"/>
      <c r="F31" s="1129"/>
    </row>
    <row r="32" spans="2:6" ht="15.6" customHeight="1" x14ac:dyDescent="0.25">
      <c r="B32" s="1129"/>
      <c r="C32" s="1129"/>
      <c r="D32" s="1129"/>
      <c r="E32" s="1129"/>
      <c r="F32" s="1129"/>
    </row>
    <row r="33" spans="2:6" ht="15.6" customHeight="1" x14ac:dyDescent="0.25">
      <c r="B33" s="1129"/>
      <c r="C33" s="1129"/>
      <c r="D33" s="1129"/>
      <c r="E33" s="1129"/>
      <c r="F33" s="1129"/>
    </row>
    <row r="34" spans="2:6" ht="15.6" customHeight="1" x14ac:dyDescent="0.25">
      <c r="B34" s="1129"/>
      <c r="C34" s="1129"/>
      <c r="D34" s="1129"/>
      <c r="E34" s="1129"/>
      <c r="F34" s="1129"/>
    </row>
    <row r="35" spans="2:6" ht="15.6" customHeight="1" x14ac:dyDescent="0.25">
      <c r="B35" s="1129"/>
      <c r="C35" s="1129"/>
      <c r="D35" s="1129"/>
      <c r="E35" s="1129"/>
      <c r="F35" s="1129"/>
    </row>
    <row r="36" spans="2:6" ht="15.6" customHeight="1" x14ac:dyDescent="0.25">
      <c r="B36" s="1129"/>
      <c r="C36" s="1129"/>
      <c r="D36" s="1129"/>
      <c r="E36" s="1129"/>
      <c r="F36" s="1129"/>
    </row>
    <row r="37" spans="2:6" ht="15.6" customHeight="1" x14ac:dyDescent="0.25">
      <c r="B37" s="1129"/>
      <c r="C37" s="1129"/>
      <c r="D37" s="1129"/>
      <c r="E37" s="1129"/>
      <c r="F37" s="1129"/>
    </row>
    <row r="38" spans="2:6" ht="15.6" customHeight="1" x14ac:dyDescent="0.25">
      <c r="B38" s="1129"/>
      <c r="C38" s="1129"/>
      <c r="D38" s="1129"/>
      <c r="E38" s="1129"/>
      <c r="F38" s="1129"/>
    </row>
    <row r="39" spans="2:6" ht="15.6" customHeight="1" x14ac:dyDescent="0.25">
      <c r="B39" s="1129"/>
      <c r="C39" s="1129"/>
      <c r="D39" s="1129"/>
      <c r="E39" s="1129"/>
      <c r="F39" s="1129"/>
    </row>
    <row r="40" spans="2:6" ht="15.6" customHeight="1" x14ac:dyDescent="0.25">
      <c r="B40" s="1129"/>
      <c r="C40" s="1129"/>
      <c r="D40" s="1129"/>
      <c r="E40" s="1129"/>
      <c r="F40" s="1129"/>
    </row>
    <row r="41" spans="2:6" ht="15.6" customHeight="1" x14ac:dyDescent="0.25">
      <c r="B41" s="1129"/>
      <c r="C41" s="1129"/>
      <c r="D41" s="1129"/>
      <c r="E41" s="1129"/>
      <c r="F41" s="1129"/>
    </row>
    <row r="42" spans="2:6" ht="15.6" customHeight="1" x14ac:dyDescent="0.25">
      <c r="B42" s="1129"/>
      <c r="C42" s="1129"/>
      <c r="D42" s="1129"/>
      <c r="E42" s="1129"/>
      <c r="F42" s="1129"/>
    </row>
    <row r="43" spans="2:6" ht="15.6" customHeight="1" x14ac:dyDescent="0.25">
      <c r="B43" s="1129"/>
      <c r="C43" s="1129"/>
      <c r="D43" s="1129"/>
      <c r="E43" s="1129"/>
      <c r="F43" s="1129"/>
    </row>
    <row r="44" spans="2:6" ht="15.6" customHeight="1" x14ac:dyDescent="0.25">
      <c r="B44" s="1129"/>
      <c r="C44" s="1129"/>
      <c r="D44" s="1129"/>
      <c r="E44" s="1129"/>
      <c r="F44" s="1129"/>
    </row>
    <row r="45" spans="2:6" ht="15.6" customHeight="1" x14ac:dyDescent="0.25">
      <c r="B45" s="1129"/>
      <c r="C45" s="1129"/>
      <c r="D45" s="1129"/>
      <c r="E45" s="1129"/>
      <c r="F45" s="1129"/>
    </row>
    <row r="46" spans="2:6" ht="15.6" customHeight="1" x14ac:dyDescent="0.25">
      <c r="B46" s="1129"/>
      <c r="C46" s="1129"/>
      <c r="D46" s="1129"/>
      <c r="E46" s="1129"/>
      <c r="F46" s="1129"/>
    </row>
    <row r="47" spans="2:6" ht="15.6" customHeight="1" x14ac:dyDescent="0.25"/>
    <row r="48" spans="2:6" ht="15.6" customHeight="1" x14ac:dyDescent="0.25"/>
    <row r="49" ht="15.6" customHeight="1" x14ac:dyDescent="0.25"/>
    <row r="50" ht="15.6" customHeight="1" x14ac:dyDescent="0.25"/>
    <row r="51" ht="15.6" customHeight="1" x14ac:dyDescent="0.25"/>
    <row r="52" ht="15.6" customHeight="1" x14ac:dyDescent="0.25"/>
    <row r="53" ht="15.6" customHeight="1" x14ac:dyDescent="0.25"/>
  </sheetData>
  <sheetProtection algorithmName="SHA-512" hashValue="NOx0J2simlTr9qDMnBvbgzznS931LvMN+tf2fdguY9mtjgQN5RG6YSdEue/DZJPsdL+FQsr0QDOBEPO92N70ow==" saltValue="uGyAv0BoStPjcx8i4ZxNhg==" spinCount="100000" sheet="1" objects="1" scenarios="1" selectLockedCells="1" selectUnlockedCells="1"/>
  <mergeCells count="8">
    <mergeCell ref="D18:F18"/>
    <mergeCell ref="D19:F19"/>
    <mergeCell ref="C8:E8"/>
    <mergeCell ref="C9:E9"/>
    <mergeCell ref="C10:E10"/>
    <mergeCell ref="C11:E11"/>
    <mergeCell ref="C12:E12"/>
    <mergeCell ref="B14:E14"/>
  </mergeCells>
  <phoneticPr fontId="21" type="noConversion"/>
  <hyperlinks>
    <hyperlink ref="F14" r:id="rId1" xr:uid="{FAD7D876-0D0B-4E88-9CFC-150B39C1E538}"/>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4E650-D384-4D5A-83EC-01F50A1DE0F5}">
  <sheetPr>
    <tabColor theme="1"/>
  </sheetPr>
  <dimension ref="A1:Y40"/>
  <sheetViews>
    <sheetView showGridLines="0" zoomScale="70" zoomScaleNormal="70" workbookViewId="0">
      <pane ySplit="2" topLeftCell="A3" activePane="bottomLeft" state="frozen"/>
      <selection activeCell="D13" sqref="D13"/>
      <selection pane="bottomLeft" activeCell="D13" sqref="D13"/>
    </sheetView>
  </sheetViews>
  <sheetFormatPr defaultColWidth="8.7109375" defaultRowHeight="45" customHeight="1" x14ac:dyDescent="0.3"/>
  <cols>
    <col min="1" max="1" width="3" style="26" customWidth="1"/>
    <col min="2" max="21" width="8.7109375" style="26" customWidth="1"/>
    <col min="22" max="22" width="10.140625" style="26" customWidth="1"/>
    <col min="23" max="26" width="8.7109375" style="26" customWidth="1"/>
    <col min="27" max="16384" width="8.7109375" style="26"/>
  </cols>
  <sheetData>
    <row r="1" spans="1:25" ht="9.6" customHeight="1" x14ac:dyDescent="0.3"/>
    <row r="2" spans="1:25" s="642" customFormat="1" ht="70.150000000000006" customHeight="1" x14ac:dyDescent="0.25">
      <c r="A2" s="645"/>
      <c r="B2" s="643" t="s">
        <v>786</v>
      </c>
      <c r="C2" s="643"/>
      <c r="D2" s="643"/>
      <c r="E2" s="643"/>
      <c r="F2" s="644"/>
      <c r="G2" s="644"/>
      <c r="H2" s="644"/>
      <c r="I2" s="644"/>
      <c r="J2" s="644"/>
      <c r="K2" s="644"/>
      <c r="L2" s="644"/>
      <c r="M2" s="644"/>
      <c r="N2" s="644"/>
      <c r="O2" s="644"/>
      <c r="P2" s="644"/>
      <c r="Q2" s="644"/>
      <c r="R2" s="644"/>
      <c r="S2" s="644"/>
      <c r="T2" s="644"/>
      <c r="U2" s="644"/>
      <c r="V2" s="644"/>
      <c r="W2" s="644"/>
      <c r="X2" s="644"/>
      <c r="Y2" s="644"/>
    </row>
    <row r="3" spans="1:25" ht="7.9" customHeight="1" x14ac:dyDescent="0.3"/>
    <row r="4" spans="1:25" ht="18.75" x14ac:dyDescent="0.3">
      <c r="B4"/>
    </row>
    <row r="5" spans="1:25" ht="18.75" x14ac:dyDescent="0.3"/>
    <row r="6" spans="1:25" ht="23.25" x14ac:dyDescent="0.35">
      <c r="B6" s="79"/>
    </row>
    <row r="7" spans="1:25" ht="18.75" x14ac:dyDescent="0.3">
      <c r="B7" s="80"/>
    </row>
    <row r="8" spans="1:25" ht="41.45" customHeight="1" x14ac:dyDescent="0.3">
      <c r="B8" s="1263"/>
      <c r="C8" s="1263"/>
      <c r="D8" s="1263"/>
      <c r="E8" s="1263"/>
      <c r="F8" s="1263"/>
      <c r="G8" s="1263"/>
      <c r="H8" s="1263"/>
      <c r="I8" s="1263"/>
      <c r="J8" s="1263"/>
      <c r="K8" s="1263"/>
      <c r="L8" s="1263"/>
      <c r="M8" s="1263"/>
      <c r="N8" s="1263"/>
      <c r="O8" s="1263"/>
      <c r="P8" s="1263"/>
      <c r="Q8" s="1263"/>
      <c r="R8" s="1263"/>
      <c r="S8" s="1263"/>
      <c r="T8" s="1263"/>
      <c r="U8" s="1263"/>
      <c r="V8" s="1263"/>
      <c r="W8" s="1263"/>
    </row>
    <row r="9" spans="1:25" ht="34.9" customHeight="1" x14ac:dyDescent="0.3">
      <c r="B9" s="1264"/>
      <c r="C9" s="1264"/>
      <c r="D9" s="1264"/>
      <c r="E9" s="1264"/>
      <c r="F9" s="1264"/>
      <c r="G9" s="1264"/>
      <c r="H9" s="1264"/>
      <c r="I9" s="1264"/>
      <c r="J9" s="1264"/>
      <c r="K9" s="1264"/>
      <c r="L9" s="1264"/>
      <c r="M9" s="1264"/>
      <c r="N9" s="1264"/>
      <c r="O9" s="1264"/>
      <c r="P9" s="1264"/>
      <c r="Q9" s="1264"/>
      <c r="R9" s="1264"/>
      <c r="S9" s="1264"/>
      <c r="T9" s="1264"/>
      <c r="U9" s="1264"/>
      <c r="V9" s="1264"/>
      <c r="W9" s="1264"/>
    </row>
    <row r="10" spans="1:25" ht="12.6" customHeight="1" x14ac:dyDescent="0.3">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row>
    <row r="11" spans="1:25" ht="36.6" customHeight="1" x14ac:dyDescent="0.3">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row>
    <row r="12" spans="1:25" ht="24.6" customHeight="1" x14ac:dyDescent="0.3">
      <c r="B12" s="81"/>
      <c r="C12" s="81"/>
      <c r="D12" s="81"/>
      <c r="E12" s="81"/>
      <c r="F12" s="81"/>
      <c r="G12" s="81"/>
      <c r="H12" s="81"/>
      <c r="I12" s="81"/>
      <c r="J12" s="81"/>
      <c r="K12" s="81"/>
      <c r="L12" s="81"/>
      <c r="M12" s="81"/>
      <c r="N12" s="81"/>
      <c r="O12" s="81"/>
      <c r="P12" s="81"/>
      <c r="Q12" s="81"/>
      <c r="R12" s="81"/>
      <c r="S12" s="81"/>
      <c r="T12" s="81"/>
      <c r="U12" s="81"/>
      <c r="V12" s="81"/>
      <c r="W12" s="81"/>
    </row>
    <row r="13" spans="1:25" ht="24.6" customHeight="1" x14ac:dyDescent="0.3">
      <c r="B13" s="81"/>
      <c r="C13" s="81"/>
      <c r="D13" s="81"/>
      <c r="E13" s="81"/>
      <c r="F13" s="81"/>
      <c r="G13" s="81"/>
      <c r="H13" s="81"/>
      <c r="I13" s="81"/>
      <c r="J13" s="81"/>
      <c r="K13" s="81"/>
      <c r="L13" s="81"/>
      <c r="M13" s="81"/>
      <c r="N13" s="81"/>
      <c r="O13" s="81"/>
      <c r="P13" s="81"/>
      <c r="Q13" s="81"/>
      <c r="R13" s="81"/>
      <c r="S13" s="81"/>
      <c r="T13" s="81"/>
      <c r="U13" s="81"/>
      <c r="V13" s="81"/>
      <c r="W13" s="81"/>
    </row>
    <row r="14" spans="1:25" ht="43.15" customHeight="1" x14ac:dyDescent="0.3">
      <c r="B14" s="81"/>
      <c r="C14" s="81"/>
      <c r="D14" s="81"/>
      <c r="E14" s="81"/>
      <c r="F14" s="81"/>
      <c r="G14" s="81"/>
      <c r="H14" s="81"/>
      <c r="I14" s="81"/>
      <c r="J14" s="81"/>
      <c r="K14" s="81"/>
      <c r="L14" s="81"/>
      <c r="M14" s="81"/>
      <c r="N14" s="81"/>
      <c r="O14" s="81"/>
      <c r="P14" s="81"/>
      <c r="Q14" s="81"/>
      <c r="R14" s="81"/>
      <c r="S14" s="81"/>
      <c r="T14" s="81"/>
      <c r="U14" s="81"/>
      <c r="V14" s="81"/>
      <c r="W14" s="81"/>
    </row>
    <row r="15" spans="1:25" ht="18.75" x14ac:dyDescent="0.3"/>
    <row r="16" spans="1:25" ht="18.75" x14ac:dyDescent="0.3"/>
    <row r="17" ht="18.75" x14ac:dyDescent="0.3"/>
    <row r="18" ht="18.75" x14ac:dyDescent="0.3"/>
    <row r="19" ht="18.75" x14ac:dyDescent="0.3"/>
    <row r="20" ht="18.75" x14ac:dyDescent="0.3"/>
    <row r="21" ht="18.75" x14ac:dyDescent="0.3"/>
    <row r="22" ht="18.75" x14ac:dyDescent="0.3"/>
    <row r="23" ht="18.75" x14ac:dyDescent="0.3"/>
    <row r="24" ht="14.45" customHeight="1" x14ac:dyDescent="0.3"/>
    <row r="25" ht="14.45" customHeight="1" x14ac:dyDescent="0.3"/>
    <row r="26" ht="14.45" customHeight="1" x14ac:dyDescent="0.3"/>
    <row r="27" ht="14.45" customHeight="1" x14ac:dyDescent="0.3"/>
    <row r="28" ht="14.45" customHeight="1" x14ac:dyDescent="0.3"/>
    <row r="29" ht="14.45" customHeight="1" x14ac:dyDescent="0.3"/>
    <row r="30" ht="14.45" customHeight="1" x14ac:dyDescent="0.3"/>
    <row r="31" ht="14.45" customHeight="1" x14ac:dyDescent="0.3"/>
    <row r="32" ht="14.45" customHeight="1" x14ac:dyDescent="0.3"/>
    <row r="33" ht="14.45" customHeight="1" x14ac:dyDescent="0.3"/>
    <row r="34" ht="14.45" customHeight="1" x14ac:dyDescent="0.3"/>
    <row r="35" ht="14.45" customHeight="1" x14ac:dyDescent="0.3"/>
    <row r="36" ht="14.45" customHeight="1" x14ac:dyDescent="0.3"/>
    <row r="37" ht="14.45" customHeight="1" x14ac:dyDescent="0.3"/>
    <row r="38" ht="14.45" customHeight="1" x14ac:dyDescent="0.3"/>
    <row r="39" ht="14.45" customHeight="1" x14ac:dyDescent="0.3"/>
    <row r="40" ht="14.45" customHeight="1" x14ac:dyDescent="0.3"/>
  </sheetData>
  <sheetProtection algorithmName="SHA-512" hashValue="CXlhuttdJXmT1lzhs1IFdmGwZCXaLDwD6wFboI/cE1qjzgxXpE+hRxk+3xkxoxb3pdpJvkjQDc7NBHBRUWSplA==" saltValue="OYheOmBiMsUebokcjyjKcg==" spinCount="100000" sheet="1" objects="1" selectLockedCells="1" selectUnlockedCells="1"/>
  <mergeCells count="4">
    <mergeCell ref="B8:W8"/>
    <mergeCell ref="B9:W9"/>
    <mergeCell ref="B10:W10"/>
    <mergeCell ref="B11:W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41070-73C8-4785-87B1-2FE90D0AC213}">
  <sheetPr>
    <tabColor theme="1"/>
  </sheetPr>
  <dimension ref="A1:Y336"/>
  <sheetViews>
    <sheetView showGridLines="0" topLeftCell="A2" zoomScale="70" zoomScaleNormal="70" workbookViewId="0">
      <pane ySplit="8" topLeftCell="A10" activePane="bottomLeft" state="frozen"/>
      <selection activeCell="D13" sqref="D13"/>
      <selection pane="bottomLeft" activeCell="A2" sqref="A2"/>
    </sheetView>
  </sheetViews>
  <sheetFormatPr defaultColWidth="8.7109375" defaultRowHeight="15" x14ac:dyDescent="0.25"/>
  <cols>
    <col min="1" max="1" width="2.7109375" customWidth="1"/>
    <col min="2" max="2" width="29.85546875" customWidth="1"/>
    <col min="3" max="3" width="28.7109375" customWidth="1"/>
    <col min="4" max="4" width="29.28515625" customWidth="1"/>
    <col min="5" max="5" width="29" customWidth="1"/>
    <col min="6" max="6" width="31" customWidth="1"/>
    <col min="7" max="7" width="31.5703125" customWidth="1"/>
    <col min="8" max="8" width="25.7109375" customWidth="1"/>
    <col min="9" max="9" width="34.85546875" customWidth="1"/>
    <col min="10" max="10" width="36.28515625" customWidth="1"/>
    <col min="11" max="11" width="41.7109375" customWidth="1"/>
    <col min="12" max="15" width="13.7109375" customWidth="1"/>
  </cols>
  <sheetData>
    <row r="1" spans="1:25" s="26" customFormat="1" ht="18.75" x14ac:dyDescent="0.3"/>
    <row r="2" spans="1:25" s="26" customFormat="1" ht="13.9" customHeight="1" x14ac:dyDescent="0.3"/>
    <row r="3" spans="1:25" s="642" customFormat="1" ht="70.150000000000006" customHeight="1" x14ac:dyDescent="0.25">
      <c r="A3" s="645"/>
      <c r="B3" s="643" t="s">
        <v>560</v>
      </c>
      <c r="C3" s="643"/>
      <c r="D3" s="643"/>
      <c r="E3" s="643"/>
      <c r="F3" s="644"/>
      <c r="G3" s="644"/>
      <c r="H3" s="644"/>
      <c r="I3" s="644"/>
      <c r="J3" s="644"/>
      <c r="K3" s="644"/>
      <c r="L3" s="644"/>
      <c r="M3" s="644"/>
      <c r="N3" s="644"/>
      <c r="O3" s="644"/>
      <c r="P3" s="644"/>
      <c r="Q3" s="644"/>
      <c r="R3" s="644"/>
      <c r="S3" s="644"/>
      <c r="T3" s="644"/>
      <c r="U3" s="644"/>
      <c r="V3" s="644"/>
      <c r="W3" s="644"/>
      <c r="X3" s="644"/>
      <c r="Y3" s="644"/>
    </row>
    <row r="4" spans="1:25" s="536" customFormat="1" ht="9.6" customHeight="1" x14ac:dyDescent="0.25">
      <c r="A4" s="535"/>
      <c r="B4" s="535"/>
      <c r="C4" s="535"/>
      <c r="D4" s="535"/>
      <c r="E4" s="535"/>
      <c r="F4" s="535"/>
      <c r="G4" s="535"/>
      <c r="H4" s="535"/>
      <c r="I4" s="535"/>
      <c r="J4" s="535"/>
    </row>
    <row r="5" spans="1:25" s="536" customFormat="1" ht="9" customHeight="1" x14ac:dyDescent="0.25">
      <c r="A5" s="535"/>
      <c r="B5" s="659"/>
      <c r="C5" s="660"/>
      <c r="D5" s="661"/>
      <c r="E5" s="660"/>
      <c r="F5" s="661"/>
      <c r="G5" s="660"/>
      <c r="H5" s="662"/>
      <c r="I5" s="663"/>
      <c r="J5" s="1084"/>
      <c r="K5" s="1083"/>
      <c r="L5" s="1080"/>
      <c r="M5" s="1080"/>
      <c r="N5" s="1080"/>
    </row>
    <row r="6" spans="1:25" s="556" customFormat="1" ht="46.15" customHeight="1" x14ac:dyDescent="0.25">
      <c r="A6" s="555"/>
      <c r="B6" s="664"/>
      <c r="C6" s="1197" t="s">
        <v>558</v>
      </c>
      <c r="D6" s="665"/>
      <c r="E6" s="1103" t="s">
        <v>540</v>
      </c>
      <c r="F6" s="665"/>
      <c r="G6" s="1103" t="s">
        <v>588</v>
      </c>
      <c r="H6" s="666"/>
      <c r="I6" s="667"/>
      <c r="J6" s="1085"/>
      <c r="K6" s="1086"/>
      <c r="L6" s="1081"/>
      <c r="M6" s="1081"/>
      <c r="N6" s="1081"/>
    </row>
    <row r="7" spans="1:25" s="556" customFormat="1" ht="55.15" customHeight="1" x14ac:dyDescent="0.25">
      <c r="A7" s="555"/>
      <c r="B7" s="664"/>
      <c r="C7" s="1198" t="s">
        <v>532</v>
      </c>
      <c r="D7" s="665"/>
      <c r="E7" s="668" t="s">
        <v>550</v>
      </c>
      <c r="F7" s="665"/>
      <c r="G7" s="1197" t="s">
        <v>1274</v>
      </c>
      <c r="H7" s="668"/>
      <c r="I7" s="667"/>
      <c r="J7" s="1085"/>
      <c r="K7" s="1086"/>
      <c r="L7" s="1081"/>
      <c r="M7" s="1081"/>
      <c r="N7" s="1081"/>
    </row>
    <row r="8" spans="1:25" s="556" customFormat="1" ht="45.6" customHeight="1" x14ac:dyDescent="0.25">
      <c r="A8" s="555"/>
      <c r="B8" s="664"/>
      <c r="C8" s="1198" t="s">
        <v>539</v>
      </c>
      <c r="D8" s="665"/>
      <c r="E8" s="668" t="s">
        <v>551</v>
      </c>
      <c r="F8" s="665"/>
      <c r="G8" s="666"/>
      <c r="H8" s="669"/>
      <c r="I8" s="667"/>
      <c r="J8" s="1085"/>
      <c r="K8" s="1086"/>
      <c r="L8" s="1081"/>
      <c r="M8" s="1081"/>
      <c r="N8" s="1081"/>
    </row>
    <row r="9" spans="1:25" s="538" customFormat="1" ht="7.9" customHeight="1" x14ac:dyDescent="0.25">
      <c r="A9" s="537"/>
      <c r="B9" s="670"/>
      <c r="C9" s="671"/>
      <c r="D9" s="672"/>
      <c r="E9" s="673"/>
      <c r="F9" s="672"/>
      <c r="G9" s="674"/>
      <c r="H9" s="671"/>
      <c r="I9" s="675"/>
      <c r="J9" s="1087"/>
      <c r="K9" s="1088"/>
      <c r="L9" s="1082"/>
      <c r="M9" s="1082"/>
      <c r="N9" s="1082"/>
    </row>
    <row r="10" spans="1:25" s="536" customFormat="1" ht="15.75" x14ac:dyDescent="0.25">
      <c r="A10" s="535"/>
      <c r="I10" s="535"/>
      <c r="J10" s="1083"/>
      <c r="K10" s="1080"/>
      <c r="L10" s="1080"/>
      <c r="M10" s="1080"/>
      <c r="N10" s="1080"/>
    </row>
    <row r="11" spans="1:25" s="536" customFormat="1" ht="15.75" x14ac:dyDescent="0.25"/>
    <row r="12" spans="1:25" s="540" customFormat="1" ht="18" customHeight="1" x14ac:dyDescent="0.2">
      <c r="A12" s="543"/>
      <c r="B12" s="1288" t="s">
        <v>561</v>
      </c>
      <c r="C12" s="1288"/>
      <c r="D12" s="1288"/>
      <c r="E12" s="1288"/>
      <c r="F12" s="1288"/>
      <c r="G12" s="1288"/>
      <c r="H12" s="1288"/>
      <c r="I12" s="1288"/>
      <c r="J12" s="539"/>
      <c r="K12" s="539"/>
    </row>
    <row r="13" spans="1:25" s="540" customFormat="1" ht="19.899999999999999" customHeight="1" x14ac:dyDescent="0.2">
      <c r="B13" s="1288"/>
      <c r="C13" s="1288"/>
      <c r="D13" s="1288"/>
      <c r="E13" s="1288"/>
      <c r="F13" s="1288"/>
      <c r="G13" s="1288"/>
      <c r="H13" s="1288"/>
      <c r="I13" s="1288"/>
      <c r="J13" s="539"/>
      <c r="K13" s="539"/>
    </row>
    <row r="14" spans="1:25" s="536" customFormat="1" ht="19.899999999999999" customHeight="1" x14ac:dyDescent="0.25">
      <c r="B14" s="544"/>
      <c r="C14" s="544"/>
      <c r="D14" s="544"/>
      <c r="E14" s="544"/>
      <c r="F14" s="544"/>
      <c r="G14" s="544"/>
      <c r="H14" s="544"/>
      <c r="I14" s="544"/>
    </row>
    <row r="15" spans="1:25" s="542" customFormat="1" ht="19.899999999999999" customHeight="1" x14ac:dyDescent="0.25">
      <c r="B15" s="1296" t="s">
        <v>558</v>
      </c>
      <c r="C15" s="1297"/>
      <c r="D15" s="1297"/>
      <c r="E15" s="1297"/>
      <c r="F15" s="1297"/>
      <c r="G15" s="1297"/>
      <c r="H15" s="1297"/>
      <c r="I15" s="1298"/>
    </row>
    <row r="16" spans="1:25" s="541" customFormat="1" ht="80.45" customHeight="1" x14ac:dyDescent="0.2">
      <c r="B16" s="1292" t="s">
        <v>559</v>
      </c>
      <c r="C16" s="1293"/>
      <c r="D16" s="1277" t="s">
        <v>1275</v>
      </c>
      <c r="E16" s="1277"/>
      <c r="F16" s="1277"/>
      <c r="G16" s="1277"/>
      <c r="H16" s="1277"/>
      <c r="I16" s="1277"/>
      <c r="K16" s="1335"/>
      <c r="L16" s="1335"/>
      <c r="M16" s="1335"/>
      <c r="N16" s="1335"/>
      <c r="O16" s="1335"/>
    </row>
    <row r="17" spans="2:15" s="541" customFormat="1" ht="36.6" customHeight="1" x14ac:dyDescent="0.2">
      <c r="B17" s="1281" t="s">
        <v>683</v>
      </c>
      <c r="C17" s="1282"/>
      <c r="D17" s="1277" t="s">
        <v>787</v>
      </c>
      <c r="E17" s="1277"/>
      <c r="F17" s="1277"/>
      <c r="G17" s="1277"/>
      <c r="H17" s="1277"/>
      <c r="I17" s="1277"/>
      <c r="K17" s="678"/>
      <c r="L17" s="678"/>
      <c r="M17" s="678"/>
      <c r="N17" s="678"/>
      <c r="O17" s="678"/>
    </row>
    <row r="18" spans="2:15" s="541" customFormat="1" ht="58.9" customHeight="1" x14ac:dyDescent="0.2">
      <c r="B18" s="1329"/>
      <c r="C18" s="1330"/>
      <c r="D18" s="1274" t="s">
        <v>791</v>
      </c>
      <c r="E18" s="1275"/>
      <c r="F18" s="1275"/>
      <c r="G18" s="1275"/>
      <c r="H18" s="1275"/>
      <c r="I18" s="1276"/>
      <c r="K18" s="678"/>
      <c r="L18" s="678"/>
      <c r="M18" s="678"/>
      <c r="N18" s="678"/>
      <c r="O18" s="678"/>
    </row>
    <row r="19" spans="2:15" s="541" customFormat="1" ht="18.75" x14ac:dyDescent="0.2">
      <c r="B19" s="1283"/>
      <c r="C19" s="1284"/>
      <c r="D19" s="1274" t="s">
        <v>798</v>
      </c>
      <c r="E19" s="1275"/>
      <c r="F19" s="1275"/>
      <c r="G19" s="1275"/>
      <c r="H19" s="1275"/>
      <c r="I19" s="1276"/>
      <c r="K19" s="658"/>
      <c r="L19" s="1334"/>
      <c r="M19" s="1334"/>
      <c r="N19" s="1334"/>
      <c r="O19" s="1334"/>
    </row>
    <row r="20" spans="2:15" s="541" customFormat="1" ht="19.899999999999999" customHeight="1" x14ac:dyDescent="0.2">
      <c r="B20" s="586"/>
      <c r="C20" s="676"/>
      <c r="D20" s="677"/>
      <c r="E20" s="677"/>
      <c r="F20" s="677"/>
      <c r="G20" s="677"/>
      <c r="H20" s="677"/>
      <c r="I20" s="677"/>
      <c r="K20" s="658"/>
      <c r="L20" s="1334"/>
      <c r="M20" s="1334"/>
      <c r="N20" s="1334"/>
      <c r="O20" s="1334"/>
    </row>
    <row r="21" spans="2:15" s="541" customFormat="1" ht="19.899999999999999" customHeight="1" x14ac:dyDescent="0.2">
      <c r="B21" s="1273" t="s">
        <v>532</v>
      </c>
      <c r="C21" s="1273"/>
      <c r="D21" s="1273"/>
      <c r="E21" s="1273"/>
      <c r="F21" s="1273"/>
      <c r="G21" s="1273"/>
      <c r="H21" s="1273"/>
      <c r="I21" s="1273"/>
      <c r="K21" s="658"/>
      <c r="L21" s="1334"/>
      <c r="M21" s="1334"/>
      <c r="N21" s="1334"/>
      <c r="O21" s="1334"/>
    </row>
    <row r="22" spans="2:15" s="541" customFormat="1" ht="50.45" customHeight="1" x14ac:dyDescent="0.2">
      <c r="B22" s="1281" t="s">
        <v>533</v>
      </c>
      <c r="C22" s="1282"/>
      <c r="D22" s="1294" t="s">
        <v>1181</v>
      </c>
      <c r="E22" s="1294"/>
      <c r="F22" s="1294"/>
      <c r="G22" s="1294"/>
      <c r="H22" s="1294"/>
      <c r="I22" s="1294"/>
    </row>
    <row r="23" spans="2:15" s="541" customFormat="1" ht="38.450000000000003" customHeight="1" x14ac:dyDescent="0.2">
      <c r="B23" s="1329"/>
      <c r="C23" s="1330"/>
      <c r="D23" s="1274" t="s">
        <v>1182</v>
      </c>
      <c r="E23" s="1275"/>
      <c r="F23" s="1275"/>
      <c r="G23" s="1275"/>
      <c r="H23" s="1275"/>
      <c r="I23" s="1276"/>
    </row>
    <row r="24" spans="2:15" s="541" customFormat="1" ht="59.45" customHeight="1" x14ac:dyDescent="0.2">
      <c r="B24" s="1329"/>
      <c r="C24" s="1330"/>
      <c r="D24" s="1277" t="s">
        <v>1183</v>
      </c>
      <c r="E24" s="1277"/>
      <c r="F24" s="1277"/>
      <c r="G24" s="1277"/>
      <c r="H24" s="1277"/>
      <c r="I24" s="1277"/>
    </row>
    <row r="25" spans="2:15" s="541" customFormat="1" ht="59.45" customHeight="1" x14ac:dyDescent="0.2">
      <c r="B25" s="1283"/>
      <c r="C25" s="1284"/>
      <c r="D25" s="1277" t="s">
        <v>1184</v>
      </c>
      <c r="E25" s="1277"/>
      <c r="F25" s="1277"/>
      <c r="G25" s="1277"/>
      <c r="H25" s="1277"/>
      <c r="I25" s="1277"/>
    </row>
    <row r="26" spans="2:15" s="541" customFormat="1" ht="49.15" customHeight="1" x14ac:dyDescent="0.2">
      <c r="B26" s="1278" t="s">
        <v>531</v>
      </c>
      <c r="C26" s="1278"/>
      <c r="D26" s="1277" t="s">
        <v>788</v>
      </c>
      <c r="E26" s="1277"/>
      <c r="F26" s="1277"/>
      <c r="G26" s="1277"/>
      <c r="H26" s="1277"/>
      <c r="I26" s="1277"/>
    </row>
    <row r="27" spans="2:15" s="541" customFormat="1" ht="42" customHeight="1" x14ac:dyDescent="0.2">
      <c r="B27" s="1278"/>
      <c r="C27" s="1278"/>
      <c r="D27" s="1277" t="s">
        <v>1185</v>
      </c>
      <c r="E27" s="1277"/>
      <c r="F27" s="1277"/>
      <c r="G27" s="1277"/>
      <c r="H27" s="1277"/>
      <c r="I27" s="1277"/>
    </row>
    <row r="28" spans="2:15" s="541" customFormat="1" ht="19.899999999999999" customHeight="1" x14ac:dyDescent="0.2">
      <c r="B28" s="1281" t="s">
        <v>534</v>
      </c>
      <c r="C28" s="1282"/>
      <c r="D28" s="1277" t="s">
        <v>650</v>
      </c>
      <c r="E28" s="1277"/>
      <c r="F28" s="1277"/>
      <c r="G28" s="1277"/>
      <c r="H28" s="1277"/>
      <c r="I28" s="1277"/>
    </row>
    <row r="29" spans="2:15" s="541" customFormat="1" ht="19.899999999999999" customHeight="1" x14ac:dyDescent="0.2">
      <c r="B29" s="1283"/>
      <c r="C29" s="1284"/>
      <c r="D29" s="1274" t="s">
        <v>1307</v>
      </c>
      <c r="E29" s="1275"/>
      <c r="F29" s="1275"/>
      <c r="G29" s="1275"/>
      <c r="H29" s="1275"/>
      <c r="I29" s="1276"/>
    </row>
    <row r="30" spans="2:15" s="541" customFormat="1" ht="19.899999999999999" customHeight="1" x14ac:dyDescent="0.2">
      <c r="B30" s="1278" t="s">
        <v>536</v>
      </c>
      <c r="C30" s="1278"/>
      <c r="D30" s="1277" t="s">
        <v>790</v>
      </c>
      <c r="E30" s="1277"/>
      <c r="F30" s="1277"/>
      <c r="G30" s="1277"/>
      <c r="H30" s="1277"/>
      <c r="I30" s="1277"/>
    </row>
    <row r="31" spans="2:15" s="541" customFormat="1" ht="19.899999999999999" customHeight="1" x14ac:dyDescent="0.2">
      <c r="B31" s="1278"/>
      <c r="C31" s="1278"/>
      <c r="D31" s="1277" t="s">
        <v>789</v>
      </c>
      <c r="E31" s="1277"/>
      <c r="F31" s="1277"/>
      <c r="G31" s="1277"/>
      <c r="H31" s="1277"/>
      <c r="I31" s="1277"/>
    </row>
    <row r="32" spans="2:15" s="541" customFormat="1" ht="40.15" customHeight="1" x14ac:dyDescent="0.2">
      <c r="B32" s="656"/>
      <c r="C32" s="657" t="s">
        <v>535</v>
      </c>
      <c r="D32" s="1277" t="s">
        <v>628</v>
      </c>
      <c r="E32" s="1277"/>
      <c r="F32" s="1277"/>
      <c r="G32" s="1277"/>
      <c r="H32" s="1277"/>
      <c r="I32" s="1277"/>
    </row>
    <row r="33" spans="2:18" s="541" customFormat="1" ht="19.899999999999999" customHeight="1" x14ac:dyDescent="0.2">
      <c r="B33" s="585"/>
      <c r="C33" s="585"/>
      <c r="D33" s="585"/>
      <c r="E33" s="585"/>
      <c r="F33" s="585"/>
      <c r="G33" s="585"/>
      <c r="H33" s="585"/>
      <c r="I33" s="585"/>
    </row>
    <row r="34" spans="2:18" s="542" customFormat="1" ht="19.899999999999999" customHeight="1" x14ac:dyDescent="0.25">
      <c r="B34" s="1273" t="s">
        <v>539</v>
      </c>
      <c r="C34" s="1273"/>
      <c r="D34" s="1273"/>
      <c r="E34" s="1273"/>
      <c r="F34" s="1273"/>
      <c r="G34" s="1273"/>
      <c r="H34" s="1273"/>
      <c r="I34" s="1273"/>
    </row>
    <row r="35" spans="2:18" s="541" customFormat="1" ht="40.15" customHeight="1" x14ac:dyDescent="0.2">
      <c r="B35" s="1278" t="s">
        <v>1186</v>
      </c>
      <c r="C35" s="1278"/>
      <c r="D35" s="1277" t="s">
        <v>651</v>
      </c>
      <c r="E35" s="1277"/>
      <c r="F35" s="1277"/>
      <c r="G35" s="1277"/>
      <c r="H35" s="1277"/>
      <c r="I35" s="1277"/>
    </row>
    <row r="36" spans="2:18" s="541" customFormat="1" ht="42" customHeight="1" x14ac:dyDescent="0.2">
      <c r="B36" s="1278"/>
      <c r="C36" s="1278"/>
      <c r="D36" s="1279" t="s">
        <v>652</v>
      </c>
      <c r="E36" s="1279"/>
      <c r="F36" s="1279"/>
      <c r="G36" s="1279"/>
      <c r="H36" s="1279"/>
      <c r="I36" s="1279"/>
    </row>
    <row r="37" spans="2:18" s="541" customFormat="1" ht="55.9" customHeight="1" x14ac:dyDescent="0.2">
      <c r="B37" s="1278"/>
      <c r="C37" s="1278"/>
      <c r="D37" s="1279" t="s">
        <v>1187</v>
      </c>
      <c r="E37" s="1279"/>
      <c r="F37" s="1279"/>
      <c r="G37" s="1279"/>
      <c r="H37" s="1279"/>
      <c r="I37" s="1279"/>
    </row>
    <row r="38" spans="2:18" s="541" customFormat="1" ht="19.899999999999999" customHeight="1" x14ac:dyDescent="0.2">
      <c r="B38" s="1278" t="s">
        <v>543</v>
      </c>
      <c r="C38" s="1278"/>
      <c r="D38" s="1279" t="s">
        <v>653</v>
      </c>
      <c r="E38" s="1279"/>
      <c r="F38" s="1279"/>
      <c r="G38" s="1279"/>
      <c r="H38" s="1279"/>
      <c r="I38" s="1279"/>
    </row>
    <row r="39" spans="2:18" s="541" customFormat="1" ht="19.899999999999999" customHeight="1" x14ac:dyDescent="0.2">
      <c r="B39" s="1278"/>
      <c r="C39" s="1278"/>
      <c r="D39" s="1279" t="s">
        <v>654</v>
      </c>
      <c r="E39" s="1279"/>
      <c r="F39" s="1279"/>
      <c r="G39" s="1279"/>
      <c r="H39" s="1279"/>
      <c r="I39" s="1279"/>
    </row>
    <row r="40" spans="2:18" s="541" customFormat="1" ht="58.9" customHeight="1" x14ac:dyDescent="0.2">
      <c r="B40" s="1278"/>
      <c r="C40" s="1278"/>
      <c r="D40" s="1279" t="s">
        <v>1188</v>
      </c>
      <c r="E40" s="1279"/>
      <c r="F40" s="1279"/>
      <c r="G40" s="1279"/>
      <c r="H40" s="1279"/>
      <c r="I40" s="1279"/>
    </row>
    <row r="41" spans="2:18" s="541" customFormat="1" ht="23.45" customHeight="1" x14ac:dyDescent="0.2">
      <c r="B41" s="1278" t="s">
        <v>544</v>
      </c>
      <c r="C41" s="1278"/>
      <c r="D41" s="1279" t="s">
        <v>655</v>
      </c>
      <c r="E41" s="1279"/>
      <c r="F41" s="1279"/>
      <c r="G41" s="1279"/>
      <c r="H41" s="1279"/>
      <c r="I41" s="1279"/>
    </row>
    <row r="42" spans="2:18" s="541" customFormat="1" ht="22.9" customHeight="1" x14ac:dyDescent="0.2">
      <c r="B42" s="1278"/>
      <c r="C42" s="1278"/>
      <c r="D42" s="1279" t="s">
        <v>656</v>
      </c>
      <c r="E42" s="1279"/>
      <c r="F42" s="1279"/>
      <c r="G42" s="1279"/>
      <c r="H42" s="1279"/>
      <c r="I42" s="1279"/>
    </row>
    <row r="43" spans="2:18" s="541" customFormat="1" ht="56.45" customHeight="1" x14ac:dyDescent="0.2">
      <c r="B43" s="1278"/>
      <c r="C43" s="1278"/>
      <c r="D43" s="1279" t="s">
        <v>1214</v>
      </c>
      <c r="E43" s="1279"/>
      <c r="F43" s="1279"/>
      <c r="G43" s="1279"/>
      <c r="H43" s="1279"/>
      <c r="I43" s="1279"/>
      <c r="K43" s="1287"/>
      <c r="L43" s="1287"/>
      <c r="M43" s="1289"/>
      <c r="N43" s="1289"/>
      <c r="O43" s="1289"/>
      <c r="P43" s="1289"/>
      <c r="Q43" s="1289"/>
      <c r="R43" s="1289"/>
    </row>
    <row r="44" spans="2:18" s="541" customFormat="1" ht="25.15" customHeight="1" x14ac:dyDescent="0.2">
      <c r="B44" s="1291" t="s">
        <v>545</v>
      </c>
      <c r="C44" s="1291"/>
      <c r="D44" s="1279" t="s">
        <v>657</v>
      </c>
      <c r="E44" s="1279"/>
      <c r="F44" s="1279"/>
      <c r="G44" s="1279"/>
      <c r="H44" s="1279"/>
      <c r="I44" s="1279"/>
      <c r="K44" s="546"/>
      <c r="L44" s="546"/>
      <c r="M44" s="547"/>
      <c r="N44" s="547"/>
      <c r="O44" s="547"/>
      <c r="P44" s="547"/>
      <c r="Q44" s="547"/>
      <c r="R44" s="547"/>
    </row>
    <row r="45" spans="2:18" s="541" customFormat="1" ht="19.899999999999999" customHeight="1" x14ac:dyDescent="0.2">
      <c r="B45" s="1291"/>
      <c r="C45" s="1291"/>
      <c r="D45" s="1279" t="s">
        <v>658</v>
      </c>
      <c r="E45" s="1279"/>
      <c r="F45" s="1279"/>
      <c r="G45" s="1279"/>
      <c r="H45" s="1279"/>
      <c r="I45" s="1279"/>
      <c r="K45" s="546"/>
      <c r="L45" s="546"/>
      <c r="M45" s="547"/>
      <c r="N45" s="547"/>
      <c r="O45" s="547"/>
      <c r="P45" s="547"/>
      <c r="Q45" s="547"/>
      <c r="R45" s="547"/>
    </row>
    <row r="46" spans="2:18" s="541" customFormat="1" ht="36.6" customHeight="1" x14ac:dyDescent="0.2">
      <c r="B46" s="1291" t="s">
        <v>565</v>
      </c>
      <c r="C46" s="1291"/>
      <c r="D46" s="1279" t="s">
        <v>792</v>
      </c>
      <c r="E46" s="1279"/>
      <c r="F46" s="1279"/>
      <c r="G46" s="1279"/>
      <c r="H46" s="1279"/>
      <c r="I46" s="1279"/>
      <c r="K46" s="546"/>
      <c r="L46" s="546"/>
      <c r="M46" s="547"/>
      <c r="N46" s="547"/>
      <c r="O46" s="547"/>
      <c r="P46" s="547"/>
      <c r="Q46" s="547"/>
      <c r="R46" s="547"/>
    </row>
    <row r="47" spans="2:18" s="541" customFormat="1" ht="73.900000000000006" customHeight="1" x14ac:dyDescent="0.2">
      <c r="B47" s="1291"/>
      <c r="C47" s="1291"/>
      <c r="D47" s="1290" t="s">
        <v>1230</v>
      </c>
      <c r="E47" s="1290"/>
      <c r="F47" s="1290"/>
      <c r="G47" s="1290"/>
      <c r="H47" s="1290"/>
      <c r="I47" s="1290"/>
      <c r="K47" s="546"/>
      <c r="L47" s="546"/>
      <c r="M47" s="547"/>
      <c r="N47" s="547"/>
      <c r="O47" s="547"/>
      <c r="P47" s="547"/>
      <c r="Q47" s="547"/>
      <c r="R47" s="547"/>
    </row>
    <row r="48" spans="2:18" s="541" customFormat="1" ht="46.9" customHeight="1" x14ac:dyDescent="0.2">
      <c r="B48" s="1291" t="s">
        <v>547</v>
      </c>
      <c r="C48" s="1291"/>
      <c r="D48" s="1279" t="s">
        <v>659</v>
      </c>
      <c r="E48" s="1279"/>
      <c r="F48" s="1279"/>
      <c r="G48" s="1279"/>
      <c r="H48" s="1279"/>
      <c r="I48" s="1279"/>
      <c r="K48" s="546"/>
      <c r="L48" s="546"/>
      <c r="M48" s="547"/>
      <c r="N48" s="547"/>
      <c r="O48" s="547"/>
      <c r="P48" s="547"/>
      <c r="Q48" s="547"/>
      <c r="R48" s="547"/>
    </row>
    <row r="49" spans="2:18" s="541" customFormat="1" ht="41.45" customHeight="1" x14ac:dyDescent="0.2">
      <c r="B49" s="1291" t="s">
        <v>566</v>
      </c>
      <c r="C49" s="1291"/>
      <c r="D49" s="1279" t="s">
        <v>793</v>
      </c>
      <c r="E49" s="1279"/>
      <c r="F49" s="1279"/>
      <c r="G49" s="1279"/>
      <c r="H49" s="1279"/>
      <c r="I49" s="1279"/>
      <c r="J49" s="545"/>
      <c r="K49" s="548"/>
      <c r="L49" s="548"/>
      <c r="M49" s="1289"/>
      <c r="N49" s="1289"/>
      <c r="O49" s="1289"/>
      <c r="P49" s="1289"/>
      <c r="Q49" s="1289"/>
      <c r="R49" s="1289"/>
    </row>
    <row r="50" spans="2:18" s="541" customFormat="1" ht="57.6" customHeight="1" x14ac:dyDescent="0.2">
      <c r="B50" s="1291" t="s">
        <v>548</v>
      </c>
      <c r="C50" s="1291"/>
      <c r="D50" s="1279" t="s">
        <v>1189</v>
      </c>
      <c r="E50" s="1279"/>
      <c r="F50" s="1279"/>
      <c r="G50" s="1279"/>
      <c r="H50" s="1279"/>
      <c r="I50" s="1279"/>
    </row>
    <row r="51" spans="2:18" s="541" customFormat="1" ht="19.899999999999999" customHeight="1" x14ac:dyDescent="0.2">
      <c r="B51" s="586"/>
      <c r="C51" s="586"/>
      <c r="D51" s="587"/>
      <c r="E51" s="587"/>
      <c r="F51" s="587"/>
      <c r="G51" s="587"/>
      <c r="H51" s="587"/>
      <c r="I51" s="587"/>
    </row>
    <row r="52" spans="2:18" s="541" customFormat="1" ht="19.899999999999999" customHeight="1" x14ac:dyDescent="0.2">
      <c r="B52" s="1288" t="s">
        <v>546</v>
      </c>
      <c r="C52" s="1288"/>
      <c r="D52" s="1288"/>
      <c r="E52" s="1288"/>
      <c r="F52" s="1288"/>
      <c r="G52" s="1288"/>
      <c r="H52" s="1288"/>
      <c r="I52" s="1288"/>
    </row>
    <row r="53" spans="2:18" ht="14.45" customHeight="1" x14ac:dyDescent="0.25">
      <c r="B53" s="1288"/>
      <c r="C53" s="1288"/>
      <c r="D53" s="1288"/>
      <c r="E53" s="1288"/>
      <c r="F53" s="1288"/>
      <c r="G53" s="1288"/>
      <c r="H53" s="1288"/>
      <c r="I53" s="1288"/>
    </row>
    <row r="54" spans="2:18" ht="18.75" x14ac:dyDescent="0.25">
      <c r="B54" s="588"/>
      <c r="C54" s="588"/>
      <c r="D54" s="588"/>
      <c r="E54" s="588"/>
      <c r="F54" s="588"/>
      <c r="G54" s="588"/>
      <c r="H54" s="588"/>
      <c r="I54" s="588"/>
    </row>
    <row r="55" spans="2:18" s="542" customFormat="1" ht="19.899999999999999" customHeight="1" x14ac:dyDescent="0.25">
      <c r="B55" s="1273" t="s">
        <v>540</v>
      </c>
      <c r="C55" s="1273"/>
      <c r="D55" s="1273"/>
      <c r="E55" s="1273"/>
      <c r="F55" s="1273"/>
      <c r="G55" s="1273"/>
      <c r="H55" s="1273"/>
      <c r="I55" s="1273"/>
    </row>
    <row r="56" spans="2:18" s="536" customFormat="1" ht="19.149999999999999" customHeight="1" x14ac:dyDescent="0.25">
      <c r="B56" s="1292" t="s">
        <v>537</v>
      </c>
      <c r="C56" s="1293"/>
      <c r="D56" s="1295" t="s">
        <v>816</v>
      </c>
      <c r="E56" s="1295"/>
      <c r="F56" s="1295"/>
      <c r="G56" s="1295"/>
      <c r="H56" s="1295"/>
      <c r="I56" s="1295"/>
    </row>
    <row r="57" spans="2:18" s="536" customFormat="1" ht="37.9" customHeight="1" x14ac:dyDescent="0.25">
      <c r="B57" s="1278" t="s">
        <v>538</v>
      </c>
      <c r="C57" s="1278"/>
      <c r="D57" s="1295" t="s">
        <v>1190</v>
      </c>
      <c r="E57" s="1295"/>
      <c r="F57" s="1295"/>
      <c r="G57" s="1295"/>
      <c r="H57" s="1295"/>
      <c r="I57" s="1295"/>
    </row>
    <row r="58" spans="2:18" s="536" customFormat="1" ht="19.899999999999999" customHeight="1" x14ac:dyDescent="0.25">
      <c r="B58" s="1278"/>
      <c r="C58" s="1278"/>
      <c r="D58" s="1295" t="s">
        <v>1191</v>
      </c>
      <c r="E58" s="1295"/>
      <c r="F58" s="1295"/>
      <c r="G58" s="1295"/>
      <c r="H58" s="1295"/>
      <c r="I58" s="1295"/>
    </row>
    <row r="59" spans="2:18" ht="18.75" x14ac:dyDescent="0.3">
      <c r="B59" s="26"/>
      <c r="C59" s="26"/>
      <c r="D59" s="26"/>
      <c r="E59" s="26"/>
      <c r="F59" s="26"/>
      <c r="G59" s="26"/>
      <c r="H59" s="26"/>
      <c r="I59" s="26"/>
    </row>
    <row r="60" spans="2:18" ht="18.75" x14ac:dyDescent="0.25">
      <c r="B60" s="1273" t="s">
        <v>550</v>
      </c>
      <c r="C60" s="1273"/>
      <c r="D60" s="1273"/>
      <c r="E60" s="1273"/>
      <c r="F60" s="1273"/>
      <c r="G60" s="1273"/>
      <c r="H60" s="1273"/>
      <c r="I60" s="1273"/>
    </row>
    <row r="61" spans="2:18" ht="61.15" customHeight="1" x14ac:dyDescent="0.25">
      <c r="B61" s="1278" t="s">
        <v>549</v>
      </c>
      <c r="C61" s="1278"/>
      <c r="D61" s="1279" t="s">
        <v>1215</v>
      </c>
      <c r="E61" s="1279"/>
      <c r="F61" s="1279"/>
      <c r="G61" s="1279"/>
      <c r="H61" s="1279"/>
      <c r="I61" s="1279"/>
    </row>
    <row r="62" spans="2:18" ht="57.6" customHeight="1" x14ac:dyDescent="0.25">
      <c r="B62" s="1278"/>
      <c r="C62" s="1278"/>
      <c r="D62" s="1279" t="s">
        <v>592</v>
      </c>
      <c r="E62" s="1279"/>
      <c r="F62" s="1279"/>
      <c r="G62" s="1279"/>
      <c r="H62" s="1279"/>
      <c r="I62" s="1279"/>
    </row>
    <row r="63" spans="2:18" ht="22.15" customHeight="1" x14ac:dyDescent="0.25">
      <c r="B63" s="1278"/>
      <c r="C63" s="1278"/>
      <c r="D63" s="1279" t="s">
        <v>590</v>
      </c>
      <c r="E63" s="1279"/>
      <c r="F63" s="1279"/>
      <c r="G63" s="1331" t="s">
        <v>589</v>
      </c>
      <c r="H63" s="1332"/>
      <c r="I63" s="1333"/>
    </row>
    <row r="64" spans="2:18" ht="37.15" customHeight="1" x14ac:dyDescent="0.25">
      <c r="B64" s="1291" t="s">
        <v>552</v>
      </c>
      <c r="C64" s="1291"/>
      <c r="D64" s="1279" t="s">
        <v>660</v>
      </c>
      <c r="E64" s="1279"/>
      <c r="F64" s="1279"/>
      <c r="G64" s="1279"/>
      <c r="H64" s="1279"/>
      <c r="I64" s="1279"/>
    </row>
    <row r="65" spans="2:9" ht="93.6" customHeight="1" x14ac:dyDescent="0.25">
      <c r="B65" s="1291"/>
      <c r="C65" s="1291"/>
      <c r="D65" s="1279" t="s">
        <v>817</v>
      </c>
      <c r="E65" s="1279"/>
      <c r="F65" s="1279"/>
      <c r="G65" s="1279"/>
      <c r="H65" s="1279"/>
      <c r="I65" s="1279"/>
    </row>
    <row r="66" spans="2:9" ht="19.899999999999999" customHeight="1" x14ac:dyDescent="0.25">
      <c r="B66" s="1291"/>
      <c r="C66" s="1291"/>
      <c r="D66" s="1285" t="s">
        <v>591</v>
      </c>
      <c r="E66" s="1285"/>
      <c r="F66" s="1285"/>
      <c r="G66" s="1285"/>
      <c r="H66" s="1285"/>
      <c r="I66" s="1285"/>
    </row>
    <row r="67" spans="2:9" ht="19.899999999999999" customHeight="1" x14ac:dyDescent="0.25">
      <c r="B67" s="1291"/>
      <c r="C67" s="1291"/>
      <c r="D67" s="1286" t="s">
        <v>553</v>
      </c>
      <c r="E67" s="1286"/>
      <c r="F67" s="1286"/>
      <c r="G67" s="1286"/>
      <c r="H67" s="1286"/>
      <c r="I67" s="1286"/>
    </row>
    <row r="68" spans="2:9" ht="19.899999999999999" customHeight="1" x14ac:dyDescent="0.25">
      <c r="B68" s="1291"/>
      <c r="C68" s="1291"/>
      <c r="D68" s="1286" t="s">
        <v>554</v>
      </c>
      <c r="E68" s="1286"/>
      <c r="F68" s="1286"/>
      <c r="G68" s="1286"/>
      <c r="H68" s="1286"/>
      <c r="I68" s="1286"/>
    </row>
    <row r="69" spans="2:9" ht="19.899999999999999" customHeight="1" x14ac:dyDescent="0.25">
      <c r="B69" s="1291"/>
      <c r="C69" s="1291"/>
      <c r="D69" s="1286" t="s">
        <v>555</v>
      </c>
      <c r="E69" s="1286"/>
      <c r="F69" s="1286"/>
      <c r="G69" s="1286"/>
      <c r="H69" s="1286"/>
      <c r="I69" s="1286"/>
    </row>
    <row r="70" spans="2:9" ht="19.899999999999999" customHeight="1" x14ac:dyDescent="0.25">
      <c r="B70" s="1291"/>
      <c r="C70" s="1291"/>
      <c r="D70" s="1286" t="s">
        <v>556</v>
      </c>
      <c r="E70" s="1286"/>
      <c r="F70" s="1286"/>
      <c r="G70" s="1286"/>
      <c r="H70" s="1286"/>
      <c r="I70" s="1286"/>
    </row>
    <row r="71" spans="2:9" ht="18.75" x14ac:dyDescent="0.25">
      <c r="B71" s="1291"/>
      <c r="C71" s="1291"/>
      <c r="D71" s="1280" t="s">
        <v>794</v>
      </c>
      <c r="E71" s="1280"/>
      <c r="F71" s="1280"/>
      <c r="G71" s="1280"/>
      <c r="H71" s="1280"/>
      <c r="I71" s="1280"/>
    </row>
    <row r="72" spans="2:9" ht="18.75" x14ac:dyDescent="0.3">
      <c r="B72" s="26"/>
      <c r="C72" s="26"/>
      <c r="D72" s="26"/>
      <c r="E72" s="26"/>
      <c r="F72" s="26"/>
      <c r="G72" s="26"/>
      <c r="H72" s="26"/>
      <c r="I72" s="26"/>
    </row>
    <row r="73" spans="2:9" ht="18.75" x14ac:dyDescent="0.25">
      <c r="B73" s="1273" t="s">
        <v>551</v>
      </c>
      <c r="C73" s="1273"/>
      <c r="D73" s="1273"/>
      <c r="E73" s="1273"/>
      <c r="F73" s="1273"/>
      <c r="G73" s="1273"/>
      <c r="H73" s="1273"/>
      <c r="I73" s="1273"/>
    </row>
    <row r="74" spans="2:9" ht="109.9" customHeight="1" x14ac:dyDescent="0.25">
      <c r="B74" s="656"/>
      <c r="C74" s="657" t="s">
        <v>541</v>
      </c>
      <c r="D74" s="1277" t="s">
        <v>1222</v>
      </c>
      <c r="E74" s="1277"/>
      <c r="F74" s="1277"/>
      <c r="G74" s="1277"/>
      <c r="H74" s="1277"/>
      <c r="I74" s="1277"/>
    </row>
    <row r="75" spans="2:9" ht="78.599999999999994" customHeight="1" x14ac:dyDescent="0.25">
      <c r="B75" s="1291" t="s">
        <v>542</v>
      </c>
      <c r="C75" s="1291"/>
      <c r="D75" s="1277" t="s">
        <v>1192</v>
      </c>
      <c r="E75" s="1277"/>
      <c r="F75" s="1277"/>
      <c r="G75" s="1277"/>
      <c r="H75" s="1277"/>
      <c r="I75" s="1277"/>
    </row>
    <row r="76" spans="2:9" ht="57" customHeight="1" x14ac:dyDescent="0.25">
      <c r="B76" s="1336" t="s">
        <v>795</v>
      </c>
      <c r="C76" s="1337"/>
      <c r="D76" s="1277" t="s">
        <v>1193</v>
      </c>
      <c r="E76" s="1277"/>
      <c r="F76" s="1277"/>
      <c r="G76" s="1277"/>
      <c r="H76" s="1277"/>
      <c r="I76" s="1277"/>
    </row>
    <row r="77" spans="2:9" ht="17.45" customHeight="1" x14ac:dyDescent="0.25">
      <c r="B77" s="656"/>
      <c r="C77" s="657" t="s">
        <v>557</v>
      </c>
      <c r="D77" s="1279" t="s">
        <v>1232</v>
      </c>
      <c r="E77" s="1279"/>
      <c r="F77" s="1279"/>
      <c r="G77" s="1279"/>
      <c r="H77" s="1279"/>
      <c r="I77" s="1279"/>
    </row>
    <row r="78" spans="2:9" ht="18.75" x14ac:dyDescent="0.3">
      <c r="B78" s="26"/>
      <c r="C78" s="26"/>
      <c r="D78" s="26"/>
      <c r="E78" s="26"/>
      <c r="F78" s="26"/>
      <c r="G78" s="26"/>
      <c r="H78" s="26"/>
      <c r="I78" s="26"/>
    </row>
    <row r="79" spans="2:9" ht="14.45" customHeight="1" x14ac:dyDescent="0.25">
      <c r="B79" s="1288" t="s">
        <v>669</v>
      </c>
      <c r="C79" s="1288"/>
      <c r="D79" s="1288"/>
      <c r="E79" s="1288"/>
      <c r="F79" s="1288"/>
      <c r="G79" s="1288"/>
      <c r="H79" s="1288"/>
      <c r="I79" s="1288"/>
    </row>
    <row r="80" spans="2:9" ht="14.45" customHeight="1" x14ac:dyDescent="0.25">
      <c r="B80" s="1288"/>
      <c r="C80" s="1288"/>
      <c r="D80" s="1288"/>
      <c r="E80" s="1288"/>
      <c r="F80" s="1288"/>
      <c r="G80" s="1288"/>
      <c r="H80" s="1288"/>
      <c r="I80" s="1288"/>
    </row>
    <row r="81" spans="2:9" ht="18.75" x14ac:dyDescent="0.3">
      <c r="B81" s="26"/>
      <c r="C81" s="26"/>
      <c r="D81" s="26"/>
      <c r="E81" s="26"/>
      <c r="F81" s="26"/>
      <c r="G81" s="26"/>
      <c r="H81" s="26"/>
      <c r="I81" s="26"/>
    </row>
    <row r="82" spans="2:9" ht="18.75" x14ac:dyDescent="0.25">
      <c r="B82" s="1273" t="s">
        <v>588</v>
      </c>
      <c r="C82" s="1273"/>
      <c r="D82" s="1273"/>
      <c r="E82" s="1273"/>
      <c r="F82" s="1273"/>
      <c r="G82" s="1273"/>
      <c r="H82" s="1273"/>
      <c r="I82" s="1273"/>
    </row>
    <row r="83" spans="2:9" ht="18.75" x14ac:dyDescent="0.25">
      <c r="B83" s="1278" t="s">
        <v>562</v>
      </c>
      <c r="C83" s="1278"/>
      <c r="D83" s="1277" t="s">
        <v>661</v>
      </c>
      <c r="E83" s="1277"/>
      <c r="F83" s="1277"/>
      <c r="G83" s="1277"/>
      <c r="H83" s="1277"/>
      <c r="I83" s="1277"/>
    </row>
    <row r="84" spans="2:9" ht="24.6" customHeight="1" x14ac:dyDescent="0.25">
      <c r="B84" s="1278"/>
      <c r="C84" s="1278"/>
      <c r="D84" s="1277" t="s">
        <v>662</v>
      </c>
      <c r="E84" s="1277"/>
      <c r="F84" s="1277"/>
      <c r="G84" s="1277"/>
      <c r="H84" s="1277"/>
      <c r="I84" s="1277"/>
    </row>
    <row r="85" spans="2:9" ht="19.899999999999999" customHeight="1" x14ac:dyDescent="0.25">
      <c r="B85" s="1278"/>
      <c r="C85" s="1278"/>
      <c r="D85" s="1300" t="s">
        <v>586</v>
      </c>
      <c r="E85" s="1300"/>
      <c r="F85" s="1300"/>
      <c r="G85" s="1300"/>
      <c r="H85" s="1300"/>
      <c r="I85" s="1300"/>
    </row>
    <row r="86" spans="2:9" ht="23.45" customHeight="1" x14ac:dyDescent="0.25">
      <c r="B86" s="1278"/>
      <c r="C86" s="1278"/>
      <c r="D86" s="1300" t="s">
        <v>593</v>
      </c>
      <c r="E86" s="1300"/>
      <c r="F86" s="1300"/>
      <c r="G86" s="1300"/>
      <c r="H86" s="1300"/>
      <c r="I86" s="1300"/>
    </row>
    <row r="87" spans="2:9" ht="21.6" customHeight="1" x14ac:dyDescent="0.25">
      <c r="B87" s="1278"/>
      <c r="C87" s="1278"/>
      <c r="D87" s="1303" t="s">
        <v>594</v>
      </c>
      <c r="E87" s="1304"/>
      <c r="F87" s="1304"/>
      <c r="G87" s="1304"/>
      <c r="H87" s="1304"/>
      <c r="I87" s="1305"/>
    </row>
    <row r="88" spans="2:9" ht="24.6" customHeight="1" x14ac:dyDescent="0.25">
      <c r="B88" s="1278"/>
      <c r="C88" s="1278"/>
      <c r="D88" s="1301" t="s">
        <v>1227</v>
      </c>
      <c r="E88" s="1301"/>
      <c r="F88" s="1301"/>
      <c r="G88" s="1301"/>
      <c r="H88" s="1301"/>
      <c r="I88" s="1301"/>
    </row>
    <row r="89" spans="2:9" ht="63" customHeight="1" x14ac:dyDescent="0.25">
      <c r="B89" s="1278"/>
      <c r="C89" s="1278"/>
      <c r="D89" s="1302" t="s">
        <v>663</v>
      </c>
      <c r="E89" s="1302"/>
      <c r="F89" s="1302"/>
      <c r="G89" s="1302"/>
      <c r="H89" s="1302"/>
      <c r="I89" s="1302"/>
    </row>
    <row r="90" spans="2:9" ht="18" customHeight="1" x14ac:dyDescent="0.25">
      <c r="B90" s="1278"/>
      <c r="C90" s="1278"/>
      <c r="D90" s="1309" t="s">
        <v>1308</v>
      </c>
      <c r="E90" s="1310"/>
      <c r="F90" s="1310"/>
      <c r="G90" s="1241" t="s">
        <v>1309</v>
      </c>
      <c r="H90" s="1241"/>
      <c r="I90" s="1242"/>
    </row>
    <row r="91" spans="2:9" ht="19.899999999999999" customHeight="1" x14ac:dyDescent="0.25">
      <c r="B91" s="1278"/>
      <c r="C91" s="1278"/>
      <c r="D91" s="1306" t="s">
        <v>1197</v>
      </c>
      <c r="E91" s="1307"/>
      <c r="F91" s="1307"/>
      <c r="G91" s="1307"/>
      <c r="H91" s="1307"/>
      <c r="I91" s="1308"/>
    </row>
    <row r="92" spans="2:9" ht="19.899999999999999" customHeight="1" x14ac:dyDescent="0.25">
      <c r="B92" s="1278"/>
      <c r="C92" s="1278"/>
      <c r="D92" s="1301" t="s">
        <v>1194</v>
      </c>
      <c r="E92" s="1302"/>
      <c r="F92" s="1302"/>
      <c r="G92" s="1302"/>
      <c r="H92" s="1302"/>
      <c r="I92" s="1302"/>
    </row>
    <row r="93" spans="2:9" ht="19.899999999999999" customHeight="1" x14ac:dyDescent="0.25">
      <c r="B93" s="1278"/>
      <c r="C93" s="1278"/>
      <c r="D93" s="1301" t="s">
        <v>1195</v>
      </c>
      <c r="E93" s="1302"/>
      <c r="F93" s="1302"/>
      <c r="G93" s="1302"/>
      <c r="H93" s="1302"/>
      <c r="I93" s="1302"/>
    </row>
    <row r="94" spans="2:9" ht="34.15" customHeight="1" x14ac:dyDescent="0.25">
      <c r="B94" s="1278"/>
      <c r="C94" s="1278"/>
      <c r="D94" s="1302" t="s">
        <v>819</v>
      </c>
      <c r="E94" s="1302"/>
      <c r="F94" s="1302"/>
      <c r="G94" s="1302"/>
      <c r="H94" s="1302"/>
      <c r="I94" s="1302"/>
    </row>
    <row r="95" spans="2:9" ht="19.899999999999999" customHeight="1" x14ac:dyDescent="0.25">
      <c r="B95" s="1278"/>
      <c r="C95" s="1278"/>
      <c r="D95" s="1301" t="s">
        <v>820</v>
      </c>
      <c r="E95" s="1301"/>
      <c r="F95" s="1301"/>
      <c r="G95" s="1301"/>
      <c r="H95" s="1301"/>
      <c r="I95" s="1301"/>
    </row>
    <row r="96" spans="2:9" ht="37.15" customHeight="1" x14ac:dyDescent="0.25">
      <c r="B96" s="1278"/>
      <c r="C96" s="1278"/>
      <c r="D96" s="1301" t="s">
        <v>821</v>
      </c>
      <c r="E96" s="1301"/>
      <c r="F96" s="1301"/>
      <c r="G96" s="1301"/>
      <c r="H96" s="1301"/>
      <c r="I96" s="1301"/>
    </row>
    <row r="97" spans="2:11" ht="34.15" customHeight="1" x14ac:dyDescent="0.25">
      <c r="B97" s="1278"/>
      <c r="C97" s="1278"/>
      <c r="D97" s="1301" t="s">
        <v>822</v>
      </c>
      <c r="E97" s="1301"/>
      <c r="F97" s="1301"/>
      <c r="G97" s="1301"/>
      <c r="H97" s="1301"/>
      <c r="I97" s="1301"/>
    </row>
    <row r="98" spans="2:11" ht="35.450000000000003" customHeight="1" x14ac:dyDescent="0.25">
      <c r="B98" s="1278"/>
      <c r="C98" s="1278"/>
      <c r="D98" s="1301" t="s">
        <v>823</v>
      </c>
      <c r="E98" s="1301"/>
      <c r="F98" s="1301"/>
      <c r="G98" s="1301"/>
      <c r="H98" s="1301"/>
      <c r="I98" s="1301"/>
    </row>
    <row r="99" spans="2:11" ht="37.9" customHeight="1" x14ac:dyDescent="0.25">
      <c r="B99" s="1278"/>
      <c r="C99" s="1278"/>
      <c r="D99" s="1301" t="s">
        <v>824</v>
      </c>
      <c r="E99" s="1301"/>
      <c r="F99" s="1301"/>
      <c r="G99" s="1301"/>
      <c r="H99" s="1301"/>
      <c r="I99" s="1301"/>
    </row>
    <row r="100" spans="2:11" ht="43.15" customHeight="1" x14ac:dyDescent="0.25">
      <c r="B100" s="1278"/>
      <c r="C100" s="1278"/>
      <c r="D100" s="1301" t="s">
        <v>825</v>
      </c>
      <c r="E100" s="1301"/>
      <c r="F100" s="1301"/>
      <c r="G100" s="1301"/>
      <c r="H100" s="1301"/>
      <c r="I100" s="1301"/>
    </row>
    <row r="101" spans="2:11" ht="36.6" customHeight="1" x14ac:dyDescent="0.25">
      <c r="B101" s="1323" t="s">
        <v>587</v>
      </c>
      <c r="C101" s="1324"/>
      <c r="D101" s="1277" t="s">
        <v>664</v>
      </c>
      <c r="E101" s="1277"/>
      <c r="F101" s="1277"/>
      <c r="G101" s="1277"/>
      <c r="H101" s="1277"/>
      <c r="I101" s="1277"/>
    </row>
    <row r="102" spans="2:11" ht="33" customHeight="1" x14ac:dyDescent="0.25">
      <c r="B102" s="1325"/>
      <c r="C102" s="1326"/>
      <c r="D102" s="1277" t="s">
        <v>977</v>
      </c>
      <c r="E102" s="1277"/>
      <c r="F102" s="1277"/>
      <c r="G102" s="1277"/>
      <c r="H102" s="1277"/>
      <c r="I102" s="1277"/>
    </row>
    <row r="103" spans="2:11" ht="22.15" customHeight="1" x14ac:dyDescent="0.3">
      <c r="B103" s="1325"/>
      <c r="C103" s="1326"/>
      <c r="D103" s="1299" t="s">
        <v>1196</v>
      </c>
      <c r="E103" s="1299"/>
      <c r="F103" s="1299"/>
      <c r="G103" s="1299"/>
      <c r="H103" s="1299"/>
      <c r="I103" s="1299"/>
      <c r="K103" s="139"/>
    </row>
    <row r="104" spans="2:11" ht="19.899999999999999" customHeight="1" x14ac:dyDescent="0.3">
      <c r="B104" s="1325"/>
      <c r="C104" s="1326"/>
      <c r="D104" s="1279" t="s">
        <v>665</v>
      </c>
      <c r="E104" s="1279"/>
      <c r="F104" s="1279"/>
      <c r="G104" s="1279"/>
      <c r="H104" s="1279"/>
      <c r="I104" s="1279"/>
      <c r="K104" s="139"/>
    </row>
    <row r="105" spans="2:11" ht="21.6" customHeight="1" x14ac:dyDescent="0.25">
      <c r="B105" s="1325"/>
      <c r="C105" s="1326"/>
      <c r="D105" s="1279" t="s">
        <v>796</v>
      </c>
      <c r="E105" s="1279"/>
      <c r="F105" s="1279"/>
      <c r="G105" s="1279"/>
      <c r="H105" s="1279"/>
      <c r="I105" s="1279"/>
    </row>
    <row r="106" spans="2:11" ht="43.15" customHeight="1" x14ac:dyDescent="0.25">
      <c r="B106" s="1325"/>
      <c r="C106" s="1326"/>
      <c r="D106" s="1279" t="s">
        <v>666</v>
      </c>
      <c r="E106" s="1279"/>
      <c r="F106" s="1279"/>
      <c r="G106" s="1279"/>
      <c r="H106" s="1279"/>
      <c r="I106" s="1279"/>
    </row>
    <row r="107" spans="2:11" ht="43.15" customHeight="1" x14ac:dyDescent="0.25">
      <c r="B107" s="1325"/>
      <c r="C107" s="1326"/>
      <c r="D107" s="1279" t="s">
        <v>667</v>
      </c>
      <c r="E107" s="1279"/>
      <c r="F107" s="1279"/>
      <c r="G107" s="1279"/>
      <c r="H107" s="1279"/>
      <c r="I107" s="1279"/>
    </row>
    <row r="108" spans="2:11" ht="24.6" customHeight="1" x14ac:dyDescent="0.25">
      <c r="B108" s="1325"/>
      <c r="C108" s="1326"/>
      <c r="D108" s="1279" t="s">
        <v>826</v>
      </c>
      <c r="E108" s="1279"/>
      <c r="F108" s="1279"/>
      <c r="G108" s="1279"/>
      <c r="H108" s="1279"/>
      <c r="I108" s="1279"/>
    </row>
    <row r="109" spans="2:11" ht="19.899999999999999" customHeight="1" x14ac:dyDescent="0.25">
      <c r="B109" s="1327"/>
      <c r="C109" s="1328"/>
      <c r="D109" s="1279" t="s">
        <v>827</v>
      </c>
      <c r="E109" s="1279"/>
      <c r="F109" s="1279"/>
      <c r="G109" s="1279"/>
      <c r="H109" s="1279"/>
      <c r="I109" s="817" t="s">
        <v>829</v>
      </c>
    </row>
    <row r="110" spans="2:11" ht="19.899999999999999" customHeight="1" x14ac:dyDescent="0.25">
      <c r="B110" s="589"/>
      <c r="C110" s="589"/>
      <c r="D110" s="590"/>
      <c r="E110" s="590"/>
      <c r="F110" s="590"/>
      <c r="G110" s="590"/>
      <c r="H110" s="590"/>
      <c r="I110" s="590"/>
    </row>
    <row r="111" spans="2:11" ht="19.899999999999999" customHeight="1" x14ac:dyDescent="0.25">
      <c r="B111" s="1273" t="s">
        <v>605</v>
      </c>
      <c r="C111" s="1273"/>
      <c r="D111" s="1273"/>
      <c r="E111" s="1273"/>
      <c r="F111" s="1273"/>
      <c r="G111" s="1273"/>
      <c r="H111" s="1273"/>
      <c r="I111" s="1273"/>
    </row>
    <row r="112" spans="2:11" ht="35.450000000000003" customHeight="1" x14ac:dyDescent="0.25">
      <c r="B112" s="1323" t="s">
        <v>604</v>
      </c>
      <c r="C112" s="1324"/>
      <c r="D112" s="1279" t="s">
        <v>668</v>
      </c>
      <c r="E112" s="1279"/>
      <c r="F112" s="1279"/>
      <c r="G112" s="1279"/>
      <c r="H112" s="1279"/>
      <c r="I112" s="1279"/>
    </row>
    <row r="113" spans="2:10" ht="35.450000000000003" customHeight="1" x14ac:dyDescent="0.25">
      <c r="B113" s="1325"/>
      <c r="C113" s="1326"/>
      <c r="D113" s="1279" t="s">
        <v>1198</v>
      </c>
      <c r="E113" s="1279"/>
      <c r="F113" s="1279"/>
      <c r="G113" s="1279"/>
      <c r="H113" s="1279"/>
      <c r="I113" s="1279"/>
    </row>
    <row r="114" spans="2:10" ht="21" customHeight="1" x14ac:dyDescent="0.25">
      <c r="B114" s="1325"/>
      <c r="C114" s="1326"/>
      <c r="D114" s="1279" t="s">
        <v>1199</v>
      </c>
      <c r="E114" s="1279"/>
      <c r="F114" s="1279"/>
      <c r="G114" s="1279"/>
      <c r="H114" s="1279"/>
      <c r="I114" s="1279"/>
    </row>
    <row r="115" spans="2:10" ht="19.899999999999999" customHeight="1" x14ac:dyDescent="0.25">
      <c r="B115" s="1325"/>
      <c r="C115" s="1326"/>
      <c r="D115" s="1299" t="s">
        <v>675</v>
      </c>
      <c r="E115" s="1299"/>
      <c r="F115" s="1299"/>
      <c r="G115" s="1299"/>
      <c r="H115" s="1299"/>
      <c r="I115" s="1299"/>
    </row>
    <row r="116" spans="2:10" ht="19.899999999999999" customHeight="1" x14ac:dyDescent="0.25">
      <c r="B116" s="1325"/>
      <c r="C116" s="1326"/>
      <c r="D116" s="1279" t="s">
        <v>1200</v>
      </c>
      <c r="E116" s="1279"/>
      <c r="F116" s="1279"/>
      <c r="G116" s="1279"/>
      <c r="H116" s="1279"/>
      <c r="I116" s="1279"/>
    </row>
    <row r="117" spans="2:10" ht="19.899999999999999" customHeight="1" x14ac:dyDescent="0.25">
      <c r="B117" s="1325"/>
      <c r="C117" s="1326"/>
      <c r="D117" s="1279" t="s">
        <v>1201</v>
      </c>
      <c r="E117" s="1279"/>
      <c r="F117" s="1279"/>
      <c r="G117" s="1279"/>
      <c r="H117" s="1279"/>
      <c r="I117" s="1279"/>
    </row>
    <row r="118" spans="2:10" ht="19.899999999999999" customHeight="1" x14ac:dyDescent="0.25">
      <c r="B118" s="1325"/>
      <c r="C118" s="1326"/>
      <c r="D118" s="1279" t="s">
        <v>1202</v>
      </c>
      <c r="E118" s="1279"/>
      <c r="F118" s="1279"/>
      <c r="G118" s="1279"/>
      <c r="H118" s="1279"/>
      <c r="I118" s="1279"/>
    </row>
    <row r="119" spans="2:10" ht="19.899999999999999" customHeight="1" x14ac:dyDescent="0.25">
      <c r="B119" s="1325"/>
      <c r="C119" s="1326"/>
      <c r="D119" s="1299" t="s">
        <v>674</v>
      </c>
      <c r="E119" s="1299"/>
      <c r="F119" s="1299"/>
      <c r="G119" s="1299"/>
      <c r="H119" s="1299"/>
      <c r="I119" s="1299"/>
    </row>
    <row r="120" spans="2:10" ht="19.899999999999999" customHeight="1" x14ac:dyDescent="0.25">
      <c r="B120" s="1325"/>
      <c r="C120" s="1326"/>
      <c r="D120" s="1279" t="s">
        <v>1203</v>
      </c>
      <c r="E120" s="1279"/>
      <c r="F120" s="1279"/>
      <c r="G120" s="1279"/>
      <c r="H120" s="1279"/>
      <c r="I120" s="1279"/>
    </row>
    <row r="121" spans="2:10" ht="19.899999999999999" customHeight="1" x14ac:dyDescent="0.25">
      <c r="B121" s="1325"/>
      <c r="C121" s="1326"/>
      <c r="D121" s="1279" t="s">
        <v>1204</v>
      </c>
      <c r="E121" s="1279"/>
      <c r="F121" s="1279"/>
      <c r="G121" s="1279"/>
      <c r="H121" s="1279"/>
      <c r="I121" s="1279"/>
    </row>
    <row r="122" spans="2:10" ht="19.899999999999999" customHeight="1" x14ac:dyDescent="0.25">
      <c r="B122" s="1325"/>
      <c r="C122" s="1326"/>
      <c r="D122" s="1279" t="s">
        <v>1205</v>
      </c>
      <c r="E122" s="1279"/>
      <c r="F122" s="1279"/>
      <c r="G122" s="1279"/>
      <c r="H122" s="1279"/>
      <c r="I122" s="1279"/>
    </row>
    <row r="123" spans="2:10" ht="40.15" customHeight="1" x14ac:dyDescent="0.25">
      <c r="B123" s="1325"/>
      <c r="C123" s="1326"/>
      <c r="D123" s="1279" t="s">
        <v>1226</v>
      </c>
      <c r="E123" s="1279"/>
      <c r="F123" s="1279"/>
      <c r="G123" s="1279"/>
      <c r="H123" s="1279"/>
      <c r="I123" s="1279"/>
      <c r="J123" s="3"/>
    </row>
    <row r="124" spans="2:10" ht="45.6" customHeight="1" x14ac:dyDescent="0.25">
      <c r="B124" s="1327"/>
      <c r="C124" s="1328"/>
      <c r="D124" s="1279" t="s">
        <v>1206</v>
      </c>
      <c r="E124" s="1279"/>
      <c r="F124" s="1279"/>
      <c r="G124" s="1279"/>
      <c r="H124" s="1279"/>
      <c r="I124" s="1279"/>
    </row>
    <row r="125" spans="2:10" ht="15.75" x14ac:dyDescent="0.25">
      <c r="B125" s="560"/>
      <c r="C125" s="560"/>
      <c r="D125" s="553"/>
      <c r="E125" s="553"/>
      <c r="F125" s="553"/>
      <c r="G125" s="553"/>
      <c r="H125" s="553"/>
      <c r="I125" s="553"/>
    </row>
    <row r="126" spans="2:10" ht="18" customHeight="1" x14ac:dyDescent="0.25">
      <c r="B126" s="1288" t="s">
        <v>1207</v>
      </c>
      <c r="C126" s="1288"/>
      <c r="D126" s="1288"/>
      <c r="E126" s="1288"/>
      <c r="F126" s="1288"/>
      <c r="G126" s="1288"/>
      <c r="H126" s="1288"/>
      <c r="I126" s="1288"/>
    </row>
    <row r="127" spans="2:10" x14ac:dyDescent="0.25">
      <c r="B127" s="1288"/>
      <c r="C127" s="1288"/>
      <c r="D127" s="1288"/>
      <c r="E127" s="1288"/>
      <c r="F127" s="1288"/>
      <c r="G127" s="1288"/>
      <c r="H127" s="1288"/>
      <c r="I127" s="1288"/>
    </row>
    <row r="128" spans="2:10" ht="18.75" x14ac:dyDescent="0.3">
      <c r="B128" s="26"/>
      <c r="C128" s="26"/>
      <c r="D128" s="26"/>
      <c r="E128" s="26"/>
      <c r="F128" s="26"/>
      <c r="G128" s="26"/>
      <c r="H128" s="26"/>
      <c r="I128" s="26"/>
    </row>
    <row r="129" spans="2:9" ht="18.75" x14ac:dyDescent="0.25">
      <c r="B129" s="1273" t="s">
        <v>1208</v>
      </c>
      <c r="C129" s="1273"/>
      <c r="D129" s="1273"/>
      <c r="E129" s="1273"/>
      <c r="F129" s="1273"/>
      <c r="G129" s="1273"/>
      <c r="H129" s="1273"/>
      <c r="I129" s="1273"/>
    </row>
    <row r="130" spans="2:9" ht="27.6" customHeight="1" x14ac:dyDescent="0.25">
      <c r="B130" s="1314" t="s">
        <v>1220</v>
      </c>
      <c r="C130" s="1315"/>
      <c r="D130" s="1315"/>
      <c r="E130" s="1315"/>
      <c r="F130" s="1315"/>
      <c r="G130" s="1315"/>
      <c r="H130" s="1315"/>
      <c r="I130" s="1316"/>
    </row>
    <row r="131" spans="2:9" ht="15.75" x14ac:dyDescent="0.25">
      <c r="B131" s="1311"/>
      <c r="C131" s="1311"/>
      <c r="D131" s="1312"/>
      <c r="E131" s="1312"/>
      <c r="F131" s="1312"/>
      <c r="G131" s="1312"/>
      <c r="H131" s="1312"/>
      <c r="I131" s="1312"/>
    </row>
    <row r="132" spans="2:9" ht="15.75" x14ac:dyDescent="0.25">
      <c r="B132" s="1311"/>
      <c r="C132" s="1311"/>
      <c r="D132" s="1313"/>
      <c r="E132" s="1313"/>
      <c r="F132" s="1313"/>
      <c r="G132" s="1313"/>
      <c r="H132" s="1313"/>
      <c r="I132" s="1313"/>
    </row>
    <row r="133" spans="2:9" ht="15.75" x14ac:dyDescent="0.25">
      <c r="B133" s="1311"/>
      <c r="C133" s="1311"/>
      <c r="D133" s="1313"/>
      <c r="E133" s="1313"/>
      <c r="F133" s="1313"/>
      <c r="G133" s="1313"/>
      <c r="H133" s="1313"/>
      <c r="I133" s="1313"/>
    </row>
    <row r="134" spans="2:9" ht="15.75" x14ac:dyDescent="0.25">
      <c r="B134" s="1089"/>
      <c r="C134" s="1089"/>
      <c r="D134" s="1319"/>
      <c r="E134" s="1318"/>
      <c r="F134" s="1318"/>
      <c r="G134" s="1090"/>
      <c r="H134" s="1090"/>
      <c r="I134" s="1090"/>
    </row>
    <row r="135" spans="2:9" ht="15.75" x14ac:dyDescent="0.25">
      <c r="B135" s="1089"/>
      <c r="C135" s="1089"/>
      <c r="D135" s="1318"/>
      <c r="E135" s="1318"/>
      <c r="F135" s="1318"/>
      <c r="G135" s="1318"/>
      <c r="H135" s="1318"/>
      <c r="I135" s="1318"/>
    </row>
    <row r="136" spans="2:9" ht="15.75" x14ac:dyDescent="0.25">
      <c r="B136" s="1089"/>
      <c r="C136" s="1089"/>
      <c r="D136" s="1317"/>
      <c r="E136" s="1317"/>
      <c r="F136" s="1317"/>
      <c r="G136" s="1317"/>
      <c r="H136" s="1317"/>
      <c r="I136" s="1317"/>
    </row>
    <row r="137" spans="2:9" ht="15.75" x14ac:dyDescent="0.25">
      <c r="B137" s="1089"/>
      <c r="C137" s="1089"/>
      <c r="D137" s="1317"/>
      <c r="E137" s="1317"/>
      <c r="F137" s="1317"/>
      <c r="G137" s="1317"/>
      <c r="H137" s="1317"/>
      <c r="I137" s="1317"/>
    </row>
    <row r="138" spans="2:9" ht="15.75" x14ac:dyDescent="0.25">
      <c r="B138" s="1089"/>
      <c r="C138" s="1089"/>
      <c r="D138" s="1317"/>
      <c r="E138" s="1317"/>
      <c r="F138" s="1317"/>
      <c r="G138" s="1317"/>
      <c r="H138" s="1317"/>
      <c r="I138" s="1317"/>
    </row>
    <row r="139" spans="2:9" ht="15.75" x14ac:dyDescent="0.25">
      <c r="B139" s="1089"/>
      <c r="C139" s="1089"/>
      <c r="D139" s="1317"/>
      <c r="E139" s="1317"/>
      <c r="F139" s="1317"/>
      <c r="G139" s="1317"/>
      <c r="H139" s="1317"/>
      <c r="I139" s="1317"/>
    </row>
    <row r="140" spans="2:9" ht="15.75" x14ac:dyDescent="0.25">
      <c r="B140" s="1089"/>
      <c r="C140" s="1089"/>
      <c r="D140" s="1318"/>
      <c r="E140" s="1318"/>
      <c r="F140" s="1318"/>
      <c r="G140" s="1318"/>
      <c r="H140" s="1318"/>
      <c r="I140" s="1318"/>
    </row>
    <row r="141" spans="2:9" ht="15.75" x14ac:dyDescent="0.25">
      <c r="B141" s="1089"/>
      <c r="C141" s="1089"/>
      <c r="D141" s="1318"/>
      <c r="E141" s="1318"/>
      <c r="F141" s="1318"/>
      <c r="G141" s="1318"/>
      <c r="H141" s="1318"/>
      <c r="I141" s="1318"/>
    </row>
    <row r="142" spans="2:9" ht="15.75" x14ac:dyDescent="0.25">
      <c r="B142" s="1089"/>
      <c r="C142" s="1089"/>
      <c r="D142" s="1318"/>
      <c r="E142" s="1318"/>
      <c r="F142" s="1318"/>
      <c r="G142" s="1318"/>
      <c r="H142" s="1318"/>
      <c r="I142" s="1318"/>
    </row>
    <row r="143" spans="2:9" ht="15.75" x14ac:dyDescent="0.25">
      <c r="B143" s="1089"/>
      <c r="C143" s="1089"/>
      <c r="D143" s="1318"/>
      <c r="E143" s="1318"/>
      <c r="F143" s="1318"/>
      <c r="G143" s="1318"/>
      <c r="H143" s="1318"/>
      <c r="I143" s="1318"/>
    </row>
    <row r="144" spans="2:9" ht="15.75" x14ac:dyDescent="0.25">
      <c r="B144" s="1089"/>
      <c r="C144" s="1089"/>
      <c r="D144" s="1318"/>
      <c r="E144" s="1318"/>
      <c r="F144" s="1318"/>
      <c r="G144" s="1318"/>
      <c r="H144" s="1318"/>
      <c r="I144" s="1318"/>
    </row>
    <row r="145" spans="2:9" ht="15.75" x14ac:dyDescent="0.25">
      <c r="B145" s="1089"/>
      <c r="C145" s="1089"/>
      <c r="D145" s="1318"/>
      <c r="E145" s="1318"/>
      <c r="F145" s="1318"/>
      <c r="G145" s="1318"/>
      <c r="H145" s="1318"/>
      <c r="I145" s="1318"/>
    </row>
    <row r="146" spans="2:9" ht="15.75" x14ac:dyDescent="0.25">
      <c r="B146" s="1287"/>
      <c r="C146" s="1287"/>
      <c r="D146" s="1312"/>
      <c r="E146" s="1312"/>
      <c r="F146" s="1312"/>
      <c r="G146" s="1312"/>
      <c r="H146" s="1312"/>
      <c r="I146" s="1312"/>
    </row>
    <row r="147" spans="2:9" ht="15.75" x14ac:dyDescent="0.25">
      <c r="B147" s="1287"/>
      <c r="C147" s="1287"/>
      <c r="D147" s="1312"/>
      <c r="E147" s="1312"/>
      <c r="F147" s="1312"/>
      <c r="G147" s="1312"/>
      <c r="H147" s="1312"/>
      <c r="I147" s="1312"/>
    </row>
    <row r="148" spans="2:9" ht="15.75" x14ac:dyDescent="0.25">
      <c r="B148" s="1287"/>
      <c r="C148" s="1287"/>
      <c r="D148" s="1322"/>
      <c r="E148" s="1322"/>
      <c r="F148" s="1322"/>
      <c r="G148" s="1322"/>
      <c r="H148" s="1322"/>
      <c r="I148" s="1322"/>
    </row>
    <row r="149" spans="2:9" ht="15.75" x14ac:dyDescent="0.25">
      <c r="B149" s="1287"/>
      <c r="C149" s="1287"/>
      <c r="D149" s="1289"/>
      <c r="E149" s="1289"/>
      <c r="F149" s="1289"/>
      <c r="G149" s="1289"/>
      <c r="H149" s="1289"/>
      <c r="I149" s="1289"/>
    </row>
    <row r="150" spans="2:9" ht="15.75" x14ac:dyDescent="0.25">
      <c r="B150" s="1287"/>
      <c r="C150" s="1287"/>
      <c r="D150" s="1289"/>
      <c r="E150" s="1289"/>
      <c r="F150" s="1289"/>
      <c r="G150" s="1289"/>
      <c r="H150" s="1289"/>
      <c r="I150" s="1289"/>
    </row>
    <row r="151" spans="2:9" ht="15.75" x14ac:dyDescent="0.25">
      <c r="B151" s="1287"/>
      <c r="C151" s="1287"/>
      <c r="D151" s="1289"/>
      <c r="E151" s="1289"/>
      <c r="F151" s="1289"/>
      <c r="G151" s="1289"/>
      <c r="H151" s="1289"/>
      <c r="I151" s="1289"/>
    </row>
    <row r="152" spans="2:9" ht="15.75" x14ac:dyDescent="0.25">
      <c r="B152" s="1287"/>
      <c r="C152" s="1287"/>
      <c r="D152" s="1289"/>
      <c r="E152" s="1289"/>
      <c r="F152" s="1289"/>
      <c r="G152" s="1289"/>
      <c r="H152" s="1289"/>
      <c r="I152" s="1289"/>
    </row>
    <row r="154" spans="2:9" ht="15.75" x14ac:dyDescent="0.25">
      <c r="B154" s="1320"/>
      <c r="C154" s="1320"/>
      <c r="D154" s="1320"/>
      <c r="E154" s="1320"/>
      <c r="F154" s="1320"/>
      <c r="G154" s="1320"/>
      <c r="H154" s="1320"/>
      <c r="I154" s="1320"/>
    </row>
    <row r="155" spans="2:9" ht="42" customHeight="1" x14ac:dyDescent="0.25">
      <c r="B155" s="1311"/>
      <c r="C155" s="1311"/>
      <c r="D155" s="1289"/>
      <c r="E155" s="1289"/>
      <c r="F155" s="1289"/>
      <c r="G155" s="1289"/>
      <c r="H155" s="1289"/>
      <c r="I155" s="1289"/>
    </row>
    <row r="156" spans="2:9" ht="43.9" customHeight="1" x14ac:dyDescent="0.25">
      <c r="B156" s="1311"/>
      <c r="C156" s="1311"/>
      <c r="D156" s="1312"/>
      <c r="E156" s="1312"/>
      <c r="F156" s="1312"/>
      <c r="G156" s="1312"/>
      <c r="H156" s="1312"/>
      <c r="I156" s="1312"/>
    </row>
    <row r="157" spans="2:9" ht="53.45" customHeight="1" x14ac:dyDescent="0.25">
      <c r="B157" s="1311"/>
      <c r="C157" s="1311"/>
      <c r="D157" s="1321"/>
      <c r="E157" s="1321"/>
      <c r="F157" s="1321"/>
      <c r="G157" s="1321"/>
      <c r="H157" s="1321"/>
      <c r="I157" s="1321"/>
    </row>
    <row r="158" spans="2:9" ht="15.75" x14ac:dyDescent="0.25">
      <c r="B158" s="560"/>
      <c r="C158" s="560"/>
      <c r="D158" s="1313"/>
      <c r="E158" s="1313"/>
      <c r="F158" s="1313"/>
      <c r="G158" s="1313"/>
      <c r="H158" s="1313"/>
      <c r="I158" s="1313"/>
    </row>
    <row r="159" spans="2:9" ht="15.75" x14ac:dyDescent="0.25">
      <c r="B159" s="1089"/>
      <c r="C159" s="1089"/>
      <c r="D159" s="1319"/>
      <c r="E159" s="1318"/>
      <c r="F159" s="1318"/>
      <c r="G159" s="1090"/>
      <c r="H159" s="1090"/>
      <c r="I159" s="1090"/>
    </row>
    <row r="160" spans="2:9" ht="15.75" x14ac:dyDescent="0.25">
      <c r="B160" s="1089"/>
      <c r="C160" s="1089"/>
      <c r="D160" s="1318"/>
      <c r="E160" s="1318"/>
      <c r="F160" s="1318"/>
      <c r="G160" s="1318"/>
      <c r="H160" s="1318"/>
      <c r="I160" s="1318"/>
    </row>
    <row r="161" spans="2:9" ht="15.75" x14ac:dyDescent="0.25">
      <c r="B161" s="1089"/>
      <c r="C161" s="1089"/>
      <c r="D161" s="1317"/>
      <c r="E161" s="1317"/>
      <c r="F161" s="1317"/>
      <c r="G161" s="1317"/>
      <c r="H161" s="1317"/>
      <c r="I161" s="1317"/>
    </row>
    <row r="162" spans="2:9" ht="15.75" x14ac:dyDescent="0.25">
      <c r="B162" s="1089"/>
      <c r="C162" s="1089"/>
      <c r="D162" s="1317"/>
      <c r="E162" s="1317"/>
      <c r="F162" s="1317"/>
      <c r="G162" s="1317"/>
      <c r="H162" s="1317"/>
      <c r="I162" s="1317"/>
    </row>
    <row r="163" spans="2:9" ht="15.75" x14ac:dyDescent="0.25">
      <c r="B163" s="1089"/>
      <c r="C163" s="1089"/>
      <c r="D163" s="1317"/>
      <c r="E163" s="1317"/>
      <c r="F163" s="1317"/>
      <c r="G163" s="1317"/>
      <c r="H163" s="1317"/>
      <c r="I163" s="1317"/>
    </row>
    <row r="164" spans="2:9" ht="15.75" x14ac:dyDescent="0.25">
      <c r="B164" s="1089"/>
      <c r="C164" s="1089"/>
      <c r="D164" s="1317"/>
      <c r="E164" s="1317"/>
      <c r="F164" s="1317"/>
      <c r="G164" s="1317"/>
      <c r="H164" s="1317"/>
      <c r="I164" s="1317"/>
    </row>
    <row r="165" spans="2:9" ht="15.75" x14ac:dyDescent="0.25">
      <c r="B165" s="1089"/>
      <c r="C165" s="1089"/>
      <c r="D165" s="1318"/>
      <c r="E165" s="1318"/>
      <c r="F165" s="1318"/>
      <c r="G165" s="1318"/>
      <c r="H165" s="1318"/>
      <c r="I165" s="1318"/>
    </row>
    <row r="166" spans="2:9" ht="15.75" x14ac:dyDescent="0.25">
      <c r="B166" s="1089"/>
      <c r="C166" s="1089"/>
      <c r="D166" s="1318"/>
      <c r="E166" s="1318"/>
      <c r="F166" s="1318"/>
      <c r="G166" s="1318"/>
      <c r="H166" s="1318"/>
      <c r="I166" s="1318"/>
    </row>
    <row r="167" spans="2:9" ht="15.75" x14ac:dyDescent="0.25">
      <c r="B167" s="1089"/>
      <c r="C167" s="1089"/>
      <c r="D167" s="1318"/>
      <c r="E167" s="1318"/>
      <c r="F167" s="1318"/>
      <c r="G167" s="1318"/>
      <c r="H167" s="1318"/>
      <c r="I167" s="1318"/>
    </row>
    <row r="168" spans="2:9" ht="15.75" x14ac:dyDescent="0.25">
      <c r="B168" s="1089"/>
      <c r="C168" s="1089"/>
      <c r="D168" s="1318"/>
      <c r="E168" s="1318"/>
      <c r="F168" s="1318"/>
      <c r="G168" s="1318"/>
      <c r="H168" s="1318"/>
      <c r="I168" s="1318"/>
    </row>
    <row r="169" spans="2:9" ht="15.75" x14ac:dyDescent="0.25">
      <c r="B169" s="1089"/>
      <c r="C169" s="1089"/>
      <c r="D169" s="1318"/>
      <c r="E169" s="1318"/>
      <c r="F169" s="1318"/>
      <c r="G169" s="1318"/>
      <c r="H169" s="1318"/>
      <c r="I169" s="1318"/>
    </row>
    <row r="170" spans="2:9" ht="15.75" x14ac:dyDescent="0.25">
      <c r="B170" s="1089"/>
      <c r="C170" s="1089"/>
      <c r="D170" s="1318"/>
      <c r="E170" s="1318"/>
      <c r="F170" s="1318"/>
      <c r="G170" s="1318"/>
      <c r="H170" s="1318"/>
      <c r="I170" s="1318"/>
    </row>
    <row r="171" spans="2:9" ht="15.75" x14ac:dyDescent="0.25">
      <c r="B171" s="1287"/>
      <c r="C171" s="1287"/>
      <c r="D171" s="1312"/>
      <c r="E171" s="1312"/>
      <c r="F171" s="1312"/>
      <c r="G171" s="1312"/>
      <c r="H171" s="1312"/>
      <c r="I171" s="1312"/>
    </row>
    <row r="172" spans="2:9" ht="15.75" x14ac:dyDescent="0.25">
      <c r="B172" s="1287"/>
      <c r="C172" s="1287"/>
      <c r="D172" s="1312"/>
      <c r="E172" s="1312"/>
      <c r="F172" s="1312"/>
      <c r="G172" s="1312"/>
      <c r="H172" s="1312"/>
      <c r="I172" s="1312"/>
    </row>
    <row r="173" spans="2:9" ht="15.75" x14ac:dyDescent="0.25">
      <c r="B173" s="1287"/>
      <c r="C173" s="1287"/>
      <c r="D173" s="1322"/>
      <c r="E173" s="1322"/>
      <c r="F173" s="1322"/>
      <c r="G173" s="1322"/>
      <c r="H173" s="1322"/>
      <c r="I173" s="1322"/>
    </row>
    <row r="174" spans="2:9" ht="15.75" x14ac:dyDescent="0.25">
      <c r="B174" s="1287"/>
      <c r="C174" s="1287"/>
      <c r="D174" s="1289"/>
      <c r="E174" s="1289"/>
      <c r="F174" s="1289"/>
      <c r="G174" s="1289"/>
      <c r="H174" s="1289"/>
      <c r="I174" s="1289"/>
    </row>
    <row r="175" spans="2:9" ht="15.75" x14ac:dyDescent="0.25">
      <c r="B175" s="1287"/>
      <c r="C175" s="1287"/>
      <c r="D175" s="1289"/>
      <c r="E175" s="1289"/>
      <c r="F175" s="1289"/>
      <c r="G175" s="1289"/>
      <c r="H175" s="1289"/>
      <c r="I175" s="1289"/>
    </row>
    <row r="176" spans="2:9" ht="15.75" x14ac:dyDescent="0.25">
      <c r="B176" s="1287"/>
      <c r="C176" s="1287"/>
      <c r="D176" s="1289"/>
      <c r="E176" s="1289"/>
      <c r="F176" s="1289"/>
      <c r="G176" s="1289"/>
      <c r="H176" s="1289"/>
      <c r="I176" s="1289"/>
    </row>
    <row r="177" spans="2:9" ht="15.75" x14ac:dyDescent="0.25">
      <c r="B177" s="1287"/>
      <c r="C177" s="1287"/>
      <c r="D177" s="1289"/>
      <c r="E177" s="1289"/>
      <c r="F177" s="1289"/>
      <c r="G177" s="1289"/>
      <c r="H177" s="1289"/>
      <c r="I177" s="1289"/>
    </row>
    <row r="179" spans="2:9" ht="15.75" x14ac:dyDescent="0.25">
      <c r="B179" s="1320"/>
      <c r="C179" s="1320"/>
      <c r="D179" s="1320"/>
      <c r="E179" s="1320"/>
      <c r="F179" s="1320"/>
      <c r="G179" s="1320"/>
      <c r="H179" s="1320"/>
      <c r="I179" s="1320"/>
    </row>
    <row r="180" spans="2:9" ht="15.75" x14ac:dyDescent="0.25">
      <c r="B180" s="1311"/>
      <c r="C180" s="1311"/>
      <c r="D180" s="1312"/>
      <c r="E180" s="1312"/>
      <c r="F180" s="1312"/>
      <c r="G180" s="1312"/>
      <c r="H180" s="1312"/>
      <c r="I180" s="1312"/>
    </row>
    <row r="181" spans="2:9" ht="15.75" x14ac:dyDescent="0.25">
      <c r="B181" s="1311"/>
      <c r="C181" s="1311"/>
      <c r="D181" s="1312"/>
      <c r="E181" s="1312"/>
      <c r="F181" s="1312"/>
      <c r="G181" s="1312"/>
      <c r="H181" s="1312"/>
      <c r="I181" s="1312"/>
    </row>
    <row r="182" spans="2:9" ht="15.75" x14ac:dyDescent="0.25">
      <c r="B182" s="1311"/>
      <c r="C182" s="1311"/>
      <c r="D182" s="1313"/>
      <c r="E182" s="1313"/>
      <c r="F182" s="1313"/>
      <c r="G182" s="1313"/>
      <c r="H182" s="1313"/>
      <c r="I182" s="1313"/>
    </row>
    <row r="183" spans="2:9" ht="15.75" x14ac:dyDescent="0.25">
      <c r="B183" s="1311"/>
      <c r="C183" s="1311"/>
      <c r="D183" s="1313"/>
      <c r="E183" s="1313"/>
      <c r="F183" s="1313"/>
      <c r="G183" s="1313"/>
      <c r="H183" s="1313"/>
      <c r="I183" s="1313"/>
    </row>
    <row r="184" spans="2:9" ht="15.75" x14ac:dyDescent="0.25">
      <c r="B184" s="1089"/>
      <c r="C184" s="1089"/>
      <c r="D184" s="1319"/>
      <c r="E184" s="1318"/>
      <c r="F184" s="1318"/>
      <c r="G184" s="1090"/>
      <c r="H184" s="1090"/>
      <c r="I184" s="1090"/>
    </row>
    <row r="185" spans="2:9" ht="15.75" x14ac:dyDescent="0.25">
      <c r="B185" s="1089"/>
      <c r="C185" s="1089"/>
      <c r="D185" s="1318"/>
      <c r="E185" s="1318"/>
      <c r="F185" s="1318"/>
      <c r="G185" s="1318"/>
      <c r="H185" s="1318"/>
      <c r="I185" s="1318"/>
    </row>
    <row r="186" spans="2:9" ht="15.75" x14ac:dyDescent="0.25">
      <c r="B186" s="1089"/>
      <c r="C186" s="1089"/>
      <c r="D186" s="1317"/>
      <c r="E186" s="1317"/>
      <c r="F186" s="1317"/>
      <c r="G186" s="1317"/>
      <c r="H186" s="1317"/>
      <c r="I186" s="1317"/>
    </row>
    <row r="187" spans="2:9" ht="15.75" x14ac:dyDescent="0.25">
      <c r="B187" s="1089"/>
      <c r="C187" s="1089"/>
      <c r="D187" s="1317"/>
      <c r="E187" s="1317"/>
      <c r="F187" s="1317"/>
      <c r="G187" s="1317"/>
      <c r="H187" s="1317"/>
      <c r="I187" s="1317"/>
    </row>
    <row r="188" spans="2:9" ht="15.75" x14ac:dyDescent="0.25">
      <c r="B188" s="1089"/>
      <c r="C188" s="1089"/>
      <c r="D188" s="1317"/>
      <c r="E188" s="1317"/>
      <c r="F188" s="1317"/>
      <c r="G188" s="1317"/>
      <c r="H188" s="1317"/>
      <c r="I188" s="1317"/>
    </row>
    <row r="189" spans="2:9" ht="15.75" x14ac:dyDescent="0.25">
      <c r="B189" s="1089"/>
      <c r="C189" s="1089"/>
      <c r="D189" s="1317"/>
      <c r="E189" s="1317"/>
      <c r="F189" s="1317"/>
      <c r="G189" s="1317"/>
      <c r="H189" s="1317"/>
      <c r="I189" s="1317"/>
    </row>
    <row r="190" spans="2:9" ht="15.75" x14ac:dyDescent="0.25">
      <c r="B190" s="1089"/>
      <c r="C190" s="1089"/>
      <c r="D190" s="1318"/>
      <c r="E190" s="1318"/>
      <c r="F190" s="1318"/>
      <c r="G190" s="1318"/>
      <c r="H190" s="1318"/>
      <c r="I190" s="1318"/>
    </row>
    <row r="191" spans="2:9" ht="15.75" x14ac:dyDescent="0.25">
      <c r="B191" s="1089"/>
      <c r="C191" s="1089"/>
      <c r="D191" s="1318"/>
      <c r="E191" s="1318"/>
      <c r="F191" s="1318"/>
      <c r="G191" s="1318"/>
      <c r="H191" s="1318"/>
      <c r="I191" s="1318"/>
    </row>
    <row r="192" spans="2:9" ht="15.75" x14ac:dyDescent="0.25">
      <c r="B192" s="1089"/>
      <c r="C192" s="1089"/>
      <c r="D192" s="1318"/>
      <c r="E192" s="1318"/>
      <c r="F192" s="1318"/>
      <c r="G192" s="1318"/>
      <c r="H192" s="1318"/>
      <c r="I192" s="1318"/>
    </row>
    <row r="193" spans="2:9" ht="15.75" x14ac:dyDescent="0.25">
      <c r="B193" s="1089"/>
      <c r="C193" s="1089"/>
      <c r="D193" s="1318"/>
      <c r="E193" s="1318"/>
      <c r="F193" s="1318"/>
      <c r="G193" s="1318"/>
      <c r="H193" s="1318"/>
      <c r="I193" s="1318"/>
    </row>
    <row r="194" spans="2:9" ht="15.75" x14ac:dyDescent="0.25">
      <c r="B194" s="1089"/>
      <c r="C194" s="1089"/>
      <c r="D194" s="1318"/>
      <c r="E194" s="1318"/>
      <c r="F194" s="1318"/>
      <c r="G194" s="1318"/>
      <c r="H194" s="1318"/>
      <c r="I194" s="1318"/>
    </row>
    <row r="195" spans="2:9" ht="15.75" x14ac:dyDescent="0.25">
      <c r="B195" s="1089"/>
      <c r="C195" s="1089"/>
      <c r="D195" s="1318"/>
      <c r="E195" s="1318"/>
      <c r="F195" s="1318"/>
      <c r="G195" s="1318"/>
      <c r="H195" s="1318"/>
      <c r="I195" s="1318"/>
    </row>
    <row r="196" spans="2:9" ht="15.75" x14ac:dyDescent="0.25">
      <c r="B196" s="1287"/>
      <c r="C196" s="1287"/>
      <c r="D196" s="1312"/>
      <c r="E196" s="1312"/>
      <c r="F196" s="1312"/>
      <c r="G196" s="1312"/>
      <c r="H196" s="1312"/>
      <c r="I196" s="1312"/>
    </row>
    <row r="197" spans="2:9" ht="15.75" x14ac:dyDescent="0.25">
      <c r="B197" s="1287"/>
      <c r="C197" s="1287"/>
      <c r="D197" s="1312"/>
      <c r="E197" s="1312"/>
      <c r="F197" s="1312"/>
      <c r="G197" s="1312"/>
      <c r="H197" s="1312"/>
      <c r="I197" s="1312"/>
    </row>
    <row r="198" spans="2:9" ht="15.75" x14ac:dyDescent="0.25">
      <c r="B198" s="1287"/>
      <c r="C198" s="1287"/>
      <c r="D198" s="1322"/>
      <c r="E198" s="1322"/>
      <c r="F198" s="1322"/>
      <c r="G198" s="1322"/>
      <c r="H198" s="1322"/>
      <c r="I198" s="1322"/>
    </row>
    <row r="199" spans="2:9" ht="15.75" x14ac:dyDescent="0.25">
      <c r="B199" s="1287"/>
      <c r="C199" s="1287"/>
      <c r="D199" s="1289"/>
      <c r="E199" s="1289"/>
      <c r="F199" s="1289"/>
      <c r="G199" s="1289"/>
      <c r="H199" s="1289"/>
      <c r="I199" s="1289"/>
    </row>
    <row r="200" spans="2:9" ht="15.75" x14ac:dyDescent="0.25">
      <c r="B200" s="1287"/>
      <c r="C200" s="1287"/>
      <c r="D200" s="1289"/>
      <c r="E200" s="1289"/>
      <c r="F200" s="1289"/>
      <c r="G200" s="1289"/>
      <c r="H200" s="1289"/>
      <c r="I200" s="1289"/>
    </row>
    <row r="201" spans="2:9" ht="15.75" x14ac:dyDescent="0.25">
      <c r="B201" s="1287"/>
      <c r="C201" s="1287"/>
      <c r="D201" s="1289"/>
      <c r="E201" s="1289"/>
      <c r="F201" s="1289"/>
      <c r="G201" s="1289"/>
      <c r="H201" s="1289"/>
      <c r="I201" s="1289"/>
    </row>
    <row r="202" spans="2:9" ht="15.75" x14ac:dyDescent="0.25">
      <c r="B202" s="1287"/>
      <c r="C202" s="1287"/>
      <c r="D202" s="1289"/>
      <c r="E202" s="1289"/>
      <c r="F202" s="1289"/>
      <c r="G202" s="1289"/>
      <c r="H202" s="1289"/>
      <c r="I202" s="1289"/>
    </row>
    <row r="204" spans="2:9" ht="15.75" x14ac:dyDescent="0.25">
      <c r="B204" s="1320"/>
      <c r="C204" s="1320"/>
      <c r="D204" s="1320"/>
      <c r="E204" s="1320"/>
      <c r="F204" s="1320"/>
      <c r="G204" s="1320"/>
      <c r="H204" s="1320"/>
      <c r="I204" s="1320"/>
    </row>
    <row r="205" spans="2:9" ht="15.75" x14ac:dyDescent="0.25">
      <c r="B205" s="1311"/>
      <c r="C205" s="1311"/>
      <c r="D205" s="1312"/>
      <c r="E205" s="1312"/>
      <c r="F205" s="1312"/>
      <c r="G205" s="1312"/>
      <c r="H205" s="1312"/>
      <c r="I205" s="1312"/>
    </row>
    <row r="206" spans="2:9" ht="15.75" x14ac:dyDescent="0.25">
      <c r="B206" s="1311"/>
      <c r="C206" s="1311"/>
      <c r="D206" s="1312"/>
      <c r="E206" s="1312"/>
      <c r="F206" s="1312"/>
      <c r="G206" s="1312"/>
      <c r="H206" s="1312"/>
      <c r="I206" s="1312"/>
    </row>
    <row r="207" spans="2:9" ht="15.75" x14ac:dyDescent="0.25">
      <c r="B207" s="1311"/>
      <c r="C207" s="1311"/>
      <c r="D207" s="1313"/>
      <c r="E207" s="1313"/>
      <c r="F207" s="1313"/>
      <c r="G207" s="1313"/>
      <c r="H207" s="1313"/>
      <c r="I207" s="1313"/>
    </row>
    <row r="208" spans="2:9" ht="15.75" x14ac:dyDescent="0.25">
      <c r="B208" s="1311"/>
      <c r="C208" s="1311"/>
      <c r="D208" s="1313"/>
      <c r="E208" s="1313"/>
      <c r="F208" s="1313"/>
      <c r="G208" s="1313"/>
      <c r="H208" s="1313"/>
      <c r="I208" s="1313"/>
    </row>
    <row r="209" spans="2:9" ht="15.75" x14ac:dyDescent="0.25">
      <c r="B209" s="1089"/>
      <c r="C209" s="1089"/>
      <c r="D209" s="1319"/>
      <c r="E209" s="1318"/>
      <c r="F209" s="1318"/>
      <c r="G209" s="1090"/>
      <c r="H209" s="1090"/>
      <c r="I209" s="1090"/>
    </row>
    <row r="210" spans="2:9" ht="15.75" x14ac:dyDescent="0.25">
      <c r="B210" s="1089"/>
      <c r="C210" s="1089"/>
      <c r="D210" s="1318"/>
      <c r="E210" s="1318"/>
      <c r="F210" s="1318"/>
      <c r="G210" s="1318"/>
      <c r="H210" s="1318"/>
      <c r="I210" s="1318"/>
    </row>
    <row r="211" spans="2:9" ht="15.75" x14ac:dyDescent="0.25">
      <c r="B211" s="1089"/>
      <c r="C211" s="1089"/>
      <c r="D211" s="1317"/>
      <c r="E211" s="1317"/>
      <c r="F211" s="1317"/>
      <c r="G211" s="1317"/>
      <c r="H211" s="1317"/>
      <c r="I211" s="1317"/>
    </row>
    <row r="212" spans="2:9" ht="15.75" x14ac:dyDescent="0.25">
      <c r="B212" s="1089"/>
      <c r="C212" s="1089"/>
      <c r="D212" s="1317"/>
      <c r="E212" s="1317"/>
      <c r="F212" s="1317"/>
      <c r="G212" s="1317"/>
      <c r="H212" s="1317"/>
      <c r="I212" s="1317"/>
    </row>
    <row r="213" spans="2:9" ht="15.75" x14ac:dyDescent="0.25">
      <c r="B213" s="1089"/>
      <c r="C213" s="1089"/>
      <c r="D213" s="1317"/>
      <c r="E213" s="1317"/>
      <c r="F213" s="1317"/>
      <c r="G213" s="1317"/>
      <c r="H213" s="1317"/>
      <c r="I213" s="1317"/>
    </row>
    <row r="214" spans="2:9" ht="15.75" x14ac:dyDescent="0.25">
      <c r="B214" s="1089"/>
      <c r="C214" s="1089"/>
      <c r="D214" s="1317"/>
      <c r="E214" s="1317"/>
      <c r="F214" s="1317"/>
      <c r="G214" s="1317"/>
      <c r="H214" s="1317"/>
      <c r="I214" s="1317"/>
    </row>
    <row r="215" spans="2:9" ht="15.75" x14ac:dyDescent="0.25">
      <c r="B215" s="1089"/>
      <c r="C215" s="1089"/>
      <c r="D215" s="1318"/>
      <c r="E215" s="1318"/>
      <c r="F215" s="1318"/>
      <c r="G215" s="1318"/>
      <c r="H215" s="1318"/>
      <c r="I215" s="1318"/>
    </row>
    <row r="216" spans="2:9" ht="15.75" x14ac:dyDescent="0.25">
      <c r="B216" s="1089"/>
      <c r="C216" s="1089"/>
      <c r="D216" s="1318"/>
      <c r="E216" s="1318"/>
      <c r="F216" s="1318"/>
      <c r="G216" s="1318"/>
      <c r="H216" s="1318"/>
      <c r="I216" s="1318"/>
    </row>
    <row r="217" spans="2:9" ht="15.75" x14ac:dyDescent="0.25">
      <c r="B217" s="1089"/>
      <c r="C217" s="1089"/>
      <c r="D217" s="1318"/>
      <c r="E217" s="1318"/>
      <c r="F217" s="1318"/>
      <c r="G217" s="1318"/>
      <c r="H217" s="1318"/>
      <c r="I217" s="1318"/>
    </row>
    <row r="218" spans="2:9" ht="15.75" x14ac:dyDescent="0.25">
      <c r="B218" s="1089"/>
      <c r="C218" s="1089"/>
      <c r="D218" s="1318"/>
      <c r="E218" s="1318"/>
      <c r="F218" s="1318"/>
      <c r="G218" s="1318"/>
      <c r="H218" s="1318"/>
      <c r="I218" s="1318"/>
    </row>
    <row r="219" spans="2:9" ht="15.75" x14ac:dyDescent="0.25">
      <c r="B219" s="1089"/>
      <c r="C219" s="1089"/>
      <c r="D219" s="1318"/>
      <c r="E219" s="1318"/>
      <c r="F219" s="1318"/>
      <c r="G219" s="1318"/>
      <c r="H219" s="1318"/>
      <c r="I219" s="1318"/>
    </row>
    <row r="220" spans="2:9" ht="15.75" x14ac:dyDescent="0.25">
      <c r="B220" s="1089"/>
      <c r="C220" s="1089"/>
      <c r="D220" s="1318"/>
      <c r="E220" s="1318"/>
      <c r="F220" s="1318"/>
      <c r="G220" s="1318"/>
      <c r="H220" s="1318"/>
      <c r="I220" s="1318"/>
    </row>
    <row r="221" spans="2:9" ht="15.75" x14ac:dyDescent="0.25">
      <c r="B221" s="1287"/>
      <c r="C221" s="1287"/>
      <c r="D221" s="1312"/>
      <c r="E221" s="1312"/>
      <c r="F221" s="1312"/>
      <c r="G221" s="1312"/>
      <c r="H221" s="1312"/>
      <c r="I221" s="1312"/>
    </row>
    <row r="222" spans="2:9" ht="15.75" x14ac:dyDescent="0.25">
      <c r="B222" s="1287"/>
      <c r="C222" s="1287"/>
      <c r="D222" s="1312"/>
      <c r="E222" s="1312"/>
      <c r="F222" s="1312"/>
      <c r="G222" s="1312"/>
      <c r="H222" s="1312"/>
      <c r="I222" s="1312"/>
    </row>
    <row r="223" spans="2:9" ht="15.75" x14ac:dyDescent="0.25">
      <c r="B223" s="1287"/>
      <c r="C223" s="1287"/>
      <c r="D223" s="1322"/>
      <c r="E223" s="1322"/>
      <c r="F223" s="1322"/>
      <c r="G223" s="1322"/>
      <c r="H223" s="1322"/>
      <c r="I223" s="1322"/>
    </row>
    <row r="224" spans="2:9" ht="15.75" x14ac:dyDescent="0.25">
      <c r="B224" s="1287"/>
      <c r="C224" s="1287"/>
      <c r="D224" s="1289"/>
      <c r="E224" s="1289"/>
      <c r="F224" s="1289"/>
      <c r="G224" s="1289"/>
      <c r="H224" s="1289"/>
      <c r="I224" s="1289"/>
    </row>
    <row r="225" spans="2:9" ht="15.75" x14ac:dyDescent="0.25">
      <c r="B225" s="1287"/>
      <c r="C225" s="1287"/>
      <c r="D225" s="1289"/>
      <c r="E225" s="1289"/>
      <c r="F225" s="1289"/>
      <c r="G225" s="1289"/>
      <c r="H225" s="1289"/>
      <c r="I225" s="1289"/>
    </row>
    <row r="226" spans="2:9" ht="15.75" x14ac:dyDescent="0.25">
      <c r="B226" s="1287"/>
      <c r="C226" s="1287"/>
      <c r="D226" s="1289"/>
      <c r="E226" s="1289"/>
      <c r="F226" s="1289"/>
      <c r="G226" s="1289"/>
      <c r="H226" s="1289"/>
      <c r="I226" s="1289"/>
    </row>
    <row r="227" spans="2:9" ht="15.75" x14ac:dyDescent="0.25">
      <c r="B227" s="1287"/>
      <c r="C227" s="1287"/>
      <c r="D227" s="1289"/>
      <c r="E227" s="1289"/>
      <c r="F227" s="1289"/>
      <c r="G227" s="1289"/>
      <c r="H227" s="1289"/>
      <c r="I227" s="1289"/>
    </row>
    <row r="229" spans="2:9" ht="15.75" x14ac:dyDescent="0.25">
      <c r="B229" s="1320"/>
      <c r="C229" s="1320"/>
      <c r="D229" s="1320"/>
      <c r="E229" s="1320"/>
      <c r="F229" s="1320"/>
      <c r="G229" s="1320"/>
      <c r="H229" s="1320"/>
      <c r="I229" s="1320"/>
    </row>
    <row r="230" spans="2:9" ht="15.75" x14ac:dyDescent="0.25">
      <c r="B230" s="1311"/>
      <c r="C230" s="1311"/>
      <c r="D230" s="1312"/>
      <c r="E230" s="1312"/>
      <c r="F230" s="1312"/>
      <c r="G230" s="1312"/>
      <c r="H230" s="1312"/>
      <c r="I230" s="1312"/>
    </row>
    <row r="231" spans="2:9" ht="15.75" x14ac:dyDescent="0.25">
      <c r="B231" s="1311"/>
      <c r="C231" s="1311"/>
      <c r="D231" s="1312"/>
      <c r="E231" s="1312"/>
      <c r="F231" s="1312"/>
      <c r="G231" s="1312"/>
      <c r="H231" s="1312"/>
      <c r="I231" s="1312"/>
    </row>
    <row r="232" spans="2:9" ht="15.75" x14ac:dyDescent="0.25">
      <c r="B232" s="1311"/>
      <c r="C232" s="1311"/>
      <c r="D232" s="1313"/>
      <c r="E232" s="1313"/>
      <c r="F232" s="1313"/>
      <c r="G232" s="1313"/>
      <c r="H232" s="1313"/>
      <c r="I232" s="1313"/>
    </row>
    <row r="233" spans="2:9" ht="15.75" x14ac:dyDescent="0.25">
      <c r="B233" s="1311"/>
      <c r="C233" s="1311"/>
      <c r="D233" s="1313"/>
      <c r="E233" s="1313"/>
      <c r="F233" s="1313"/>
      <c r="G233" s="1313"/>
      <c r="H233" s="1313"/>
      <c r="I233" s="1313"/>
    </row>
    <row r="234" spans="2:9" ht="15.75" x14ac:dyDescent="0.25">
      <c r="B234" s="1089"/>
      <c r="C234" s="1089"/>
      <c r="D234" s="1319"/>
      <c r="E234" s="1318"/>
      <c r="F234" s="1318"/>
      <c r="G234" s="1090"/>
      <c r="H234" s="1090"/>
      <c r="I234" s="1090"/>
    </row>
    <row r="235" spans="2:9" ht="15.75" x14ac:dyDescent="0.25">
      <c r="B235" s="1089"/>
      <c r="C235" s="1089"/>
      <c r="D235" s="1318"/>
      <c r="E235" s="1318"/>
      <c r="F235" s="1318"/>
      <c r="G235" s="1318"/>
      <c r="H235" s="1318"/>
      <c r="I235" s="1318"/>
    </row>
    <row r="236" spans="2:9" ht="15.75" x14ac:dyDescent="0.25">
      <c r="B236" s="1089"/>
      <c r="C236" s="1089"/>
      <c r="D236" s="1317"/>
      <c r="E236" s="1317"/>
      <c r="F236" s="1317"/>
      <c r="G236" s="1317"/>
      <c r="H236" s="1317"/>
      <c r="I236" s="1317"/>
    </row>
    <row r="237" spans="2:9" ht="15.75" x14ac:dyDescent="0.25">
      <c r="B237" s="1089"/>
      <c r="C237" s="1089"/>
      <c r="D237" s="1317"/>
      <c r="E237" s="1317"/>
      <c r="F237" s="1317"/>
      <c r="G237" s="1317"/>
      <c r="H237" s="1317"/>
      <c r="I237" s="1317"/>
    </row>
    <row r="238" spans="2:9" ht="15.75" x14ac:dyDescent="0.25">
      <c r="B238" s="1089"/>
      <c r="C238" s="1089"/>
      <c r="D238" s="1317"/>
      <c r="E238" s="1317"/>
      <c r="F238" s="1317"/>
      <c r="G238" s="1317"/>
      <c r="H238" s="1317"/>
      <c r="I238" s="1317"/>
    </row>
    <row r="239" spans="2:9" ht="15.75" x14ac:dyDescent="0.25">
      <c r="B239" s="1089"/>
      <c r="C239" s="1089"/>
      <c r="D239" s="1317"/>
      <c r="E239" s="1317"/>
      <c r="F239" s="1317"/>
      <c r="G239" s="1317"/>
      <c r="H239" s="1317"/>
      <c r="I239" s="1317"/>
    </row>
    <row r="240" spans="2:9" ht="15.75" x14ac:dyDescent="0.25">
      <c r="B240" s="1089"/>
      <c r="C240" s="1089"/>
      <c r="D240" s="1318"/>
      <c r="E240" s="1318"/>
      <c r="F240" s="1318"/>
      <c r="G240" s="1318"/>
      <c r="H240" s="1318"/>
      <c r="I240" s="1318"/>
    </row>
    <row r="241" spans="2:9" ht="15.75" x14ac:dyDescent="0.25">
      <c r="B241" s="1089"/>
      <c r="C241" s="1089"/>
      <c r="D241" s="1318"/>
      <c r="E241" s="1318"/>
      <c r="F241" s="1318"/>
      <c r="G241" s="1318"/>
      <c r="H241" s="1318"/>
      <c r="I241" s="1318"/>
    </row>
    <row r="242" spans="2:9" ht="15.75" x14ac:dyDescent="0.25">
      <c r="B242" s="1089"/>
      <c r="C242" s="1089"/>
      <c r="D242" s="1318"/>
      <c r="E242" s="1318"/>
      <c r="F242" s="1318"/>
      <c r="G242" s="1318"/>
      <c r="H242" s="1318"/>
      <c r="I242" s="1318"/>
    </row>
    <row r="243" spans="2:9" ht="15.75" x14ac:dyDescent="0.25">
      <c r="B243" s="1089"/>
      <c r="C243" s="1089"/>
      <c r="D243" s="1318"/>
      <c r="E243" s="1318"/>
      <c r="F243" s="1318"/>
      <c r="G243" s="1318"/>
      <c r="H243" s="1318"/>
      <c r="I243" s="1318"/>
    </row>
    <row r="244" spans="2:9" ht="15.75" x14ac:dyDescent="0.25">
      <c r="B244" s="1089"/>
      <c r="C244" s="1089"/>
      <c r="D244" s="1318"/>
      <c r="E244" s="1318"/>
      <c r="F244" s="1318"/>
      <c r="G244" s="1318"/>
      <c r="H244" s="1318"/>
      <c r="I244" s="1318"/>
    </row>
    <row r="245" spans="2:9" ht="15.75" x14ac:dyDescent="0.25">
      <c r="B245" s="1089"/>
      <c r="C245" s="1089"/>
      <c r="D245" s="1318"/>
      <c r="E245" s="1318"/>
      <c r="F245" s="1318"/>
      <c r="G245" s="1318"/>
      <c r="H245" s="1318"/>
      <c r="I245" s="1318"/>
    </row>
    <row r="246" spans="2:9" ht="15.75" x14ac:dyDescent="0.25">
      <c r="B246" s="1287"/>
      <c r="C246" s="1287"/>
      <c r="D246" s="1312"/>
      <c r="E246" s="1312"/>
      <c r="F246" s="1312"/>
      <c r="G246" s="1312"/>
      <c r="H246" s="1312"/>
      <c r="I246" s="1312"/>
    </row>
    <row r="247" spans="2:9" ht="15.75" x14ac:dyDescent="0.25">
      <c r="B247" s="1287"/>
      <c r="C247" s="1287"/>
      <c r="D247" s="1312"/>
      <c r="E247" s="1312"/>
      <c r="F247" s="1312"/>
      <c r="G247" s="1312"/>
      <c r="H247" s="1312"/>
      <c r="I247" s="1312"/>
    </row>
    <row r="248" spans="2:9" ht="15.75" x14ac:dyDescent="0.25">
      <c r="B248" s="1287"/>
      <c r="C248" s="1287"/>
      <c r="D248" s="1322"/>
      <c r="E248" s="1322"/>
      <c r="F248" s="1322"/>
      <c r="G248" s="1322"/>
      <c r="H248" s="1322"/>
      <c r="I248" s="1322"/>
    </row>
    <row r="249" spans="2:9" ht="15.75" x14ac:dyDescent="0.25">
      <c r="B249" s="1287"/>
      <c r="C249" s="1287"/>
      <c r="D249" s="1289"/>
      <c r="E249" s="1289"/>
      <c r="F249" s="1289"/>
      <c r="G249" s="1289"/>
      <c r="H249" s="1289"/>
      <c r="I249" s="1289"/>
    </row>
    <row r="250" spans="2:9" ht="15.75" x14ac:dyDescent="0.25">
      <c r="B250" s="1287"/>
      <c r="C250" s="1287"/>
      <c r="D250" s="1289"/>
      <c r="E250" s="1289"/>
      <c r="F250" s="1289"/>
      <c r="G250" s="1289"/>
      <c r="H250" s="1289"/>
      <c r="I250" s="1289"/>
    </row>
    <row r="251" spans="2:9" ht="15.75" x14ac:dyDescent="0.25">
      <c r="B251" s="1287"/>
      <c r="C251" s="1287"/>
      <c r="D251" s="1289"/>
      <c r="E251" s="1289"/>
      <c r="F251" s="1289"/>
      <c r="G251" s="1289"/>
      <c r="H251" s="1289"/>
      <c r="I251" s="1289"/>
    </row>
    <row r="252" spans="2:9" ht="15.75" x14ac:dyDescent="0.25">
      <c r="B252" s="1287"/>
      <c r="C252" s="1287"/>
      <c r="D252" s="1289"/>
      <c r="E252" s="1289"/>
      <c r="F252" s="1289"/>
      <c r="G252" s="1289"/>
      <c r="H252" s="1289"/>
      <c r="I252" s="1289"/>
    </row>
    <row r="265" spans="2:2" ht="18.75" x14ac:dyDescent="0.25">
      <c r="B265" s="707"/>
    </row>
    <row r="266" spans="2:2" ht="18.75" x14ac:dyDescent="0.25">
      <c r="B266" s="1091"/>
    </row>
    <row r="267" spans="2:2" ht="18.75" x14ac:dyDescent="0.25">
      <c r="B267" s="1091"/>
    </row>
    <row r="268" spans="2:2" ht="18.75" x14ac:dyDescent="0.25">
      <c r="B268" s="1091"/>
    </row>
    <row r="269" spans="2:2" ht="18.75" x14ac:dyDescent="0.25">
      <c r="B269" s="707"/>
    </row>
    <row r="270" spans="2:2" ht="18.75" x14ac:dyDescent="0.25">
      <c r="B270" s="707"/>
    </row>
    <row r="275" spans="2:2" ht="26.25" x14ac:dyDescent="0.25">
      <c r="B275" s="1092"/>
    </row>
    <row r="276" spans="2:2" ht="21" x14ac:dyDescent="0.25">
      <c r="B276" s="1093"/>
    </row>
    <row r="277" spans="2:2" ht="21" x14ac:dyDescent="0.25">
      <c r="B277" s="683"/>
    </row>
    <row r="278" spans="2:2" ht="21" x14ac:dyDescent="0.25">
      <c r="B278" s="683"/>
    </row>
    <row r="279" spans="2:2" ht="21" x14ac:dyDescent="0.25">
      <c r="B279" s="1093"/>
    </row>
    <row r="280" spans="2:2" ht="21" x14ac:dyDescent="0.25">
      <c r="B280" s="683"/>
    </row>
    <row r="281" spans="2:2" ht="21" x14ac:dyDescent="0.25">
      <c r="B281" s="683"/>
    </row>
    <row r="282" spans="2:2" ht="21" x14ac:dyDescent="0.25">
      <c r="B282" s="683"/>
    </row>
    <row r="283" spans="2:2" ht="21" x14ac:dyDescent="0.25">
      <c r="B283" s="1093"/>
    </row>
    <row r="284" spans="2:2" ht="21" x14ac:dyDescent="0.25">
      <c r="B284" s="683"/>
    </row>
    <row r="285" spans="2:2" ht="21" x14ac:dyDescent="0.25">
      <c r="B285" s="683"/>
    </row>
    <row r="308" spans="2:11" x14ac:dyDescent="0.25">
      <c r="B308" s="101"/>
      <c r="C308" s="101"/>
      <c r="D308" s="101"/>
      <c r="E308" s="101"/>
      <c r="F308" s="101"/>
      <c r="G308" s="101"/>
      <c r="H308" s="1271"/>
      <c r="I308" s="1271"/>
      <c r="J308" s="1271"/>
      <c r="K308" s="1271"/>
    </row>
    <row r="309" spans="2:11" x14ac:dyDescent="0.25">
      <c r="B309" s="166"/>
      <c r="C309" s="129"/>
      <c r="D309" s="129"/>
      <c r="E309" s="106"/>
      <c r="F309" s="106"/>
      <c r="G309" s="1094"/>
      <c r="H309" s="1272"/>
      <c r="I309" s="1272"/>
      <c r="J309" s="1272"/>
      <c r="K309" s="1272"/>
    </row>
    <row r="310" spans="2:11" x14ac:dyDescent="0.25">
      <c r="B310" s="166"/>
      <c r="C310" s="129"/>
      <c r="D310" s="129"/>
      <c r="E310" s="106"/>
      <c r="F310" s="106"/>
      <c r="G310" s="106"/>
      <c r="H310" s="1272"/>
      <c r="I310" s="1272"/>
      <c r="J310" s="1272"/>
      <c r="K310" s="1272"/>
    </row>
    <row r="311" spans="2:11" x14ac:dyDescent="0.25">
      <c r="B311" s="129"/>
      <c r="C311" s="166"/>
      <c r="D311" s="129"/>
      <c r="E311" s="106"/>
      <c r="F311" s="1095"/>
      <c r="G311" s="1095"/>
      <c r="H311" s="1272"/>
      <c r="I311" s="1272"/>
      <c r="J311" s="1272"/>
      <c r="K311" s="1272"/>
    </row>
    <row r="312" spans="2:11" x14ac:dyDescent="0.25">
      <c r="B312" s="129"/>
      <c r="C312" s="166"/>
      <c r="D312" s="129"/>
      <c r="E312" s="106"/>
      <c r="F312" s="1094"/>
      <c r="G312" s="1094"/>
      <c r="H312" s="1272"/>
      <c r="I312" s="1272"/>
      <c r="J312" s="1272"/>
      <c r="K312" s="1272"/>
    </row>
    <row r="313" spans="2:11" x14ac:dyDescent="0.25">
      <c r="B313" s="129"/>
      <c r="C313" s="166"/>
      <c r="D313" s="129"/>
      <c r="E313" s="106"/>
      <c r="F313" s="106"/>
      <c r="G313" s="106"/>
      <c r="H313" s="1272"/>
      <c r="I313" s="1272"/>
      <c r="J313" s="1272"/>
      <c r="K313" s="1272"/>
    </row>
    <row r="314" spans="2:11" x14ac:dyDescent="0.25">
      <c r="B314" s="129"/>
      <c r="C314" s="166"/>
      <c r="D314" s="129"/>
      <c r="E314" s="106"/>
      <c r="F314" s="106"/>
      <c r="G314" s="106"/>
      <c r="H314" s="1272"/>
      <c r="I314" s="1272"/>
      <c r="J314" s="1272"/>
      <c r="K314" s="1272"/>
    </row>
    <row r="315" spans="2:11" x14ac:dyDescent="0.25">
      <c r="B315" s="129"/>
      <c r="C315" s="166"/>
      <c r="D315" s="129"/>
      <c r="E315" s="106"/>
      <c r="F315" s="106"/>
      <c r="G315" s="106"/>
      <c r="H315" s="1272"/>
      <c r="I315" s="1272"/>
      <c r="J315" s="1272"/>
      <c r="K315" s="1272"/>
    </row>
    <row r="316" spans="2:11" x14ac:dyDescent="0.25">
      <c r="B316" s="129"/>
      <c r="C316" s="166"/>
      <c r="D316" s="129"/>
      <c r="E316" s="106"/>
      <c r="F316" s="106"/>
      <c r="G316" s="106"/>
      <c r="H316" s="1272"/>
      <c r="I316" s="1272"/>
      <c r="J316" s="1272"/>
      <c r="K316" s="1272"/>
    </row>
    <row r="317" spans="2:11" x14ac:dyDescent="0.25">
      <c r="B317" s="129"/>
      <c r="C317" s="166"/>
      <c r="D317" s="129"/>
      <c r="E317" s="106"/>
      <c r="F317" s="106"/>
      <c r="G317" s="106"/>
      <c r="H317" s="1272"/>
      <c r="I317" s="1272"/>
      <c r="J317" s="1272"/>
      <c r="K317" s="1272"/>
    </row>
    <row r="318" spans="2:11" x14ac:dyDescent="0.25">
      <c r="B318" s="166"/>
      <c r="C318" s="129"/>
      <c r="D318" s="129"/>
      <c r="E318" s="106"/>
      <c r="F318" s="106"/>
      <c r="G318" s="106"/>
      <c r="H318" s="1272"/>
      <c r="I318" s="1272"/>
      <c r="J318" s="1272"/>
      <c r="K318" s="1272"/>
    </row>
    <row r="319" spans="2:11" x14ac:dyDescent="0.25">
      <c r="B319" s="129"/>
      <c r="C319" s="166"/>
      <c r="D319" s="129"/>
      <c r="E319" s="106"/>
      <c r="F319" s="106"/>
      <c r="G319" s="106"/>
      <c r="H319" s="1272"/>
      <c r="I319" s="1272"/>
      <c r="J319" s="1272"/>
      <c r="K319" s="1272"/>
    </row>
    <row r="320" spans="2:11" x14ac:dyDescent="0.25">
      <c r="B320" s="129"/>
      <c r="C320" s="166"/>
      <c r="D320" s="129"/>
      <c r="E320" s="106"/>
      <c r="F320" s="1094"/>
      <c r="G320" s="1094"/>
      <c r="H320" s="1272"/>
      <c r="I320" s="1272"/>
      <c r="J320" s="1272"/>
      <c r="K320" s="1272"/>
    </row>
    <row r="321" spans="2:11" x14ac:dyDescent="0.25">
      <c r="B321" s="129"/>
      <c r="C321" s="166"/>
      <c r="D321" s="129"/>
      <c r="E321" s="106"/>
      <c r="F321" s="106"/>
      <c r="G321" s="106"/>
      <c r="H321" s="1272"/>
      <c r="I321" s="1272"/>
      <c r="J321" s="1272"/>
      <c r="K321" s="1272"/>
    </row>
    <row r="322" spans="2:11" x14ac:dyDescent="0.25">
      <c r="B322" s="129"/>
      <c r="C322" s="166"/>
      <c r="D322" s="129"/>
      <c r="E322" s="106"/>
      <c r="F322" s="106"/>
      <c r="G322" s="106"/>
      <c r="H322" s="1272"/>
      <c r="I322" s="1272"/>
      <c r="J322" s="1272"/>
      <c r="K322" s="1272"/>
    </row>
    <row r="323" spans="2:11" x14ac:dyDescent="0.25">
      <c r="B323" s="129"/>
      <c r="C323" s="166"/>
      <c r="D323" s="129"/>
      <c r="E323" s="106"/>
      <c r="F323" s="106"/>
      <c r="G323" s="106"/>
      <c r="H323" s="1272"/>
      <c r="I323" s="1272"/>
      <c r="J323" s="1272"/>
      <c r="K323" s="1272"/>
    </row>
    <row r="324" spans="2:11" x14ac:dyDescent="0.25">
      <c r="B324" s="129"/>
      <c r="C324" s="166"/>
      <c r="D324" s="129"/>
      <c r="E324" s="106"/>
      <c r="F324" s="106"/>
      <c r="G324" s="106"/>
      <c r="H324" s="1272"/>
      <c r="I324" s="1272"/>
      <c r="J324" s="1272"/>
      <c r="K324" s="1272"/>
    </row>
    <row r="325" spans="2:11" x14ac:dyDescent="0.25">
      <c r="B325" s="129"/>
      <c r="C325" s="166"/>
      <c r="D325" s="129"/>
      <c r="E325" s="106"/>
      <c r="F325" s="106"/>
      <c r="G325" s="106"/>
      <c r="H325" s="1272"/>
      <c r="I325" s="1272"/>
      <c r="J325" s="1272"/>
      <c r="K325" s="1272"/>
    </row>
    <row r="326" spans="2:11" x14ac:dyDescent="0.25">
      <c r="B326" s="166"/>
      <c r="C326" s="166"/>
      <c r="D326" s="129"/>
      <c r="E326" s="106"/>
      <c r="F326" s="106"/>
      <c r="G326" s="106"/>
      <c r="H326" s="1272"/>
      <c r="I326" s="1272"/>
      <c r="J326" s="1272"/>
      <c r="K326" s="1272"/>
    </row>
    <row r="327" spans="2:11" x14ac:dyDescent="0.25">
      <c r="B327" s="166"/>
      <c r="C327" s="166"/>
      <c r="D327" s="129"/>
      <c r="E327" s="106"/>
      <c r="F327" s="106"/>
      <c r="G327" s="106"/>
      <c r="H327" s="1272"/>
      <c r="I327" s="1272"/>
      <c r="J327" s="1272"/>
      <c r="K327" s="1272"/>
    </row>
    <row r="328" spans="2:11" x14ac:dyDescent="0.25">
      <c r="B328" s="166"/>
      <c r="C328" s="166"/>
      <c r="D328" s="129"/>
      <c r="E328" s="106"/>
      <c r="F328" s="106"/>
      <c r="G328" s="106"/>
      <c r="H328" s="1272"/>
      <c r="I328" s="1272"/>
      <c r="J328" s="1272"/>
      <c r="K328" s="1272"/>
    </row>
    <row r="329" spans="2:11" x14ac:dyDescent="0.25">
      <c r="B329" s="129"/>
      <c r="C329" s="166"/>
      <c r="D329" s="129"/>
      <c r="E329" s="106"/>
      <c r="F329" s="1096"/>
      <c r="G329" s="106"/>
      <c r="H329" s="1272"/>
      <c r="I329" s="1272"/>
      <c r="J329" s="1272"/>
      <c r="K329" s="1272"/>
    </row>
    <row r="330" spans="2:11" x14ac:dyDescent="0.25">
      <c r="B330" s="129"/>
      <c r="C330" s="166"/>
      <c r="D330" s="129"/>
      <c r="E330" s="106"/>
      <c r="F330" s="1096"/>
      <c r="G330" s="106"/>
      <c r="H330" s="1272"/>
      <c r="I330" s="1272"/>
      <c r="J330" s="1272"/>
      <c r="K330" s="1272"/>
    </row>
    <row r="331" spans="2:11" x14ac:dyDescent="0.25">
      <c r="B331" s="129"/>
      <c r="C331" s="166"/>
      <c r="D331" s="129"/>
      <c r="E331" s="106"/>
      <c r="F331" s="1096"/>
      <c r="G331" s="106"/>
      <c r="H331" s="1272"/>
      <c r="I331" s="1272"/>
      <c r="J331" s="1272"/>
      <c r="K331" s="1272"/>
    </row>
    <row r="332" spans="2:11" x14ac:dyDescent="0.25">
      <c r="B332" s="129"/>
      <c r="C332" s="1097"/>
      <c r="D332" s="1098"/>
      <c r="E332" s="1099"/>
      <c r="F332" s="1100"/>
      <c r="G332" s="106"/>
      <c r="H332" s="1272"/>
      <c r="I332" s="1272"/>
      <c r="J332" s="1272"/>
      <c r="K332" s="1272"/>
    </row>
    <row r="333" spans="2:11" x14ac:dyDescent="0.25">
      <c r="B333" s="129"/>
      <c r="C333" s="1097"/>
      <c r="D333" s="1098"/>
      <c r="E333" s="1099"/>
      <c r="F333" s="1100"/>
      <c r="G333" s="106"/>
      <c r="H333" s="1272"/>
      <c r="I333" s="1272"/>
      <c r="J333" s="1272"/>
      <c r="K333" s="1272"/>
    </row>
    <row r="334" spans="2:11" x14ac:dyDescent="0.25">
      <c r="B334" s="129"/>
      <c r="C334" s="1097"/>
      <c r="D334" s="1098"/>
      <c r="E334" s="1099"/>
      <c r="F334" s="1100"/>
      <c r="G334" s="106"/>
      <c r="H334" s="1272"/>
      <c r="I334" s="1272"/>
      <c r="J334" s="1272"/>
      <c r="K334" s="1272"/>
    </row>
    <row r="335" spans="2:11" x14ac:dyDescent="0.25">
      <c r="B335" s="129"/>
      <c r="C335" s="166"/>
      <c r="D335" s="129"/>
      <c r="E335" s="106"/>
      <c r="F335" s="1096"/>
      <c r="G335" s="106"/>
      <c r="H335" s="1272"/>
      <c r="I335" s="1272"/>
      <c r="J335" s="1272"/>
      <c r="K335" s="1272"/>
    </row>
    <row r="336" spans="2:11" x14ac:dyDescent="0.25">
      <c r="B336" s="129"/>
      <c r="C336" s="166"/>
      <c r="D336" s="129"/>
      <c r="E336" s="106"/>
      <c r="F336" s="1096"/>
      <c r="G336" s="106"/>
      <c r="H336" s="1272"/>
      <c r="I336" s="1272"/>
      <c r="J336" s="1272"/>
      <c r="K336" s="1272"/>
    </row>
  </sheetData>
  <sheetProtection algorithmName="SHA-512" hashValue="OxAKrAFsWCqxMkif6wpug2FUi9lVsMVB1P1OmgprmciX3PBaiLmHjtgbgpXfw9nIX5UMYSG5MAobuwFNcRhjiw==" saltValue="tS5M3uSyPPgo8nSEC04cAw==" spinCount="100000" sheet="1" objects="1" scenarios="1"/>
  <mergeCells count="269">
    <mergeCell ref="D193:I193"/>
    <mergeCell ref="B196:C202"/>
    <mergeCell ref="D196:I196"/>
    <mergeCell ref="D197:I197"/>
    <mergeCell ref="D198:I198"/>
    <mergeCell ref="D199:I199"/>
    <mergeCell ref="D200:I200"/>
    <mergeCell ref="D201:I201"/>
    <mergeCell ref="D202:I202"/>
    <mergeCell ref="D17:I17"/>
    <mergeCell ref="B17:C19"/>
    <mergeCell ref="D29:I29"/>
    <mergeCell ref="G63:I63"/>
    <mergeCell ref="L19:O19"/>
    <mergeCell ref="L20:O20"/>
    <mergeCell ref="L21:O21"/>
    <mergeCell ref="K16:O16"/>
    <mergeCell ref="B76:C76"/>
    <mergeCell ref="D76:I76"/>
    <mergeCell ref="D23:I23"/>
    <mergeCell ref="B22:C25"/>
    <mergeCell ref="D25:I25"/>
    <mergeCell ref="B30:C31"/>
    <mergeCell ref="B35:C37"/>
    <mergeCell ref="D67:I67"/>
    <mergeCell ref="D18:I18"/>
    <mergeCell ref="D69:I69"/>
    <mergeCell ref="B61:C63"/>
    <mergeCell ref="B64:C71"/>
    <mergeCell ref="B48:C48"/>
    <mergeCell ref="D75:I75"/>
    <mergeCell ref="D74:I74"/>
    <mergeCell ref="B75:C75"/>
    <mergeCell ref="D169:I169"/>
    <mergeCell ref="D170:I170"/>
    <mergeCell ref="D213:I213"/>
    <mergeCell ref="D109:H109"/>
    <mergeCell ref="B101:C109"/>
    <mergeCell ref="D230:I230"/>
    <mergeCell ref="B112:C124"/>
    <mergeCell ref="D211:I211"/>
    <mergeCell ref="D212:I212"/>
    <mergeCell ref="B204:I204"/>
    <mergeCell ref="B205:C208"/>
    <mergeCell ref="D205:I205"/>
    <mergeCell ref="D206:I206"/>
    <mergeCell ref="B230:C233"/>
    <mergeCell ref="D214:I214"/>
    <mergeCell ref="D215:I215"/>
    <mergeCell ref="D216:I216"/>
    <mergeCell ref="D217:I217"/>
    <mergeCell ref="B229:I229"/>
    <mergeCell ref="B221:C227"/>
    <mergeCell ref="D189:I189"/>
    <mergeCell ref="D190:I190"/>
    <mergeCell ref="D191:I191"/>
    <mergeCell ref="D192:I192"/>
    <mergeCell ref="D243:I243"/>
    <mergeCell ref="D234:F234"/>
    <mergeCell ref="D235:I235"/>
    <mergeCell ref="D236:I236"/>
    <mergeCell ref="D237:I237"/>
    <mergeCell ref="D238:I238"/>
    <mergeCell ref="D239:I239"/>
    <mergeCell ref="D207:I207"/>
    <mergeCell ref="D208:I208"/>
    <mergeCell ref="D231:I231"/>
    <mergeCell ref="D232:I232"/>
    <mergeCell ref="D233:I233"/>
    <mergeCell ref="D219:I219"/>
    <mergeCell ref="D220:I220"/>
    <mergeCell ref="D221:I221"/>
    <mergeCell ref="D222:I222"/>
    <mergeCell ref="D223:I223"/>
    <mergeCell ref="D224:I224"/>
    <mergeCell ref="D225:I225"/>
    <mergeCell ref="D226:I226"/>
    <mergeCell ref="D227:I227"/>
    <mergeCell ref="D240:I240"/>
    <mergeCell ref="D241:I241"/>
    <mergeCell ref="D242:I242"/>
    <mergeCell ref="D244:I244"/>
    <mergeCell ref="D245:I245"/>
    <mergeCell ref="B246:C252"/>
    <mergeCell ref="D246:I246"/>
    <mergeCell ref="D247:I247"/>
    <mergeCell ref="D248:I248"/>
    <mergeCell ref="D249:I249"/>
    <mergeCell ref="D250:I250"/>
    <mergeCell ref="D251:I251"/>
    <mergeCell ref="D252:I252"/>
    <mergeCell ref="D218:I218"/>
    <mergeCell ref="D209:F209"/>
    <mergeCell ref="D210:I210"/>
    <mergeCell ref="B171:C177"/>
    <mergeCell ref="D171:I171"/>
    <mergeCell ref="D172:I172"/>
    <mergeCell ref="D173:I173"/>
    <mergeCell ref="D174:I174"/>
    <mergeCell ref="D175:I175"/>
    <mergeCell ref="D176:I176"/>
    <mergeCell ref="D177:I177"/>
    <mergeCell ref="D194:I194"/>
    <mergeCell ref="D195:I195"/>
    <mergeCell ref="D184:F184"/>
    <mergeCell ref="D185:I185"/>
    <mergeCell ref="D186:I186"/>
    <mergeCell ref="D187:I187"/>
    <mergeCell ref="D188:I188"/>
    <mergeCell ref="B179:I179"/>
    <mergeCell ref="B180:C183"/>
    <mergeCell ref="D180:I180"/>
    <mergeCell ref="D181:I181"/>
    <mergeCell ref="D182:I182"/>
    <mergeCell ref="D183:I183"/>
    <mergeCell ref="D164:I164"/>
    <mergeCell ref="D165:I165"/>
    <mergeCell ref="D166:I166"/>
    <mergeCell ref="D167:I167"/>
    <mergeCell ref="D168:I168"/>
    <mergeCell ref="D159:F159"/>
    <mergeCell ref="D160:I160"/>
    <mergeCell ref="D161:I161"/>
    <mergeCell ref="D162:I162"/>
    <mergeCell ref="D163:I163"/>
    <mergeCell ref="B154:I154"/>
    <mergeCell ref="D155:I155"/>
    <mergeCell ref="D156:I156"/>
    <mergeCell ref="D157:I157"/>
    <mergeCell ref="D158:I158"/>
    <mergeCell ref="B155:C155"/>
    <mergeCell ref="B156:C156"/>
    <mergeCell ref="B157:C157"/>
    <mergeCell ref="D144:I144"/>
    <mergeCell ref="D145:I145"/>
    <mergeCell ref="B146:C152"/>
    <mergeCell ref="D146:I146"/>
    <mergeCell ref="D147:I147"/>
    <mergeCell ref="D148:I148"/>
    <mergeCell ref="D149:I149"/>
    <mergeCell ref="D150:I150"/>
    <mergeCell ref="D151:I151"/>
    <mergeCell ref="D152:I152"/>
    <mergeCell ref="D139:I139"/>
    <mergeCell ref="D140:I140"/>
    <mergeCell ref="D141:I141"/>
    <mergeCell ref="D142:I142"/>
    <mergeCell ref="D143:I143"/>
    <mergeCell ref="D134:F134"/>
    <mergeCell ref="D135:I135"/>
    <mergeCell ref="D136:I136"/>
    <mergeCell ref="D137:I137"/>
    <mergeCell ref="D138:I138"/>
    <mergeCell ref="B131:C133"/>
    <mergeCell ref="D131:I131"/>
    <mergeCell ref="D132:I132"/>
    <mergeCell ref="D133:I133"/>
    <mergeCell ref="B130:I130"/>
    <mergeCell ref="B129:I129"/>
    <mergeCell ref="D114:I114"/>
    <mergeCell ref="D115:I115"/>
    <mergeCell ref="D116:I116"/>
    <mergeCell ref="D117:I117"/>
    <mergeCell ref="D107:I107"/>
    <mergeCell ref="D122:I122"/>
    <mergeCell ref="D124:I124"/>
    <mergeCell ref="B126:I127"/>
    <mergeCell ref="B83:C100"/>
    <mergeCell ref="D83:I83"/>
    <mergeCell ref="D84:I84"/>
    <mergeCell ref="D70:I70"/>
    <mergeCell ref="D85:I85"/>
    <mergeCell ref="D101:I101"/>
    <mergeCell ref="D94:I94"/>
    <mergeCell ref="D105:I105"/>
    <mergeCell ref="D106:I106"/>
    <mergeCell ref="D123:I123"/>
    <mergeCell ref="D108:I108"/>
    <mergeCell ref="D112:I112"/>
    <mergeCell ref="D118:I118"/>
    <mergeCell ref="D119:I119"/>
    <mergeCell ref="D120:I120"/>
    <mergeCell ref="D121:I121"/>
    <mergeCell ref="B111:I111"/>
    <mergeCell ref="D113:I113"/>
    <mergeCell ref="D104:I104"/>
    <mergeCell ref="D102:I102"/>
    <mergeCell ref="D103:I103"/>
    <mergeCell ref="D86:I86"/>
    <mergeCell ref="D88:I88"/>
    <mergeCell ref="D89:I89"/>
    <mergeCell ref="D92:I92"/>
    <mergeCell ref="D100:I100"/>
    <mergeCell ref="D93:I93"/>
    <mergeCell ref="D97:I97"/>
    <mergeCell ref="D98:I98"/>
    <mergeCell ref="D99:I99"/>
    <mergeCell ref="D87:I87"/>
    <mergeCell ref="D95:I95"/>
    <mergeCell ref="D96:I96"/>
    <mergeCell ref="D91:I91"/>
    <mergeCell ref="D90:F90"/>
    <mergeCell ref="B12:I13"/>
    <mergeCell ref="D24:I24"/>
    <mergeCell ref="D22:I22"/>
    <mergeCell ref="D26:I26"/>
    <mergeCell ref="D16:I16"/>
    <mergeCell ref="B26:C27"/>
    <mergeCell ref="D58:I58"/>
    <mergeCell ref="D56:I56"/>
    <mergeCell ref="D57:I57"/>
    <mergeCell ref="B52:I53"/>
    <mergeCell ref="B49:C49"/>
    <mergeCell ref="D27:I27"/>
    <mergeCell ref="D30:I30"/>
    <mergeCell ref="D31:I31"/>
    <mergeCell ref="D39:I39"/>
    <mergeCell ref="D40:I40"/>
    <mergeCell ref="D41:I41"/>
    <mergeCell ref="D32:I32"/>
    <mergeCell ref="B34:I34"/>
    <mergeCell ref="D35:I35"/>
    <mergeCell ref="D36:I36"/>
    <mergeCell ref="B15:I15"/>
    <mergeCell ref="B16:C16"/>
    <mergeCell ref="B21:I21"/>
    <mergeCell ref="M43:R43"/>
    <mergeCell ref="M49:R49"/>
    <mergeCell ref="D44:I44"/>
    <mergeCell ref="D45:I45"/>
    <mergeCell ref="D46:I46"/>
    <mergeCell ref="D47:I47"/>
    <mergeCell ref="D62:I62"/>
    <mergeCell ref="B55:I55"/>
    <mergeCell ref="B41:C43"/>
    <mergeCell ref="B44:C45"/>
    <mergeCell ref="B46:C47"/>
    <mergeCell ref="B57:C58"/>
    <mergeCell ref="B60:I60"/>
    <mergeCell ref="D61:I61"/>
    <mergeCell ref="D48:I48"/>
    <mergeCell ref="B50:C50"/>
    <mergeCell ref="B56:C56"/>
    <mergeCell ref="D49:I49"/>
    <mergeCell ref="D50:I50"/>
    <mergeCell ref="H308:K308"/>
    <mergeCell ref="H309:K317"/>
    <mergeCell ref="H318:K325"/>
    <mergeCell ref="H326:K327"/>
    <mergeCell ref="H328:K336"/>
    <mergeCell ref="B73:I73"/>
    <mergeCell ref="D19:I19"/>
    <mergeCell ref="D28:I28"/>
    <mergeCell ref="B38:C40"/>
    <mergeCell ref="D37:I37"/>
    <mergeCell ref="D38:I38"/>
    <mergeCell ref="D63:F63"/>
    <mergeCell ref="D42:I42"/>
    <mergeCell ref="D43:I43"/>
    <mergeCell ref="D71:I71"/>
    <mergeCell ref="B28:C29"/>
    <mergeCell ref="D64:I64"/>
    <mergeCell ref="D65:I65"/>
    <mergeCell ref="D66:I66"/>
    <mergeCell ref="D68:I68"/>
    <mergeCell ref="B82:I82"/>
    <mergeCell ref="D77:I77"/>
    <mergeCell ref="K43:L43"/>
    <mergeCell ref="B79:I80"/>
  </mergeCells>
  <hyperlinks>
    <hyperlink ref="D67" location="'TM1_micromobilidade '!A1" display="TM1_micromobilidade" xr:uid="{59E23CEF-6ECC-49D4-8238-A6EB66E19ACC}"/>
    <hyperlink ref="D68:I68" location="TM2_rodovia!A1" display="TM2_rodovia" xr:uid="{ADE38F17-4F57-4760-8D86-E5F7E980D376}"/>
    <hyperlink ref="D69:I69" location="'TM3_ferrovia e metro'!A1" display="TM3_ferrovia e metro" xr:uid="{E1D200BF-4BCF-4082-ADDE-08BECE02E7E3}"/>
    <hyperlink ref="D70:I70" location="'TM4_vias navegáveis interiores'!A1" display="TM4_vias navegáveis interiores" xr:uid="{D256DCF0-0DD3-457B-9044-E63A43CB9556}"/>
    <hyperlink ref="D85:I85" location="TR_triagem!A1" display="3. Preencher o questionário da folha da &quot;Triagem&quot;. Este procedimento permitirá listar as folhas folhas a preencher para o cáclulo das emissões de GEE do projeto." xr:uid="{961FB7BC-B999-43C1-ADA3-1F59A879A3AC}"/>
    <hyperlink ref="D86:I86" location="'ID_Identificação do projeto'!A1" display="4. Preencher a folha &quot;Identificação do projeto&quot; com as informações do projeto. Campos de preenchimento obrigatório:" xr:uid="{32DF5C92-F966-4ABF-9D57-737B277B69F4}"/>
    <hyperlink ref="C6" location="'PFs_Instruções e PFs'!B13" display="1.1 Quais são os objetivos da calculadora GEE_mobilidade?" xr:uid="{88145430-6CF6-417C-959D-9771161C1AF4}"/>
    <hyperlink ref="C7" location="'PFs_Instruções e PFs'!B21" display="1.2 Quais são os indicadores e as emissões de GEE que a ferramenta permite calcular?" xr:uid="{5FDEC516-5E49-495B-89AE-507EABE16CDC}"/>
    <hyperlink ref="C8" location="'PFs_Instruções e PFs'!B37" display="1.3 Quais são os projetos abrangidos pela calculadora?" xr:uid="{E2EAA37E-5794-458D-AEB1-42E706230C48}"/>
    <hyperlink ref="E6" location="'PFs_Instruções e PFs'!B57" display="2.1 Quais são os referenciais metodológicos da calculadora?" xr:uid="{52D69735-C61A-43AF-9E0E-E49003C5CDBB}"/>
    <hyperlink ref="E7" location="'PFs_Instruções e PFs'!B63" display="2.2 Quais são os pressupostos metodológicos subjacentes ao cálculo das emissões de GEE relativas?" xr:uid="{27EC2BBD-D04E-402A-B8B5-8B0D2ABC098E}"/>
    <hyperlink ref="E8" location="'PFs_Instruções e PFs'!B75" display="2.3 Como foram estimados os fatores de emissão padrão?" xr:uid="{17FE743F-F937-46D6-AA24-83FD19C49956}"/>
    <hyperlink ref="G6" location="'PFs_Instruções e PFs'!B87" display="3.1 Como  iniciar o cálculo das emissões de GEE com a GEE_mobilidade?" xr:uid="{938D7FD7-5EC1-4AAE-B48E-2893F9696838}"/>
    <hyperlink ref="G63" location="'IC_todos os projetos'!A1" display="IC_todos os projetos" xr:uid="{4E70AE1A-9E07-449B-AE9A-0AFFC725708D}"/>
    <hyperlink ref="D71:I71" location="'TM5_parques de estacionamento'!A1" display="TM5_parques de estacionamento" xr:uid="{8E55DF53-83DE-4D35-988A-564F15FD9549}"/>
    <hyperlink ref="I109" location="RE_resultados!B3" display="RE_resultados" xr:uid="{64F92BF6-7206-4859-8B5C-FD0741CFC9FD}"/>
    <hyperlink ref="D57:I57" r:id="rId1" display="1. Metodologia do Banco Europeu de Investimento para o cálculo da Pegada de Carbono de projetos: EIB Project Carbon Footprint Methodologies, version 11.3, January 2023" xr:uid="{1BE62FAA-F566-43A4-B2E4-5680BD4BB1E2}"/>
    <hyperlink ref="D56:I56" r:id="rId2" display="1. Orientações técnicas sobre a resistência às alterações climáticas das infraestruturas no período 2021-2027 (2021/C 373/01)" xr:uid="{7CA87C50-76EC-4683-9BAF-197934440194}"/>
    <hyperlink ref="D58:I58" r:id="rId3" display="2. Proposta do Banco Europeu de Investimento para o custo-sombra do carbono: EIB Group Climate Bank Roadmap 2021-2025, November 2020. pg. 121." xr:uid="{A285644D-B00C-4400-BBB7-DDA3A858B9E7}"/>
    <hyperlink ref="G7" location="'PFs_Instruções e PFs'!B117" display="3.2 Como  interpretar os resultados das emissões relativas e das emissões evitadas ?" xr:uid="{16015686-808A-45C7-B16F-C700FC674931}"/>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35C24-7A3E-46BE-9FE6-20F6D047397D}">
  <sheetPr codeName="Sheet3">
    <tabColor theme="1"/>
  </sheetPr>
  <dimension ref="A2:Q22"/>
  <sheetViews>
    <sheetView showGridLines="0" topLeftCell="A2" zoomScale="50" zoomScaleNormal="50" workbookViewId="0">
      <pane ySplit="1" topLeftCell="A3" activePane="bottomLeft" state="frozen"/>
      <selection activeCell="A2" sqref="A2"/>
      <selection pane="bottomLeft" activeCell="D22" sqref="D22"/>
    </sheetView>
  </sheetViews>
  <sheetFormatPr defaultRowHeight="15" x14ac:dyDescent="0.25"/>
  <cols>
    <col min="1" max="1" width="3.7109375" customWidth="1"/>
    <col min="2" max="2" width="80.28515625" customWidth="1"/>
    <col min="3" max="3" width="109.28515625" style="45" customWidth="1"/>
    <col min="4" max="4" width="37.28515625" customWidth="1"/>
    <col min="5" max="5" width="51.28515625" customWidth="1"/>
    <col min="8" max="8" width="12" bestFit="1" customWidth="1"/>
    <col min="9" max="9" width="53.7109375" customWidth="1"/>
  </cols>
  <sheetData>
    <row r="2" spans="1:17" s="1203" customFormat="1" ht="71.45" customHeight="1" x14ac:dyDescent="0.25">
      <c r="A2" s="1201"/>
      <c r="B2" s="1341" t="s">
        <v>576</v>
      </c>
      <c r="C2" s="1341"/>
      <c r="D2" s="1341"/>
      <c r="E2" s="1202"/>
      <c r="F2" s="1202"/>
      <c r="G2" s="1202"/>
      <c r="H2" s="1202"/>
      <c r="I2" s="1202"/>
      <c r="J2" s="1202"/>
      <c r="K2" s="1202"/>
      <c r="L2" s="1202"/>
      <c r="M2" s="1202"/>
      <c r="N2" s="1202"/>
      <c r="O2" s="1202"/>
      <c r="P2" s="1202"/>
      <c r="Q2" s="1202"/>
    </row>
    <row r="4" spans="1:17" ht="24" customHeight="1" x14ac:dyDescent="0.25">
      <c r="B4" s="686" t="s">
        <v>634</v>
      </c>
      <c r="C4" s="687"/>
      <c r="D4" s="687"/>
      <c r="E4" s="1204"/>
      <c r="F4" s="1205"/>
    </row>
    <row r="5" spans="1:17" s="45" customFormat="1" ht="118.9" customHeight="1" x14ac:dyDescent="0.25">
      <c r="B5" s="1206" t="s">
        <v>758</v>
      </c>
      <c r="C5" s="1343" t="s">
        <v>1216</v>
      </c>
      <c r="D5" s="1344"/>
      <c r="E5" s="1345"/>
      <c r="F5" s="1196"/>
      <c r="I5" s="603"/>
    </row>
    <row r="6" spans="1:17" s="45" customFormat="1" ht="73.150000000000006" customHeight="1" x14ac:dyDescent="0.25">
      <c r="B6" s="1206" t="s">
        <v>760</v>
      </c>
      <c r="C6" s="1346" t="s">
        <v>759</v>
      </c>
      <c r="D6" s="1347"/>
      <c r="E6" s="1348"/>
      <c r="F6" s="1196"/>
      <c r="I6" s="603"/>
    </row>
    <row r="7" spans="1:17" s="45" customFormat="1" ht="49.9" customHeight="1" x14ac:dyDescent="0.25">
      <c r="B7" s="1207" t="s">
        <v>762</v>
      </c>
      <c r="C7" s="1346" t="s">
        <v>761</v>
      </c>
      <c r="D7" s="1347"/>
      <c r="E7" s="1348"/>
      <c r="F7" s="1196"/>
      <c r="I7" s="603"/>
    </row>
    <row r="8" spans="1:17" ht="13.15" customHeight="1" thickBot="1" x14ac:dyDescent="0.3">
      <c r="B8" s="289" t="s">
        <v>112</v>
      </c>
      <c r="C8" s="289"/>
      <c r="D8" s="289"/>
      <c r="I8" s="1208"/>
      <c r="J8" s="1334"/>
      <c r="K8" s="1334"/>
      <c r="L8" s="1334"/>
      <c r="M8" s="1334"/>
    </row>
    <row r="9" spans="1:17" ht="34.15" customHeight="1" thickTop="1" thickBot="1" x14ac:dyDescent="0.3">
      <c r="B9" s="646"/>
      <c r="C9" s="1209"/>
      <c r="D9" s="1210"/>
      <c r="E9" s="1211" t="s">
        <v>577</v>
      </c>
    </row>
    <row r="10" spans="1:17" ht="39" customHeight="1" thickBot="1" x14ac:dyDescent="0.3">
      <c r="B10" s="1212"/>
      <c r="C10" s="1349" t="s">
        <v>567</v>
      </c>
      <c r="D10" s="1350"/>
      <c r="E10" s="1233" t="s">
        <v>582</v>
      </c>
    </row>
    <row r="11" spans="1:17" ht="10.15" customHeight="1" x14ac:dyDescent="0.25">
      <c r="B11" s="1212"/>
      <c r="C11" s="1213"/>
      <c r="D11" s="1214"/>
      <c r="E11" s="1199"/>
    </row>
    <row r="12" spans="1:17" ht="53.45" customHeight="1" thickBot="1" x14ac:dyDescent="0.55000000000000004">
      <c r="B12" s="1215" t="s">
        <v>584</v>
      </c>
      <c r="C12" s="573" t="s">
        <v>583</v>
      </c>
      <c r="D12" s="573" t="s">
        <v>763</v>
      </c>
      <c r="E12" s="1200"/>
      <c r="F12" s="1216"/>
      <c r="H12" s="1217"/>
    </row>
    <row r="13" spans="1:17" s="404" customFormat="1" ht="60" customHeight="1" thickTop="1" thickBot="1" x14ac:dyDescent="0.3">
      <c r="B13" s="1342" t="s">
        <v>684</v>
      </c>
      <c r="C13" s="1218" t="s">
        <v>569</v>
      </c>
      <c r="D13" s="1231" t="s">
        <v>585</v>
      </c>
      <c r="E13" s="1232" t="s">
        <v>1282</v>
      </c>
      <c r="F13" s="553"/>
      <c r="G13" s="553"/>
    </row>
    <row r="14" spans="1:17" s="404" customFormat="1" ht="60" customHeight="1" thickTop="1" thickBot="1" x14ac:dyDescent="0.3">
      <c r="B14" s="1342"/>
      <c r="C14" s="1219" t="s">
        <v>570</v>
      </c>
      <c r="D14" s="1231" t="s">
        <v>585</v>
      </c>
      <c r="E14" s="1232" t="s">
        <v>1281</v>
      </c>
      <c r="F14" s="554"/>
      <c r="G14" s="554"/>
      <c r="H14" s="554"/>
      <c r="I14" s="63"/>
    </row>
    <row r="15" spans="1:17" s="404" customFormat="1" ht="60" customHeight="1" thickTop="1" thickBot="1" x14ac:dyDescent="0.3">
      <c r="B15" s="1342"/>
      <c r="C15" s="1219" t="s">
        <v>571</v>
      </c>
      <c r="D15" s="1228" t="s">
        <v>585</v>
      </c>
      <c r="E15" s="1232" t="s">
        <v>1283</v>
      </c>
      <c r="F15" s="554"/>
      <c r="G15" s="554"/>
      <c r="I15" s="63"/>
    </row>
    <row r="16" spans="1:17" s="404" customFormat="1" ht="60" customHeight="1" thickTop="1" thickBot="1" x14ac:dyDescent="0.3">
      <c r="B16" s="1342"/>
      <c r="C16" s="1219" t="s">
        <v>572</v>
      </c>
      <c r="D16" s="1228" t="s">
        <v>585</v>
      </c>
      <c r="E16" s="1232" t="s">
        <v>1284</v>
      </c>
      <c r="F16" s="554"/>
      <c r="G16" s="554"/>
      <c r="I16" s="63"/>
    </row>
    <row r="17" spans="2:9" s="404" customFormat="1" ht="64.150000000000006" customHeight="1" thickTop="1" thickBot="1" x14ac:dyDescent="0.3">
      <c r="B17" s="1342"/>
      <c r="C17" s="1219" t="s">
        <v>573</v>
      </c>
      <c r="D17" s="1228" t="s">
        <v>585</v>
      </c>
      <c r="E17" s="1232" t="s">
        <v>1285</v>
      </c>
      <c r="I17" s="1220"/>
    </row>
    <row r="18" spans="2:9" ht="66" customHeight="1" thickTop="1" thickBot="1" x14ac:dyDescent="0.35">
      <c r="B18" s="1338" t="s">
        <v>1171</v>
      </c>
      <c r="C18" s="1219" t="s">
        <v>574</v>
      </c>
      <c r="D18" s="1231" t="s">
        <v>585</v>
      </c>
      <c r="E18" s="1232" t="s">
        <v>578</v>
      </c>
      <c r="F18" s="446"/>
    </row>
    <row r="19" spans="2:9" ht="61.9" customHeight="1" thickTop="1" thickBot="1" x14ac:dyDescent="0.35">
      <c r="B19" s="1339"/>
      <c r="C19" s="1219" t="s">
        <v>575</v>
      </c>
      <c r="D19" s="1228" t="s">
        <v>585</v>
      </c>
      <c r="E19" s="1232" t="s">
        <v>579</v>
      </c>
      <c r="F19" s="446"/>
    </row>
    <row r="20" spans="2:9" ht="64.900000000000006" customHeight="1" thickTop="1" thickBot="1" x14ac:dyDescent="0.35">
      <c r="B20" s="1339"/>
      <c r="C20" s="1219" t="s">
        <v>722</v>
      </c>
      <c r="D20" s="1228" t="s">
        <v>585</v>
      </c>
      <c r="E20" s="1232" t="s">
        <v>580</v>
      </c>
      <c r="F20" s="446"/>
    </row>
    <row r="21" spans="2:9" ht="60.6" customHeight="1" thickTop="1" thickBot="1" x14ac:dyDescent="0.35">
      <c r="B21" s="1339"/>
      <c r="C21" s="1219" t="s">
        <v>723</v>
      </c>
      <c r="D21" s="1228" t="s">
        <v>585</v>
      </c>
      <c r="E21" s="1232" t="s">
        <v>581</v>
      </c>
      <c r="F21" s="446"/>
    </row>
    <row r="22" spans="2:9" ht="61.15" customHeight="1" thickTop="1" thickBot="1" x14ac:dyDescent="0.3">
      <c r="B22" s="1340"/>
      <c r="C22" s="1221" t="s">
        <v>685</v>
      </c>
      <c r="D22" s="1229" t="s">
        <v>585</v>
      </c>
      <c r="E22" s="1232" t="s">
        <v>686</v>
      </c>
    </row>
  </sheetData>
  <sheetProtection algorithmName="SHA-512" hashValue="DYJn2M+tWTPwj94QNpPsJSGHi9rZi6NhtiZEeEQ2K1wT2Ww+gn31Z8cUDaPq1CyzriFZiXbvk8/1Nvzj6+LBgw==" saltValue="n6NqSJ9yLdaANWIUpBbFcg==" spinCount="100000" sheet="1" selectLockedCells="1"/>
  <mergeCells count="8">
    <mergeCell ref="J8:M8"/>
    <mergeCell ref="B18:B22"/>
    <mergeCell ref="B2:D2"/>
    <mergeCell ref="B13:B17"/>
    <mergeCell ref="C5:E5"/>
    <mergeCell ref="C6:E6"/>
    <mergeCell ref="C7:E7"/>
    <mergeCell ref="C10:D10"/>
  </mergeCells>
  <hyperlinks>
    <hyperlink ref="E18" location="'TM1_micromobilidade '!A1" display="TM1_micromobilidade" xr:uid="{7C5C1A2B-1565-4ACF-9818-089F8BD17E0E}"/>
    <hyperlink ref="E19" location="TM2_rodovia!A1" display="TM2_rodovia" xr:uid="{9A7855A9-3CDC-4787-822A-A55EBE4CC27C}"/>
    <hyperlink ref="E20" location="'TM3_ferrovia e metro'!A1" display="TM3_ferrovia e metro" xr:uid="{158D5E9B-20DB-4686-B033-7E20A3CD282E}"/>
    <hyperlink ref="E21" location="'TM4_vias navegáveis interiores'!A1" display="TM4_vias navegáveis interiores" xr:uid="{DBB652D7-F420-41DA-9A26-8A2256945160}"/>
    <hyperlink ref="E14" location="'IC_todos os projetos'!A3" display="Separador IC_todos os projetos; Tabela  IC2_Projetos de transporte rodoviário de passageiros" xr:uid="{1E36EE12-7F5F-4662-9C0A-29D47E7FD683}"/>
    <hyperlink ref="E15" location="'IC_todos os projetos'!A3" display="Separador IC_todos os projetos;  Tabela  IC3_Projetos de transporte ferroviário de passageiros" xr:uid="{8D4074E6-ADF8-4543-A350-98DC09242B8F}"/>
    <hyperlink ref="E16" location="'IC_todos os projetos'!A3" display="Separador IC_todos os projetos; Tabela  IC4_Projetos de transporte de passageiros em vias navegáveis interiores" xr:uid="{D41F9130-771C-42F5-91FC-BAC73FDBBB5B}"/>
    <hyperlink ref="E17" location="'IC_todos os projetos'!A3" display="Separador IC_todos os projetos; Tabela  IC5_Projetos de carregamento de veículos/navios/embarcações" xr:uid="{05D0EBF2-CEA8-4827-A109-92C26F723563}"/>
    <hyperlink ref="E10" location="'ID_Identificação do projeto'!A1" display="ID_Identificação do projeto " xr:uid="{BF8CC618-1147-427D-A055-520B6E56BFF9}"/>
    <hyperlink ref="E22" location="'TM5_parques de estacionamento'!A1" display="Separador TM5_parques estacionamento" xr:uid="{4E79554D-748F-4973-BFE7-AEA2F8525C68}"/>
    <hyperlink ref="E13" location="'IC_todos os projetos'!A3" display="Separador IC_todos os projetos;  Tabela IC1_Projetos de micromobilidade" xr:uid="{15FBE1DD-AB67-4B4C-B6FC-CDF812BC2744}"/>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5AA54739-0073-495E-9EED-89527A2DA1F3}">
            <xm:f>FACalc_micromobilidade!$C$14=FAListas!#REF!</xm:f>
            <x14:dxf>
              <fill>
                <patternFill>
                  <bgColor theme="1"/>
                </patternFill>
              </fill>
            </x14:dxf>
          </x14:cfRule>
          <xm:sqref>B9:E9</xm:sqref>
        </x14:conditionalFormatting>
        <x14:conditionalFormatting xmlns:xm="http://schemas.microsoft.com/office/excel/2006/main">
          <x14:cfRule type="expression" priority="13" id="{DC733D61-3F9B-45FE-A623-B03FFA2FF5CD}">
            <xm:f>FACalc_micromobilidade!$C$14=FAListas!#REF!</xm:f>
            <x14:dxf>
              <fill>
                <patternFill>
                  <bgColor theme="1"/>
                </patternFill>
              </fill>
            </x14:dxf>
          </x14:cfRule>
          <xm:sqref>C12:D12</xm:sqref>
        </x14:conditionalFormatting>
        <x14:conditionalFormatting xmlns:xm="http://schemas.microsoft.com/office/excel/2006/main">
          <x14:cfRule type="expression" priority="7" id="{2F2939F2-3304-495C-8EF7-D9E73262CF46}">
            <xm:f>D13=FAListas!$C$16</xm:f>
            <x14:dxf>
              <font>
                <color theme="8" tint="-0.24994659260841701"/>
              </font>
              <fill>
                <patternFill patternType="none">
                  <bgColor auto="1"/>
                </patternFill>
              </fill>
            </x14:dxf>
          </x14:cfRule>
          <xm:sqref>E13:E22</xm:sqref>
        </x14:conditionalFormatting>
        <x14:conditionalFormatting xmlns:xm="http://schemas.microsoft.com/office/excel/2006/main">
          <x14:cfRule type="expression" priority="10" id="{BBCC195B-AFAA-4C77-BF97-73B90000D157}">
            <xm:f>$D$15=FAListas!$C$16</xm:f>
            <x14:dxf>
              <fill>
                <patternFill patternType="none">
                  <bgColor auto="1"/>
                </patternFill>
              </fill>
            </x14:dxf>
          </x14:cfRule>
          <xm:sqref>E15</xm:sqref>
        </x14:conditionalFormatting>
        <x14:conditionalFormatting xmlns:xm="http://schemas.microsoft.com/office/excel/2006/main">
          <x14:cfRule type="expression" priority="9" id="{A858F46A-F3A4-4ECB-A2C7-E44DB14C9260}">
            <xm:f>$D$16=FAListas!$C$16</xm:f>
            <x14:dxf>
              <fill>
                <patternFill patternType="none">
                  <bgColor auto="1"/>
                </patternFill>
              </fill>
            </x14:dxf>
          </x14:cfRule>
          <xm:sqref>E16</xm:sqref>
        </x14:conditionalFormatting>
        <x14:conditionalFormatting xmlns:xm="http://schemas.microsoft.com/office/excel/2006/main">
          <x14:cfRule type="expression" priority="8" id="{69541C3C-2D85-43DC-A0BF-148F265615E9}">
            <xm:f>$D$17=FAListas!$C$16</xm:f>
            <x14:dxf>
              <fill>
                <patternFill patternType="none">
                  <bgColor auto="1"/>
                </patternFill>
              </fill>
            </x14:dxf>
          </x14:cfRule>
          <xm:sqref>E17</xm:sqref>
        </x14:conditionalFormatting>
        <x14:conditionalFormatting xmlns:xm="http://schemas.microsoft.com/office/excel/2006/main">
          <x14:cfRule type="expression" priority="5" id="{5C48A6AA-B3A2-4336-A84F-6C05D257CEE9}">
            <xm:f>$D$19=FAListas!$C$16</xm:f>
            <x14:dxf>
              <fill>
                <patternFill patternType="none">
                  <bgColor auto="1"/>
                </patternFill>
              </fill>
            </x14:dxf>
          </x14:cfRule>
          <xm:sqref>E19</xm:sqref>
        </x14:conditionalFormatting>
        <x14:conditionalFormatting xmlns:xm="http://schemas.microsoft.com/office/excel/2006/main">
          <x14:cfRule type="expression" priority="4" id="{3DD98482-0424-4FE6-BFB1-E1373AFC37BB}">
            <xm:f>$D$20=FAListas!$C$16</xm:f>
            <x14:dxf>
              <fill>
                <patternFill patternType="none">
                  <bgColor auto="1"/>
                </patternFill>
              </fill>
            </x14:dxf>
          </x14:cfRule>
          <xm:sqref>E20</xm:sqref>
        </x14:conditionalFormatting>
        <x14:conditionalFormatting xmlns:xm="http://schemas.microsoft.com/office/excel/2006/main">
          <x14:cfRule type="expression" priority="3" id="{AF6D6A05-BD2B-4CDA-96B8-6C22F54DAF3F}">
            <xm:f>$D$21=FAListas!$C$16</xm:f>
            <x14:dxf>
              <fill>
                <patternFill patternType="none">
                  <bgColor auto="1"/>
                </patternFill>
              </fill>
            </x14:dxf>
          </x14:cfRule>
          <xm:sqref>E21</xm:sqref>
        </x14:conditionalFormatting>
        <x14:conditionalFormatting xmlns:xm="http://schemas.microsoft.com/office/excel/2006/main">
          <x14:cfRule type="expression" priority="1" id="{67C8672A-87B3-4FA2-AC42-0181F05D95A6}">
            <xm:f>$D$22=FAListas!$C$16</xm:f>
            <x14:dxf>
              <fill>
                <patternFill patternType="none">
                  <bgColor auto="1"/>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BCA83CB-B85A-4483-B3E5-EB9A5259BC32}">
          <x14:formula1>
            <xm:f>FAListas!$C$15:$C$17</xm:f>
          </x14:formula1>
          <xm:sqref>D13:D22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15ED0-E5B6-41E5-AD75-A44143D2E991}">
  <sheetPr>
    <tabColor theme="1"/>
  </sheetPr>
  <dimension ref="A2:F31"/>
  <sheetViews>
    <sheetView showGridLines="0" zoomScale="65" zoomScaleNormal="65" workbookViewId="0">
      <pane ySplit="2" topLeftCell="A3" activePane="bottomLeft" state="frozen"/>
      <selection activeCell="D13" sqref="D13"/>
      <selection pane="bottomLeft" activeCell="C4" sqref="C4:E4"/>
    </sheetView>
  </sheetViews>
  <sheetFormatPr defaultRowHeight="15" x14ac:dyDescent="0.25"/>
  <cols>
    <col min="1" max="1" width="4.28515625" customWidth="1"/>
    <col min="2" max="2" width="114" customWidth="1"/>
    <col min="3" max="3" width="21.7109375" customWidth="1"/>
    <col min="4" max="4" width="41.28515625" customWidth="1"/>
    <col min="5" max="5" width="28" customWidth="1"/>
    <col min="6" max="6" width="40.7109375" customWidth="1"/>
  </cols>
  <sheetData>
    <row r="2" spans="1:6" s="635" customFormat="1" ht="76.900000000000006" customHeight="1" x14ac:dyDescent="0.25">
      <c r="A2"/>
      <c r="B2" s="1341" t="s">
        <v>485</v>
      </c>
      <c r="C2" s="1341"/>
      <c r="D2" s="1341"/>
      <c r="E2" s="1341"/>
      <c r="F2" s="1341"/>
    </row>
    <row r="3" spans="1:6" ht="25.15" customHeight="1" x14ac:dyDescent="0.25"/>
    <row r="4" spans="1:6" ht="40.15" customHeight="1" x14ac:dyDescent="0.25">
      <c r="B4" s="302" t="s">
        <v>148</v>
      </c>
      <c r="C4" s="1353" t="s">
        <v>521</v>
      </c>
      <c r="D4" s="1353"/>
      <c r="E4" s="1353"/>
      <c r="F4" s="534"/>
    </row>
    <row r="5" spans="1:6" ht="10.15" customHeight="1" x14ac:dyDescent="0.25">
      <c r="B5" s="302"/>
      <c r="C5" s="576"/>
      <c r="D5" s="576"/>
      <c r="E5" s="576"/>
      <c r="F5" s="504"/>
    </row>
    <row r="6" spans="1:6" ht="40.15" customHeight="1" x14ac:dyDescent="0.25">
      <c r="B6" s="303" t="s">
        <v>137</v>
      </c>
      <c r="C6" s="1351" t="s">
        <v>522</v>
      </c>
      <c r="D6" s="1351"/>
      <c r="E6" s="1351"/>
      <c r="F6" s="505"/>
    </row>
    <row r="7" spans="1:6" ht="10.15" customHeight="1" x14ac:dyDescent="0.25">
      <c r="B7" s="303"/>
      <c r="C7" s="577"/>
      <c r="D7" s="577"/>
      <c r="E7" s="577"/>
      <c r="F7" s="505"/>
    </row>
    <row r="8" spans="1:6" ht="40.15" customHeight="1" x14ac:dyDescent="0.25">
      <c r="B8" s="303" t="s">
        <v>138</v>
      </c>
      <c r="C8" s="1351" t="s">
        <v>523</v>
      </c>
      <c r="D8" s="1351"/>
      <c r="E8" s="1351"/>
      <c r="F8" s="505"/>
    </row>
    <row r="9" spans="1:6" ht="10.15" customHeight="1" x14ac:dyDescent="0.25">
      <c r="B9" s="303"/>
      <c r="C9" s="577"/>
      <c r="D9" s="577"/>
      <c r="E9" s="577"/>
      <c r="F9" s="505"/>
    </row>
    <row r="10" spans="1:6" ht="40.15" customHeight="1" x14ac:dyDescent="0.25">
      <c r="B10" s="303" t="s">
        <v>139</v>
      </c>
      <c r="C10" s="1351" t="s">
        <v>524</v>
      </c>
      <c r="D10" s="1351"/>
      <c r="E10" s="1351"/>
      <c r="F10" s="505"/>
    </row>
    <row r="11" spans="1:6" ht="10.15" customHeight="1" x14ac:dyDescent="0.25">
      <c r="B11" s="303"/>
      <c r="C11" s="577"/>
      <c r="D11" s="577"/>
      <c r="E11" s="577"/>
      <c r="F11" s="505"/>
    </row>
    <row r="12" spans="1:6" ht="40.15" customHeight="1" x14ac:dyDescent="0.25">
      <c r="B12" s="303" t="s">
        <v>140</v>
      </c>
      <c r="C12" s="1352" t="s">
        <v>525</v>
      </c>
      <c r="D12" s="1352"/>
      <c r="E12" s="1352"/>
      <c r="F12" s="505"/>
    </row>
    <row r="13" spans="1:6" ht="10.15" customHeight="1" x14ac:dyDescent="0.35">
      <c r="C13" s="578"/>
      <c r="D13" s="578"/>
      <c r="E13" s="578"/>
    </row>
    <row r="14" spans="1:6" ht="40.15" customHeight="1" x14ac:dyDescent="0.25">
      <c r="B14" s="513" t="s">
        <v>1311</v>
      </c>
      <c r="C14" s="1351" t="s">
        <v>1350</v>
      </c>
      <c r="D14" s="1351"/>
      <c r="E14" s="1351"/>
      <c r="F14" s="505"/>
    </row>
    <row r="15" spans="1:6" ht="10.15" customHeight="1" x14ac:dyDescent="0.25">
      <c r="B15" s="303"/>
      <c r="C15" s="577"/>
      <c r="D15" s="577"/>
      <c r="E15" s="577"/>
      <c r="F15" s="506"/>
    </row>
    <row r="16" spans="1:6" ht="39.6" customHeight="1" x14ac:dyDescent="0.25">
      <c r="B16" s="513" t="s">
        <v>529</v>
      </c>
      <c r="C16" s="1351" t="s">
        <v>146</v>
      </c>
      <c r="D16" s="1351"/>
      <c r="E16" s="1351"/>
      <c r="F16" s="505"/>
    </row>
    <row r="17" spans="2:6" ht="10.15" customHeight="1" x14ac:dyDescent="0.25">
      <c r="B17" s="303"/>
      <c r="C17" s="579"/>
      <c r="D17" s="579"/>
      <c r="E17" s="579"/>
      <c r="F17" s="507"/>
    </row>
    <row r="18" spans="2:6" ht="40.9" customHeight="1" x14ac:dyDescent="0.25">
      <c r="B18" s="513" t="s">
        <v>1310</v>
      </c>
      <c r="C18" s="1352" t="s">
        <v>146</v>
      </c>
      <c r="D18" s="1352"/>
      <c r="E18" s="1352"/>
      <c r="F18" s="505"/>
    </row>
    <row r="20" spans="2:6" ht="40.15" customHeight="1" x14ac:dyDescent="0.25">
      <c r="B20" s="513" t="s">
        <v>1312</v>
      </c>
      <c r="C20" s="1351" t="s">
        <v>1351</v>
      </c>
      <c r="D20" s="1351"/>
      <c r="E20" s="1351"/>
    </row>
    <row r="31" spans="2:6" x14ac:dyDescent="0.25">
      <c r="E31" s="47"/>
    </row>
  </sheetData>
  <sheetProtection algorithmName="SHA-512" hashValue="kh4u321qQUPRQAkpXF8vmvX9r5xIfocXKYSBza4OlFBqzkWGjjjWI4B0nwcPYDLTxYKfGOFMKdUErTClHQuhYg==" saltValue="G5Lyo0rGwnTtP05GkpnIkQ==" spinCount="100000" sheet="1" objects="1" scenarios="1" selectLockedCells="1"/>
  <mergeCells count="10">
    <mergeCell ref="C20:E20"/>
    <mergeCell ref="C18:E18"/>
    <mergeCell ref="B2:F2"/>
    <mergeCell ref="C16:E16"/>
    <mergeCell ref="C4:E4"/>
    <mergeCell ref="C6:E6"/>
    <mergeCell ref="C8:E8"/>
    <mergeCell ref="C10:E10"/>
    <mergeCell ref="C12:E12"/>
    <mergeCell ref="C14:E14"/>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CDE83EC-834C-46BF-B6DD-57189080BBDE}">
          <x14:formula1>
            <xm:f>FAListas!$C$18:$C$28</xm:f>
          </x14:formula1>
          <xm:sqref>C16:C17</xm:sqref>
        </x14:dataValidation>
        <x14:dataValidation type="list" allowBlank="1" showInputMessage="1" showErrorMessage="1" xr:uid="{D278D2F0-7344-4476-9618-63F0152A8AA6}">
          <x14:formula1>
            <xm:f>FAListas!$C$5:$C$14</xm:f>
          </x14:formula1>
          <xm:sqref>C18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B3B48-6120-4E54-8CC1-712C466BA7DD}">
  <sheetPr>
    <tabColor rgb="FF014744"/>
  </sheetPr>
  <dimension ref="A1:V133"/>
  <sheetViews>
    <sheetView showGridLines="0" zoomScale="40" zoomScaleNormal="40" workbookViewId="0">
      <pane ySplit="2" topLeftCell="A3" activePane="bottomLeft" state="frozen"/>
      <selection activeCell="D13" sqref="D13"/>
      <selection pane="bottomLeft" activeCell="G4" sqref="G4:M4"/>
    </sheetView>
  </sheetViews>
  <sheetFormatPr defaultRowHeight="79.900000000000006" customHeight="1" x14ac:dyDescent="0.25"/>
  <cols>
    <col min="1" max="1" width="2.7109375" customWidth="1"/>
    <col min="2" max="2" width="3.7109375" customWidth="1"/>
    <col min="3" max="3" width="50.28515625" customWidth="1"/>
    <col min="4" max="4" width="21.7109375" customWidth="1"/>
    <col min="5" max="5" width="46" customWidth="1"/>
    <col min="6" max="6" width="47.5703125" customWidth="1"/>
    <col min="7" max="7" width="40.7109375" customWidth="1"/>
    <col min="8" max="8" width="21.85546875" customWidth="1"/>
    <col min="9" max="9" width="30.28515625" customWidth="1"/>
    <col min="10" max="10" width="28.7109375" customWidth="1"/>
    <col min="11" max="11" width="33.85546875" customWidth="1"/>
    <col min="12" max="12" width="32" customWidth="1"/>
    <col min="13" max="13" width="23.7109375" customWidth="1"/>
    <col min="14" max="14" width="40" customWidth="1"/>
    <col min="15" max="15" width="10.85546875" customWidth="1"/>
    <col min="16" max="16" width="12" customWidth="1"/>
    <col min="17" max="17" width="36.28515625" customWidth="1"/>
    <col min="18" max="18" width="5.7109375" customWidth="1"/>
  </cols>
  <sheetData>
    <row r="1" spans="1:22" s="26" customFormat="1" ht="19.899999999999999" customHeight="1" x14ac:dyDescent="0.3"/>
    <row r="2" spans="1:22" s="281" customFormat="1" ht="79.900000000000006" customHeight="1" x14ac:dyDescent="0.25">
      <c r="A2" s="297"/>
      <c r="C2" s="398" t="s">
        <v>484</v>
      </c>
      <c r="D2" s="280"/>
      <c r="E2" s="280"/>
      <c r="F2" s="280"/>
      <c r="G2" s="280"/>
      <c r="H2" s="280"/>
      <c r="I2" s="280"/>
      <c r="J2" s="280"/>
      <c r="K2" s="280"/>
      <c r="L2" s="280"/>
      <c r="M2" s="280"/>
      <c r="N2" s="280"/>
      <c r="O2" s="280"/>
      <c r="P2" s="280"/>
      <c r="Q2" s="280"/>
      <c r="R2" s="280"/>
      <c r="S2" s="280"/>
      <c r="T2" s="280"/>
      <c r="U2" s="280"/>
      <c r="V2" s="280"/>
    </row>
    <row r="3" spans="1:22" ht="19.899999999999999" customHeight="1" x14ac:dyDescent="0.25"/>
    <row r="4" spans="1:22" ht="49.9" customHeight="1" x14ac:dyDescent="0.25">
      <c r="G4" s="1366" t="s">
        <v>634</v>
      </c>
      <c r="H4" s="1367"/>
      <c r="I4" s="1367"/>
      <c r="J4" s="1367"/>
      <c r="K4" s="1367"/>
      <c r="L4" s="1367"/>
      <c r="M4" s="1368"/>
    </row>
    <row r="5" spans="1:22" ht="49.9" customHeight="1" x14ac:dyDescent="0.25">
      <c r="G5" s="1371" t="s">
        <v>1278</v>
      </c>
      <c r="H5" s="1371"/>
      <c r="I5" s="1378" t="s">
        <v>1279</v>
      </c>
      <c r="J5" s="1378"/>
      <c r="K5" s="1378"/>
      <c r="L5" s="1378"/>
      <c r="M5" s="1378"/>
    </row>
    <row r="6" spans="1:22" ht="73.900000000000006" customHeight="1" x14ac:dyDescent="0.25">
      <c r="C6" s="289"/>
      <c r="D6" s="56"/>
      <c r="E6" s="56"/>
      <c r="F6" s="56"/>
      <c r="G6" s="1371" t="s">
        <v>815</v>
      </c>
      <c r="H6" s="1371"/>
      <c r="I6" s="1378" t="s">
        <v>1231</v>
      </c>
      <c r="J6" s="1378"/>
      <c r="K6" s="1378"/>
      <c r="L6" s="1378"/>
      <c r="M6" s="1378"/>
    </row>
    <row r="7" spans="1:22" ht="107.45" customHeight="1" x14ac:dyDescent="0.25">
      <c r="G7" s="1372" t="s">
        <v>642</v>
      </c>
      <c r="H7" s="1371"/>
      <c r="I7" s="1373" t="s">
        <v>1025</v>
      </c>
      <c r="J7" s="1374"/>
      <c r="K7" s="1375"/>
      <c r="L7" s="1376" t="s">
        <v>1024</v>
      </c>
      <c r="M7" s="1377"/>
      <c r="R7" t="s">
        <v>481</v>
      </c>
      <c r="V7" s="46"/>
    </row>
    <row r="8" spans="1:22" ht="114.6" customHeight="1" x14ac:dyDescent="0.4">
      <c r="G8" s="1372" t="s">
        <v>1314</v>
      </c>
      <c r="H8" s="1371"/>
      <c r="I8" s="1373" t="s">
        <v>1315</v>
      </c>
      <c r="J8" s="1374"/>
      <c r="K8" s="1375"/>
      <c r="L8" s="1376" t="s">
        <v>81</v>
      </c>
      <c r="M8" s="1377"/>
      <c r="U8" s="702"/>
    </row>
    <row r="9" spans="1:22" ht="79.900000000000006" customHeight="1" x14ac:dyDescent="0.4">
      <c r="G9" s="1371" t="s">
        <v>828</v>
      </c>
      <c r="H9" s="1371"/>
      <c r="I9" s="1373" t="s">
        <v>1119</v>
      </c>
      <c r="J9" s="1374"/>
      <c r="K9" s="1374"/>
      <c r="L9" s="1379" t="s">
        <v>829</v>
      </c>
      <c r="M9" s="1377"/>
      <c r="U9" s="702"/>
    </row>
    <row r="10" spans="1:22" ht="79.900000000000006" customHeight="1" x14ac:dyDescent="0.4">
      <c r="H10" s="288"/>
      <c r="U10" s="702"/>
    </row>
    <row r="11" spans="1:22" ht="96.6" customHeight="1" x14ac:dyDescent="0.4">
      <c r="H11" s="288"/>
      <c r="U11" s="702"/>
    </row>
    <row r="12" spans="1:22" ht="15" customHeight="1" x14ac:dyDescent="0.25">
      <c r="B12" s="874"/>
      <c r="C12" s="290"/>
      <c r="D12" s="290"/>
      <c r="E12" s="290"/>
      <c r="F12" s="290"/>
      <c r="G12" s="290"/>
      <c r="H12" s="290"/>
      <c r="I12" s="290"/>
      <c r="J12" s="290"/>
      <c r="K12" s="290"/>
      <c r="L12" s="290"/>
      <c r="M12" s="290"/>
      <c r="N12" s="290"/>
      <c r="O12" s="290"/>
      <c r="P12" s="290"/>
      <c r="Q12" s="290"/>
      <c r="R12" s="285"/>
    </row>
    <row r="13" spans="1:22" ht="79.900000000000006" customHeight="1" x14ac:dyDescent="0.25">
      <c r="B13" s="875"/>
      <c r="C13" s="1369" t="s">
        <v>568</v>
      </c>
      <c r="D13" s="1369"/>
      <c r="E13" s="1369"/>
      <c r="F13" s="1369"/>
      <c r="G13" s="1369"/>
      <c r="H13" s="1369"/>
      <c r="I13" s="1369"/>
      <c r="J13" s="1369"/>
      <c r="K13" s="1369"/>
      <c r="L13" s="1369"/>
      <c r="M13" s="1369"/>
      <c r="N13" s="1369"/>
      <c r="O13" s="1369"/>
      <c r="P13" s="1369"/>
      <c r="Q13" s="864"/>
      <c r="R13" s="283"/>
    </row>
    <row r="14" spans="1:22" ht="19.899999999999999" customHeight="1" x14ac:dyDescent="0.25">
      <c r="B14" s="875"/>
      <c r="C14" s="289"/>
      <c r="D14" s="289"/>
      <c r="E14" s="289"/>
      <c r="F14" s="289"/>
      <c r="G14" s="289"/>
      <c r="H14" s="289"/>
      <c r="I14" s="289"/>
      <c r="J14" s="289"/>
      <c r="K14" s="289"/>
      <c r="L14" s="289"/>
      <c r="M14" s="289"/>
      <c r="N14" s="289"/>
      <c r="O14" s="289"/>
      <c r="P14" s="289"/>
      <c r="R14" s="283"/>
    </row>
    <row r="15" spans="1:22" ht="36" x14ac:dyDescent="0.25">
      <c r="B15" s="282"/>
      <c r="C15" s="884" t="s">
        <v>486</v>
      </c>
      <c r="D15" s="865"/>
      <c r="E15" s="865"/>
      <c r="F15" s="865"/>
      <c r="G15" s="865"/>
      <c r="H15" s="865"/>
      <c r="I15" s="865"/>
      <c r="J15" s="865"/>
      <c r="K15" s="865"/>
      <c r="L15" s="865"/>
      <c r="M15" s="865"/>
      <c r="N15" s="865"/>
      <c r="O15" s="865"/>
      <c r="P15" s="865"/>
      <c r="Q15" s="864"/>
      <c r="R15" s="283"/>
    </row>
    <row r="16" spans="1:22" ht="24" customHeight="1" x14ac:dyDescent="0.25">
      <c r="B16" s="282"/>
      <c r="C16" s="92"/>
      <c r="D16" s="92"/>
      <c r="E16" s="92"/>
      <c r="F16" s="92"/>
      <c r="G16" s="92"/>
      <c r="H16" s="54"/>
      <c r="I16" s="54"/>
      <c r="J16" s="207"/>
      <c r="K16" s="48"/>
      <c r="R16" s="283"/>
    </row>
    <row r="17" spans="2:18" ht="49.9" customHeight="1" x14ac:dyDescent="0.25">
      <c r="B17" s="282"/>
      <c r="C17" s="1362"/>
      <c r="D17" s="1362"/>
      <c r="E17" s="893"/>
      <c r="F17" s="893" t="s">
        <v>141</v>
      </c>
      <c r="G17" s="893"/>
      <c r="H17" s="1356" t="s">
        <v>1288</v>
      </c>
      <c r="I17" s="1356"/>
      <c r="J17" s="1356"/>
      <c r="K17" s="1356"/>
      <c r="L17" s="1356"/>
      <c r="M17" s="1357" t="s">
        <v>1289</v>
      </c>
      <c r="N17" s="1357"/>
      <c r="O17" s="1357"/>
      <c r="P17" s="1357"/>
      <c r="Q17" s="1357"/>
      <c r="R17" s="283"/>
    </row>
    <row r="18" spans="2:18" ht="117.6" customHeight="1" x14ac:dyDescent="0.25">
      <c r="B18" s="282"/>
      <c r="C18" s="1387" t="s">
        <v>1287</v>
      </c>
      <c r="D18" s="1388"/>
      <c r="E18" s="894" t="s">
        <v>1300</v>
      </c>
      <c r="F18" s="894" t="s">
        <v>1065</v>
      </c>
      <c r="G18" s="894" t="s">
        <v>1290</v>
      </c>
      <c r="H18" s="895" t="s">
        <v>3</v>
      </c>
      <c r="I18" s="1358" t="s">
        <v>711</v>
      </c>
      <c r="J18" s="1358"/>
      <c r="K18" s="1358" t="s">
        <v>623</v>
      </c>
      <c r="L18" s="1358"/>
      <c r="M18" s="895" t="s">
        <v>3</v>
      </c>
      <c r="N18" s="1358" t="s">
        <v>711</v>
      </c>
      <c r="O18" s="1358"/>
      <c r="P18" s="1358" t="s">
        <v>623</v>
      </c>
      <c r="Q18" s="1358"/>
      <c r="R18" s="283"/>
    </row>
    <row r="19" spans="2:18" ht="79.900000000000006" customHeight="1" x14ac:dyDescent="0.25">
      <c r="B19" s="282"/>
      <c r="C19" s="1363" t="s">
        <v>324</v>
      </c>
      <c r="D19" s="1363"/>
      <c r="E19" s="1101"/>
      <c r="F19" s="1101"/>
      <c r="G19" s="1160" t="s">
        <v>339</v>
      </c>
      <c r="H19" s="896" t="s">
        <v>1134</v>
      </c>
      <c r="I19" s="1359"/>
      <c r="J19" s="1359"/>
      <c r="K19" s="1359" t="s">
        <v>160</v>
      </c>
      <c r="L19" s="1359"/>
      <c r="M19" s="896" t="s">
        <v>1134</v>
      </c>
      <c r="N19" s="1364">
        <v>0</v>
      </c>
      <c r="O19" s="1365"/>
      <c r="P19" s="1364" t="s">
        <v>1286</v>
      </c>
      <c r="Q19" s="1365"/>
      <c r="R19" s="283"/>
    </row>
    <row r="20" spans="2:18" ht="79.900000000000006" customHeight="1" x14ac:dyDescent="0.35">
      <c r="B20" s="295"/>
      <c r="C20" s="1363" t="s">
        <v>320</v>
      </c>
      <c r="D20" s="1363"/>
      <c r="E20" s="1101"/>
      <c r="F20" s="1101"/>
      <c r="G20" s="1152" t="s">
        <v>146</v>
      </c>
      <c r="H20" s="896" t="s">
        <v>1134</v>
      </c>
      <c r="I20" s="1359"/>
      <c r="J20" s="1359"/>
      <c r="K20" s="1359" t="s">
        <v>160</v>
      </c>
      <c r="L20" s="1359"/>
      <c r="M20" s="896" t="s">
        <v>1134</v>
      </c>
      <c r="N20" s="1360"/>
      <c r="O20" s="1361"/>
      <c r="P20" s="1360" t="s">
        <v>160</v>
      </c>
      <c r="Q20" s="1361"/>
      <c r="R20" s="283"/>
    </row>
    <row r="21" spans="2:18" ht="79.900000000000006" customHeight="1" x14ac:dyDescent="0.35">
      <c r="B21" s="295"/>
      <c r="C21" s="1363" t="s">
        <v>327</v>
      </c>
      <c r="D21" s="1363"/>
      <c r="E21" s="1101"/>
      <c r="F21" s="1101"/>
      <c r="G21" s="1160" t="s">
        <v>339</v>
      </c>
      <c r="H21" s="896" t="s">
        <v>1134</v>
      </c>
      <c r="I21" s="1359"/>
      <c r="J21" s="1359"/>
      <c r="K21" s="1359" t="s">
        <v>160</v>
      </c>
      <c r="L21" s="1359"/>
      <c r="M21" s="896" t="s">
        <v>1134</v>
      </c>
      <c r="N21" s="1360"/>
      <c r="O21" s="1361"/>
      <c r="P21" s="1360" t="s">
        <v>160</v>
      </c>
      <c r="Q21" s="1361"/>
      <c r="R21" s="283"/>
    </row>
    <row r="22" spans="2:18" ht="79.900000000000006" customHeight="1" x14ac:dyDescent="0.35">
      <c r="B22" s="295"/>
      <c r="C22" s="1363" t="s">
        <v>337</v>
      </c>
      <c r="D22" s="1363"/>
      <c r="E22" s="1101"/>
      <c r="F22" s="1101"/>
      <c r="G22" s="1160" t="s">
        <v>339</v>
      </c>
      <c r="H22" s="896" t="s">
        <v>1134</v>
      </c>
      <c r="I22" s="1359"/>
      <c r="J22" s="1359"/>
      <c r="K22" s="1359" t="s">
        <v>160</v>
      </c>
      <c r="L22" s="1359"/>
      <c r="M22" s="896" t="s">
        <v>1134</v>
      </c>
      <c r="N22" s="1360"/>
      <c r="O22" s="1361"/>
      <c r="P22" s="1360" t="s">
        <v>160</v>
      </c>
      <c r="Q22" s="1361"/>
      <c r="R22" s="283"/>
    </row>
    <row r="23" spans="2:18" ht="24" customHeight="1" x14ac:dyDescent="0.35">
      <c r="B23" s="295"/>
      <c r="C23" s="867"/>
      <c r="D23" s="868"/>
      <c r="E23" s="869"/>
      <c r="F23" s="870"/>
      <c r="G23" s="870"/>
      <c r="H23" s="868"/>
      <c r="I23" s="869"/>
      <c r="J23" s="869"/>
      <c r="K23" s="870"/>
      <c r="L23" s="870"/>
      <c r="M23" s="871"/>
      <c r="N23" s="871"/>
      <c r="O23" s="871"/>
      <c r="P23" s="871"/>
      <c r="Q23" s="872"/>
      <c r="R23" s="283"/>
    </row>
    <row r="24" spans="2:18" ht="31.5" x14ac:dyDescent="0.35">
      <c r="B24" s="295"/>
      <c r="C24" s="865" t="s">
        <v>491</v>
      </c>
      <c r="D24" s="865"/>
      <c r="E24" s="865"/>
      <c r="F24" s="865"/>
      <c r="G24" s="865"/>
      <c r="H24" s="865"/>
      <c r="I24" s="865"/>
      <c r="J24" s="865"/>
      <c r="K24" s="865"/>
      <c r="L24" s="865"/>
      <c r="M24" s="865"/>
      <c r="N24" s="865"/>
      <c r="O24" s="865"/>
      <c r="P24" s="865"/>
      <c r="Q24" s="892"/>
      <c r="R24" s="283"/>
    </row>
    <row r="25" spans="2:18" ht="24" customHeight="1" x14ac:dyDescent="0.25">
      <c r="B25" s="282"/>
      <c r="C25" s="87"/>
      <c r="D25" s="88"/>
      <c r="E25" s="88"/>
      <c r="F25" s="88"/>
      <c r="G25" s="88"/>
      <c r="H25" s="54"/>
      <c r="I25" s="54"/>
      <c r="R25" s="283"/>
    </row>
    <row r="26" spans="2:18" ht="49.9" customHeight="1" x14ac:dyDescent="0.25">
      <c r="B26" s="282"/>
      <c r="C26" s="901"/>
      <c r="D26" s="1354" t="s">
        <v>671</v>
      </c>
      <c r="E26" s="1354"/>
      <c r="F26" s="1354"/>
      <c r="G26" s="1354"/>
      <c r="H26" s="1355" t="s">
        <v>673</v>
      </c>
      <c r="I26" s="1355"/>
      <c r="J26" s="1355"/>
      <c r="K26" s="1355"/>
      <c r="R26" s="283"/>
    </row>
    <row r="27" spans="2:18" ht="79.900000000000006" customHeight="1" x14ac:dyDescent="0.25">
      <c r="B27" s="282"/>
      <c r="C27" s="902" t="s">
        <v>1291</v>
      </c>
      <c r="D27" s="1162" t="s">
        <v>3</v>
      </c>
      <c r="E27" s="1163" t="s">
        <v>1030</v>
      </c>
      <c r="F27" s="1163" t="s">
        <v>1026</v>
      </c>
      <c r="G27" s="1163" t="s">
        <v>1027</v>
      </c>
      <c r="H27" s="1162" t="s">
        <v>3</v>
      </c>
      <c r="I27" s="1163" t="s">
        <v>504</v>
      </c>
      <c r="J27" s="1163" t="s">
        <v>1028</v>
      </c>
      <c r="K27" s="1163" t="s">
        <v>1029</v>
      </c>
      <c r="R27" s="283"/>
    </row>
    <row r="28" spans="2:18" ht="79.900000000000006" customHeight="1" x14ac:dyDescent="0.25">
      <c r="B28" s="282"/>
      <c r="C28" s="1150" t="s">
        <v>324</v>
      </c>
      <c r="D28" s="896" t="s">
        <v>681</v>
      </c>
      <c r="E28" s="1164">
        <f>IFERROR(F28-G28,"")</f>
        <v>0</v>
      </c>
      <c r="F28" s="1164">
        <f>IFERROR((E19*F19*N19)/1000,"")</f>
        <v>0</v>
      </c>
      <c r="G28" s="1164">
        <f>IFERROR((E19*F19*I19)/1000,"")</f>
        <v>0</v>
      </c>
      <c r="H28" s="896" t="s">
        <v>681</v>
      </c>
      <c r="I28" s="1164">
        <f>IFERROR(J28-K28,"")</f>
        <v>0</v>
      </c>
      <c r="J28" s="1164">
        <f>IFERROR((F28+((E19*F19*'Fatores de Emissão'!C54))/1000),"")</f>
        <v>0</v>
      </c>
      <c r="K28" s="1164">
        <f>IFERROR(G28+((E19*F19*'Fatores de Emissão'!$G$14)/1000),"")</f>
        <v>0</v>
      </c>
      <c r="R28" s="283"/>
    </row>
    <row r="29" spans="2:18" ht="70.150000000000006" customHeight="1" x14ac:dyDescent="0.25">
      <c r="B29" s="282"/>
      <c r="C29" s="1150" t="s">
        <v>320</v>
      </c>
      <c r="D29" s="896" t="s">
        <v>681</v>
      </c>
      <c r="E29" s="1164">
        <f>IFERROR(F29-G29,"")</f>
        <v>0</v>
      </c>
      <c r="F29" s="1164">
        <f>IFERROR((E20*F20*N20)/1000,"")</f>
        <v>0</v>
      </c>
      <c r="G29" s="1164">
        <f>IFERROR((E20*F20*I20)/1000,"")</f>
        <v>0</v>
      </c>
      <c r="H29" s="896" t="s">
        <v>681</v>
      </c>
      <c r="I29" s="1164">
        <f>IFERROR(J29-K29,"")</f>
        <v>0</v>
      </c>
      <c r="J29" s="1164">
        <f>IFERROR((F29+((E20*F20*'Fatores de Emissão'!G14)/1000)),"")</f>
        <v>0</v>
      </c>
      <c r="K29" s="1164">
        <f>IFERROR(IF(G20=FAListas!C68,G29+((E20*F20*'Fatores de Emissão'!$G$14)/1000),IF('IC_todos os projetos'!G20=FAListas!C69,G29+((E20*F20*'Fatores de Emissão'!$C$54)/1000),IF(G20=FAListas!C67,0,""))),"")</f>
        <v>0</v>
      </c>
      <c r="R29" s="283"/>
    </row>
    <row r="30" spans="2:18" ht="70.150000000000006" customHeight="1" x14ac:dyDescent="0.25">
      <c r="B30" s="282"/>
      <c r="C30" s="1150" t="s">
        <v>327</v>
      </c>
      <c r="D30" s="896" t="s">
        <v>681</v>
      </c>
      <c r="E30" s="1164">
        <f>IFERROR(F30-G30,"")</f>
        <v>0</v>
      </c>
      <c r="F30" s="1164">
        <f>IFERROR((E21*F21*N21)/1000,"")</f>
        <v>0</v>
      </c>
      <c r="G30" s="1164">
        <f>IFERROR((E21*F21*I21)/1000,"")</f>
        <v>0</v>
      </c>
      <c r="H30" s="896" t="s">
        <v>681</v>
      </c>
      <c r="I30" s="1164">
        <f>IFERROR(J30-K30,"")</f>
        <v>0</v>
      </c>
      <c r="J30" s="1164">
        <f>IFERROR((F30+((E21*F21*'Fatores de Emissão'!$G$13))/1000),"")</f>
        <v>0</v>
      </c>
      <c r="K30" s="1164">
        <f>IFERROR((G30+((E21*F21*'Fatores de Emissão'!$G$13))/1000),"")</f>
        <v>0</v>
      </c>
      <c r="R30" s="283"/>
    </row>
    <row r="31" spans="2:18" ht="70.150000000000006" customHeight="1" x14ac:dyDescent="0.25">
      <c r="B31" s="282"/>
      <c r="C31" s="1150" t="s">
        <v>337</v>
      </c>
      <c r="D31" s="896" t="s">
        <v>681</v>
      </c>
      <c r="E31" s="1164">
        <f>IFERROR(F31-G31,"")</f>
        <v>0</v>
      </c>
      <c r="F31" s="1164">
        <f>IFERROR((E22*F22*N22)/1000,"")</f>
        <v>0</v>
      </c>
      <c r="G31" s="1164">
        <f>IFERROR((E22*F22*I22)/1000,"")</f>
        <v>0</v>
      </c>
      <c r="H31" s="896" t="s">
        <v>681</v>
      </c>
      <c r="I31" s="1164">
        <f>IFERROR(J31-K31,"")</f>
        <v>0</v>
      </c>
      <c r="J31" s="1164">
        <f>IFERROR(F31+((E22*F22*'Fatores de Emissão'!$G$11)/1000),"")</f>
        <v>0</v>
      </c>
      <c r="K31" s="1164">
        <f>IFERROR((G31+((E22*F22*'Fatores de Emissão'!$G$11))/1000),"")</f>
        <v>0</v>
      </c>
      <c r="R31" s="283"/>
    </row>
    <row r="32" spans="2:18" ht="19.899999999999999" customHeight="1" x14ac:dyDescent="0.25">
      <c r="B32" s="282"/>
      <c r="C32" s="873"/>
      <c r="D32" s="307"/>
      <c r="E32" s="1165"/>
      <c r="F32" s="1165"/>
      <c r="G32" s="1165"/>
      <c r="H32" s="307"/>
      <c r="I32" s="1165"/>
      <c r="J32" s="1165"/>
      <c r="K32" s="1165"/>
      <c r="R32" s="283"/>
    </row>
    <row r="33" spans="1:18" ht="60" customHeight="1" x14ac:dyDescent="0.25">
      <c r="B33" s="282"/>
      <c r="C33" s="905" t="s">
        <v>710</v>
      </c>
      <c r="D33" s="896" t="s">
        <v>681</v>
      </c>
      <c r="E33" s="899">
        <f>IFERROR(F33-G33,"")</f>
        <v>0</v>
      </c>
      <c r="F33" s="903">
        <f>IFERROR(SUM(F28:F31),"")</f>
        <v>0</v>
      </c>
      <c r="G33" s="904">
        <f>IFERROR(SUM(G28:G31),"")</f>
        <v>0</v>
      </c>
      <c r="H33" s="896" t="s">
        <v>681</v>
      </c>
      <c r="I33" s="899">
        <f>IFERROR(J33-K33,"")</f>
        <v>0</v>
      </c>
      <c r="J33" s="903">
        <f>IFERROR(SUM(J28:J31),"")</f>
        <v>0</v>
      </c>
      <c r="K33" s="904">
        <f>IFERROR(SUM(K28:K31),"")</f>
        <v>0</v>
      </c>
      <c r="R33" s="283"/>
    </row>
    <row r="34" spans="1:18" ht="60" customHeight="1" x14ac:dyDescent="0.25">
      <c r="B34" s="282"/>
      <c r="C34" s="905" t="s">
        <v>707</v>
      </c>
      <c r="D34" s="896" t="s">
        <v>681</v>
      </c>
      <c r="E34" s="899">
        <f>-E33</f>
        <v>0</v>
      </c>
      <c r="F34" s="1166"/>
      <c r="G34" s="1167"/>
      <c r="H34" s="1167"/>
      <c r="I34" s="1167"/>
      <c r="J34" s="1167"/>
      <c r="K34" s="1168"/>
      <c r="R34" s="283"/>
    </row>
    <row r="35" spans="1:18" ht="15" customHeight="1" x14ac:dyDescent="0.25">
      <c r="B35" s="467"/>
      <c r="C35" s="876"/>
      <c r="D35" s="877"/>
      <c r="E35" s="878"/>
      <c r="F35" s="878"/>
      <c r="G35" s="878"/>
      <c r="H35" s="879"/>
      <c r="I35" s="878"/>
      <c r="J35" s="878"/>
      <c r="K35" s="878"/>
      <c r="L35" s="880"/>
      <c r="M35" s="880"/>
      <c r="N35" s="880"/>
      <c r="O35" s="880"/>
      <c r="P35" s="880"/>
      <c r="Q35" s="880"/>
      <c r="R35" s="881"/>
    </row>
    <row r="36" spans="1:18" ht="70.150000000000006" customHeight="1" x14ac:dyDescent="0.25">
      <c r="C36" s="861"/>
      <c r="D36" s="307"/>
      <c r="E36" s="862"/>
      <c r="F36" s="862"/>
      <c r="G36" s="862"/>
      <c r="H36" s="863"/>
      <c r="I36" s="862"/>
      <c r="J36" s="862"/>
      <c r="K36" s="862"/>
    </row>
    <row r="37" spans="1:18" ht="15" customHeight="1" x14ac:dyDescent="0.25">
      <c r="B37" s="874"/>
      <c r="C37" s="290"/>
      <c r="D37" s="290"/>
      <c r="E37" s="290"/>
      <c r="F37" s="290"/>
      <c r="G37" s="290"/>
      <c r="H37" s="290"/>
      <c r="I37" s="290"/>
      <c r="J37" s="290"/>
      <c r="K37" s="290"/>
      <c r="L37" s="290"/>
      <c r="M37" s="290"/>
      <c r="N37" s="290"/>
      <c r="O37" s="290"/>
      <c r="P37" s="290"/>
      <c r="Q37" s="290"/>
      <c r="R37" s="285"/>
    </row>
    <row r="38" spans="1:18" ht="79.900000000000006" customHeight="1" x14ac:dyDescent="0.25">
      <c r="A38" s="282"/>
      <c r="B38" s="875"/>
      <c r="C38" s="1369" t="s">
        <v>690</v>
      </c>
      <c r="D38" s="1369"/>
      <c r="E38" s="1369"/>
      <c r="F38" s="1369"/>
      <c r="G38" s="1369"/>
      <c r="H38" s="1369"/>
      <c r="I38" s="1369"/>
      <c r="J38" s="1369"/>
      <c r="K38" s="1369"/>
      <c r="L38" s="1369"/>
      <c r="M38" s="1369"/>
      <c r="N38" s="1369"/>
      <c r="O38" s="1369"/>
      <c r="P38" s="1369"/>
      <c r="Q38" s="1369"/>
      <c r="R38" s="283"/>
    </row>
    <row r="39" spans="1:18" ht="30" customHeight="1" x14ac:dyDescent="0.3">
      <c r="A39" s="282"/>
      <c r="B39" s="282"/>
      <c r="C39" s="1381"/>
      <c r="D39" s="1381"/>
      <c r="E39" s="1381"/>
      <c r="F39" s="882"/>
      <c r="G39" s="882"/>
      <c r="H39" s="54"/>
      <c r="I39" s="54"/>
      <c r="J39" s="883"/>
      <c r="K39" s="55"/>
      <c r="R39" s="283"/>
    </row>
    <row r="40" spans="1:18" ht="36" x14ac:dyDescent="0.25">
      <c r="A40" s="282"/>
      <c r="B40" s="282"/>
      <c r="C40" s="884" t="s">
        <v>506</v>
      </c>
      <c r="D40" s="865"/>
      <c r="E40" s="865"/>
      <c r="F40" s="865"/>
      <c r="G40" s="865"/>
      <c r="H40" s="865"/>
      <c r="I40" s="865"/>
      <c r="J40" s="865"/>
      <c r="K40" s="865"/>
      <c r="L40" s="865"/>
      <c r="M40" s="865"/>
      <c r="N40" s="1370"/>
      <c r="O40" s="1370"/>
      <c r="P40" s="1370"/>
      <c r="Q40" s="1370"/>
      <c r="R40" s="283"/>
    </row>
    <row r="41" spans="1:18" ht="24" customHeight="1" x14ac:dyDescent="0.25">
      <c r="A41" s="282"/>
      <c r="B41" s="282"/>
      <c r="C41" s="92"/>
      <c r="D41" s="92"/>
      <c r="E41" s="92"/>
      <c r="F41" s="92"/>
      <c r="G41" s="92"/>
      <c r="H41" s="54"/>
      <c r="I41" s="54"/>
      <c r="J41" s="207"/>
      <c r="K41" s="48"/>
      <c r="R41" s="283"/>
    </row>
    <row r="42" spans="1:18" ht="49.9" customHeight="1" x14ac:dyDescent="0.25">
      <c r="A42" s="282"/>
      <c r="B42" s="282"/>
      <c r="C42" s="1362"/>
      <c r="D42" s="1362"/>
      <c r="E42" s="893"/>
      <c r="F42" s="893" t="s">
        <v>141</v>
      </c>
      <c r="G42" s="893"/>
      <c r="H42" s="1356" t="s">
        <v>1288</v>
      </c>
      <c r="I42" s="1356"/>
      <c r="J42" s="1356"/>
      <c r="K42" s="1356"/>
      <c r="L42" s="1356"/>
      <c r="M42" s="1357" t="s">
        <v>1289</v>
      </c>
      <c r="N42" s="1357"/>
      <c r="O42" s="1357"/>
      <c r="P42" s="1357"/>
      <c r="Q42" s="1357"/>
      <c r="R42" s="283"/>
    </row>
    <row r="43" spans="1:18" ht="105.6" customHeight="1" x14ac:dyDescent="0.25">
      <c r="A43" s="282"/>
      <c r="B43" s="282"/>
      <c r="C43" s="1387" t="s">
        <v>1292</v>
      </c>
      <c r="D43" s="1388"/>
      <c r="E43" s="894" t="s">
        <v>1299</v>
      </c>
      <c r="F43" s="894" t="s">
        <v>315</v>
      </c>
      <c r="G43" s="894" t="s">
        <v>1290</v>
      </c>
      <c r="H43" s="895" t="s">
        <v>3</v>
      </c>
      <c r="I43" s="1358" t="s">
        <v>711</v>
      </c>
      <c r="J43" s="1358"/>
      <c r="K43" s="1358" t="s">
        <v>623</v>
      </c>
      <c r="L43" s="1358"/>
      <c r="M43" s="895" t="s">
        <v>3</v>
      </c>
      <c r="N43" s="1358" t="s">
        <v>711</v>
      </c>
      <c r="O43" s="1358"/>
      <c r="P43" s="1358" t="s">
        <v>1268</v>
      </c>
      <c r="Q43" s="1358"/>
      <c r="R43" s="283"/>
    </row>
    <row r="44" spans="1:18" s="296" customFormat="1" ht="79.900000000000006" customHeight="1" x14ac:dyDescent="0.35">
      <c r="A44" s="295"/>
      <c r="B44" s="295"/>
      <c r="C44" s="1382" t="s">
        <v>1066</v>
      </c>
      <c r="D44" s="1383"/>
      <c r="E44" s="1101"/>
      <c r="F44" s="1101"/>
      <c r="G44" s="1152" t="s">
        <v>146</v>
      </c>
      <c r="H44" s="896" t="s">
        <v>1134</v>
      </c>
      <c r="I44" s="1360"/>
      <c r="J44" s="1361"/>
      <c r="K44" s="1360" t="s">
        <v>160</v>
      </c>
      <c r="L44" s="1361"/>
      <c r="M44" s="896" t="s">
        <v>1134</v>
      </c>
      <c r="N44" s="1359"/>
      <c r="O44" s="1359"/>
      <c r="P44" s="1360" t="s">
        <v>160</v>
      </c>
      <c r="Q44" s="1361"/>
      <c r="R44" s="886"/>
    </row>
    <row r="45" spans="1:18" s="296" customFormat="1" ht="79.900000000000006" customHeight="1" x14ac:dyDescent="0.35">
      <c r="A45" s="295"/>
      <c r="B45" s="295"/>
      <c r="C45" s="1382" t="s">
        <v>1067</v>
      </c>
      <c r="D45" s="1383"/>
      <c r="E45" s="1101"/>
      <c r="F45" s="1101"/>
      <c r="G45" s="1152" t="s">
        <v>146</v>
      </c>
      <c r="H45" s="896" t="s">
        <v>1134</v>
      </c>
      <c r="I45" s="1360"/>
      <c r="J45" s="1361"/>
      <c r="K45" s="1359" t="s">
        <v>160</v>
      </c>
      <c r="L45" s="1359"/>
      <c r="M45" s="896" t="s">
        <v>1134</v>
      </c>
      <c r="N45" s="1360"/>
      <c r="O45" s="1361"/>
      <c r="P45" s="1359" t="s">
        <v>160</v>
      </c>
      <c r="Q45" s="1359"/>
      <c r="R45" s="1380"/>
    </row>
    <row r="46" spans="1:18" s="296" customFormat="1" ht="79.900000000000006" customHeight="1" x14ac:dyDescent="0.35">
      <c r="A46" s="295"/>
      <c r="B46" s="295"/>
      <c r="C46" s="1382" t="s">
        <v>1068</v>
      </c>
      <c r="D46" s="1383"/>
      <c r="E46" s="1101"/>
      <c r="F46" s="1101"/>
      <c r="G46" s="1152" t="s">
        <v>146</v>
      </c>
      <c r="H46" s="896" t="s">
        <v>1134</v>
      </c>
      <c r="I46" s="1360"/>
      <c r="J46" s="1361"/>
      <c r="K46" s="1359" t="s">
        <v>160</v>
      </c>
      <c r="L46" s="1359"/>
      <c r="M46" s="896" t="s">
        <v>1134</v>
      </c>
      <c r="N46" s="1359"/>
      <c r="O46" s="1359"/>
      <c r="P46" s="1359" t="s">
        <v>160</v>
      </c>
      <c r="Q46" s="1359"/>
      <c r="R46" s="1380"/>
    </row>
    <row r="47" spans="1:18" s="296" customFormat="1" ht="79.900000000000006" customHeight="1" x14ac:dyDescent="0.35">
      <c r="A47" s="295"/>
      <c r="B47" s="295"/>
      <c r="C47" s="1382" t="s">
        <v>1070</v>
      </c>
      <c r="D47" s="1383"/>
      <c r="E47" s="1101"/>
      <c r="F47" s="1101"/>
      <c r="G47" s="1152" t="s">
        <v>146</v>
      </c>
      <c r="H47" s="896" t="s">
        <v>1134</v>
      </c>
      <c r="I47" s="1360"/>
      <c r="J47" s="1361"/>
      <c r="K47" s="1359" t="s">
        <v>160</v>
      </c>
      <c r="L47" s="1359"/>
      <c r="M47" s="896" t="s">
        <v>1134</v>
      </c>
      <c r="N47" s="1359"/>
      <c r="O47" s="1359"/>
      <c r="P47" s="1359" t="s">
        <v>160</v>
      </c>
      <c r="Q47" s="1359"/>
      <c r="R47" s="1380"/>
    </row>
    <row r="48" spans="1:18" s="296" customFormat="1" ht="79.900000000000006" customHeight="1" x14ac:dyDescent="0.35">
      <c r="A48" s="295"/>
      <c r="B48" s="295"/>
      <c r="C48" s="1382" t="s">
        <v>1069</v>
      </c>
      <c r="D48" s="1383"/>
      <c r="E48" s="1101"/>
      <c r="F48" s="1101"/>
      <c r="G48" s="1152" t="s">
        <v>146</v>
      </c>
      <c r="H48" s="896" t="s">
        <v>1134</v>
      </c>
      <c r="I48" s="1360"/>
      <c r="J48" s="1361"/>
      <c r="K48" s="1359" t="s">
        <v>160</v>
      </c>
      <c r="L48" s="1359"/>
      <c r="M48" s="896" t="s">
        <v>1134</v>
      </c>
      <c r="N48" s="1359"/>
      <c r="O48" s="1359"/>
      <c r="P48" s="1359" t="s">
        <v>160</v>
      </c>
      <c r="Q48" s="1359"/>
      <c r="R48" s="887"/>
    </row>
    <row r="49" spans="1:18" s="296" customFormat="1" ht="79.900000000000006" customHeight="1" x14ac:dyDescent="0.35">
      <c r="A49" s="295"/>
      <c r="B49" s="295"/>
      <c r="C49" s="1382" t="s">
        <v>1071</v>
      </c>
      <c r="D49" s="1383"/>
      <c r="E49" s="1101"/>
      <c r="F49" s="1101"/>
      <c r="G49" s="1152" t="s">
        <v>146</v>
      </c>
      <c r="H49" s="896" t="s">
        <v>1134</v>
      </c>
      <c r="I49" s="1360"/>
      <c r="J49" s="1361"/>
      <c r="K49" s="1359" t="s">
        <v>160</v>
      </c>
      <c r="L49" s="1359"/>
      <c r="M49" s="896" t="s">
        <v>1134</v>
      </c>
      <c r="N49" s="1359"/>
      <c r="O49" s="1359"/>
      <c r="P49" s="1359" t="s">
        <v>160</v>
      </c>
      <c r="Q49" s="1359"/>
      <c r="R49" s="887"/>
    </row>
    <row r="50" spans="1:18" s="296" customFormat="1" ht="24" customHeight="1" x14ac:dyDescent="0.35">
      <c r="B50" s="295"/>
      <c r="C50" s="867"/>
      <c r="D50" s="868"/>
      <c r="E50" s="869"/>
      <c r="F50" s="870"/>
      <c r="G50" s="870"/>
      <c r="H50" s="868"/>
      <c r="I50" s="869"/>
      <c r="J50" s="869"/>
      <c r="K50" s="870"/>
      <c r="L50" s="870"/>
      <c r="M50" s="871"/>
      <c r="N50" s="871"/>
      <c r="O50" s="871"/>
      <c r="P50" s="871"/>
      <c r="Q50" s="872"/>
      <c r="R50" s="887"/>
    </row>
    <row r="51" spans="1:18" s="296" customFormat="1" ht="36" x14ac:dyDescent="0.35">
      <c r="B51" s="295"/>
      <c r="C51" s="884" t="s">
        <v>510</v>
      </c>
      <c r="D51" s="865"/>
      <c r="E51" s="865"/>
      <c r="F51" s="865"/>
      <c r="G51" s="865"/>
      <c r="H51" s="865"/>
      <c r="I51" s="865"/>
      <c r="J51" s="865"/>
      <c r="K51" s="865"/>
      <c r="L51" s="865"/>
      <c r="M51" s="865"/>
      <c r="N51" s="865"/>
      <c r="O51" s="865"/>
      <c r="P51" s="1370"/>
      <c r="Q51" s="1370"/>
      <c r="R51" s="887"/>
    </row>
    <row r="52" spans="1:18" ht="24" customHeight="1" x14ac:dyDescent="0.25">
      <c r="B52" s="282"/>
      <c r="C52" s="87"/>
      <c r="D52" s="88"/>
      <c r="E52" s="88"/>
      <c r="F52" s="88"/>
      <c r="G52" s="88"/>
      <c r="H52" s="54"/>
      <c r="I52" s="54"/>
      <c r="R52" s="283"/>
    </row>
    <row r="53" spans="1:18" ht="49.9" customHeight="1" x14ac:dyDescent="0.25">
      <c r="B53" s="282"/>
      <c r="C53" s="901"/>
      <c r="D53" s="1354" t="s">
        <v>671</v>
      </c>
      <c r="E53" s="1354"/>
      <c r="F53" s="1354"/>
      <c r="G53" s="1354"/>
      <c r="H53" s="1355" t="s">
        <v>673</v>
      </c>
      <c r="I53" s="1355"/>
      <c r="J53" s="1355"/>
      <c r="K53" s="1355"/>
      <c r="R53" s="283"/>
    </row>
    <row r="54" spans="1:18" ht="79.900000000000006" customHeight="1" x14ac:dyDescent="0.25">
      <c r="B54" s="282"/>
      <c r="C54" s="1161" t="s">
        <v>708</v>
      </c>
      <c r="D54" s="1162" t="s">
        <v>3</v>
      </c>
      <c r="E54" s="1163" t="s">
        <v>1030</v>
      </c>
      <c r="F54" s="1163" t="s">
        <v>1026</v>
      </c>
      <c r="G54" s="1163" t="s">
        <v>1027</v>
      </c>
      <c r="H54" s="1162" t="s">
        <v>3</v>
      </c>
      <c r="I54" s="1163" t="s">
        <v>504</v>
      </c>
      <c r="J54" s="1163" t="s">
        <v>1028</v>
      </c>
      <c r="K54" s="1163" t="s">
        <v>1029</v>
      </c>
      <c r="R54" s="283"/>
    </row>
    <row r="55" spans="1:18" ht="70.150000000000006" customHeight="1" x14ac:dyDescent="0.25">
      <c r="B55" s="282"/>
      <c r="C55" s="1172" t="s">
        <v>1066</v>
      </c>
      <c r="D55" s="896" t="s">
        <v>681</v>
      </c>
      <c r="E55" s="1164">
        <f t="shared" ref="E55:E60" si="0">IFERROR(F55-G55,"")</f>
        <v>0</v>
      </c>
      <c r="F55" s="1164">
        <f t="shared" ref="F55:F60" si="1">IFERROR((E44*F44*N44)/1000,"")</f>
        <v>0</v>
      </c>
      <c r="G55" s="1164">
        <f t="shared" ref="G55:G60" si="2">IFERROR((E44*F44*I44)/1000,"")</f>
        <v>0</v>
      </c>
      <c r="H55" s="896" t="s">
        <v>681</v>
      </c>
      <c r="I55" s="1164">
        <f t="shared" ref="I55:I60" si="3">IFERROR(J55-K55,"")</f>
        <v>0</v>
      </c>
      <c r="J55" s="1164">
        <f>IFERROR((F55+(E44*F44*'Fatores de Emissão'!G15))/1000,"")</f>
        <v>0</v>
      </c>
      <c r="K55" s="1164">
        <f>IFERROR(IF(G$44=FAListas!C$65,G55+((E$44*F$44*'Fatores de Emissão'!$G$15)/1000),IF(G$44=FAListas!C$66, G55+((E44*F44*'Fatores de Emissão'!I71)/1000),IF(G$44=FAListas!C$64,0,""))),"")</f>
        <v>0</v>
      </c>
      <c r="R55" s="283"/>
    </row>
    <row r="56" spans="1:18" ht="70.150000000000006" customHeight="1" x14ac:dyDescent="0.25">
      <c r="B56" s="282"/>
      <c r="C56" s="1172" t="s">
        <v>1067</v>
      </c>
      <c r="D56" s="896" t="s">
        <v>681</v>
      </c>
      <c r="E56" s="1164">
        <f t="shared" si="0"/>
        <v>0</v>
      </c>
      <c r="F56" s="1164">
        <f t="shared" si="1"/>
        <v>0</v>
      </c>
      <c r="G56" s="1164">
        <f t="shared" si="2"/>
        <v>0</v>
      </c>
      <c r="H56" s="896" t="s">
        <v>681</v>
      </c>
      <c r="I56" s="1164">
        <f t="shared" si="3"/>
        <v>0</v>
      </c>
      <c r="J56" s="1164">
        <f>IFERROR((F56+(E45*F45*'Fatores de Emissão'!I71))/1000,"")</f>
        <v>0</v>
      </c>
      <c r="K56" s="1164">
        <f>IFERROR(IF(G45=FAListas!C$65,G56+((E45*F45*'Fatores de Emissão'!$G$15)/1000),IF(G45=FAListas!C$66, G56+((E45*F45*'Fatores de Emissão'!I71)/1000),IF(G$45=FAListas!C$64,0,""))),"")</f>
        <v>0</v>
      </c>
      <c r="R56" s="283"/>
    </row>
    <row r="57" spans="1:18" ht="70.150000000000006" customHeight="1" x14ac:dyDescent="0.25">
      <c r="B57" s="282"/>
      <c r="C57" s="1172" t="s">
        <v>1068</v>
      </c>
      <c r="D57" s="896" t="s">
        <v>681</v>
      </c>
      <c r="E57" s="1164">
        <f t="shared" si="0"/>
        <v>0</v>
      </c>
      <c r="F57" s="1164">
        <f t="shared" si="1"/>
        <v>0</v>
      </c>
      <c r="G57" s="1164">
        <f t="shared" si="2"/>
        <v>0</v>
      </c>
      <c r="H57" s="896" t="s">
        <v>681</v>
      </c>
      <c r="I57" s="1164">
        <f t="shared" si="3"/>
        <v>0</v>
      </c>
      <c r="J57" s="1164">
        <f>IFERROR((F57+(E46*F46*'Fatores de Emissão'!G20))/1000,"")</f>
        <v>0</v>
      </c>
      <c r="K57" s="1164">
        <f>IFERROR(IF(G46=FAListas!C$65,G57+((E46*F46*'Fatores de Emissão'!$G$20)/1000),IF(G46=FAListas!C$66, (G57+(E46*F46*'Fatores de Emissão'!I61)/1000),IF(G$46=FAListas!C$64,0,""))),"")</f>
        <v>0</v>
      </c>
      <c r="R57" s="283"/>
    </row>
    <row r="58" spans="1:18" ht="70.150000000000006" customHeight="1" x14ac:dyDescent="0.25">
      <c r="B58" s="282"/>
      <c r="C58" s="1172" t="s">
        <v>1070</v>
      </c>
      <c r="D58" s="896" t="s">
        <v>681</v>
      </c>
      <c r="E58" s="1164">
        <f t="shared" si="0"/>
        <v>0</v>
      </c>
      <c r="F58" s="1164">
        <f t="shared" si="1"/>
        <v>0</v>
      </c>
      <c r="G58" s="1164">
        <f t="shared" si="2"/>
        <v>0</v>
      </c>
      <c r="H58" s="896" t="s">
        <v>681</v>
      </c>
      <c r="I58" s="1164">
        <f t="shared" si="3"/>
        <v>0</v>
      </c>
      <c r="J58" s="1164">
        <f>IFERROR((F58+(E47*F47*'Fatores de Emissão'!I61))/1000,"")</f>
        <v>0</v>
      </c>
      <c r="K58" s="1164">
        <f>IFERROR(IF(G47=FAListas!C$65,G58+((E47*F47*'Fatores de Emissão'!$G$20)/1000),IF(G47=FAListas!C$66, G58+((E47*F47*'Fatores de Emissão'!I61)/1000),IF(G$47=FAListas!C$64,0,""))),"")</f>
        <v>0</v>
      </c>
      <c r="R58" s="283"/>
    </row>
    <row r="59" spans="1:18" ht="75" customHeight="1" x14ac:dyDescent="0.25">
      <c r="B59" s="282"/>
      <c r="C59" s="1172" t="s">
        <v>1069</v>
      </c>
      <c r="D59" s="896" t="s">
        <v>681</v>
      </c>
      <c r="E59" s="1164">
        <f t="shared" si="0"/>
        <v>0</v>
      </c>
      <c r="F59" s="1164">
        <f t="shared" si="1"/>
        <v>0</v>
      </c>
      <c r="G59" s="1164">
        <f t="shared" si="2"/>
        <v>0</v>
      </c>
      <c r="H59" s="896" t="s">
        <v>681</v>
      </c>
      <c r="I59" s="1164">
        <f t="shared" si="3"/>
        <v>0</v>
      </c>
      <c r="J59" s="1164">
        <f>IFERROR((F59+(E48*F48*'Fatores de Emissão'!G30))/1000,"")</f>
        <v>0</v>
      </c>
      <c r="K59" s="1164">
        <f>IFERROR(IF(G48=FAListas!C$65,G59+((E48*F48*'Fatores de Emissão'!$G$30)/1000),IF(G48=FAListas!C$66, G59+((E48*F48*'Fatores de Emissão'!I83*22)/1000),IF(G$44=FAListas!C$64,0,""))),"")</f>
        <v>0</v>
      </c>
      <c r="R59" s="283"/>
    </row>
    <row r="60" spans="1:18" ht="75" customHeight="1" x14ac:dyDescent="0.25">
      <c r="B60" s="282"/>
      <c r="C60" s="1172" t="s">
        <v>1071</v>
      </c>
      <c r="D60" s="896" t="s">
        <v>681</v>
      </c>
      <c r="E60" s="1164">
        <f t="shared" si="0"/>
        <v>0</v>
      </c>
      <c r="F60" s="1164">
        <f t="shared" si="1"/>
        <v>0</v>
      </c>
      <c r="G60" s="1164">
        <f t="shared" si="2"/>
        <v>0</v>
      </c>
      <c r="H60" s="896" t="s">
        <v>681</v>
      </c>
      <c r="I60" s="1164">
        <f t="shared" si="3"/>
        <v>0</v>
      </c>
      <c r="J60" s="1164">
        <f>IFERROR((F60+(E49*F49*'Fatores de Emissão'!I83*22))/1000,"")</f>
        <v>0</v>
      </c>
      <c r="K60" s="1164">
        <f>IFERROR(IF(G49=FAListas!C$65,G60+((E49*F49*'Fatores de Emissão'!$G$30)/1000),IF(G49=FAListas!C$66, G60+((E49*F49*'Fatores de Emissão'!I83*22)/1000),IF(G$44=FAListas!C$64,0,""))),"")</f>
        <v>0</v>
      </c>
      <c r="R60" s="283"/>
    </row>
    <row r="61" spans="1:18" ht="19.899999999999999" customHeight="1" x14ac:dyDescent="0.25">
      <c r="B61" s="282"/>
      <c r="C61" s="873"/>
      <c r="D61" s="307"/>
      <c r="E61" s="885"/>
      <c r="F61" s="885"/>
      <c r="G61" s="885"/>
      <c r="H61" s="602"/>
      <c r="I61" s="885"/>
      <c r="J61" s="885"/>
      <c r="K61" s="885"/>
      <c r="R61" s="283"/>
    </row>
    <row r="62" spans="1:18" ht="70.150000000000006" customHeight="1" x14ac:dyDescent="0.25">
      <c r="B62" s="282"/>
      <c r="C62" s="905" t="s">
        <v>710</v>
      </c>
      <c r="D62" s="896" t="s">
        <v>681</v>
      </c>
      <c r="E62" s="899">
        <f>IFERROR(F62-G62,"")</f>
        <v>0</v>
      </c>
      <c r="F62" s="903">
        <f>IFERROR(SUM(F55:F60),"")</f>
        <v>0</v>
      </c>
      <c r="G62" s="904">
        <f>IFERROR(SUM(G55:G60),"")</f>
        <v>0</v>
      </c>
      <c r="H62" s="900" t="s">
        <v>681</v>
      </c>
      <c r="I62" s="899">
        <f>IFERROR(J62-K62,"")</f>
        <v>0</v>
      </c>
      <c r="J62" s="903">
        <f>IFERROR(SUM(J55:J60),"")</f>
        <v>0</v>
      </c>
      <c r="K62" s="904">
        <f>IFERROR(SUM(K55:K60),"")</f>
        <v>0</v>
      </c>
      <c r="R62" s="283"/>
    </row>
    <row r="63" spans="1:18" ht="70.150000000000006" customHeight="1" x14ac:dyDescent="0.25">
      <c r="B63" s="282"/>
      <c r="C63" s="905" t="s">
        <v>707</v>
      </c>
      <c r="D63" s="896" t="s">
        <v>681</v>
      </c>
      <c r="E63" s="899">
        <f>-E62</f>
        <v>0</v>
      </c>
      <c r="F63" s="1402"/>
      <c r="G63" s="1403"/>
      <c r="H63" s="1403"/>
      <c r="I63" s="1403"/>
      <c r="J63" s="1403"/>
      <c r="K63" s="1404"/>
      <c r="R63" s="283"/>
    </row>
    <row r="64" spans="1:18" ht="19.899999999999999" customHeight="1" x14ac:dyDescent="0.25">
      <c r="B64" s="467"/>
      <c r="C64" s="880"/>
      <c r="D64" s="880"/>
      <c r="E64" s="880"/>
      <c r="F64" s="880"/>
      <c r="G64" s="880"/>
      <c r="H64" s="880"/>
      <c r="I64" s="880"/>
      <c r="J64" s="880"/>
      <c r="K64" s="880"/>
      <c r="L64" s="880"/>
      <c r="M64" s="880"/>
      <c r="N64" s="880"/>
      <c r="O64" s="880"/>
      <c r="P64" s="880"/>
      <c r="Q64" s="880"/>
      <c r="R64" s="881"/>
    </row>
    <row r="66" spans="2:18" ht="15" customHeight="1" x14ac:dyDescent="0.25">
      <c r="B66" s="874"/>
      <c r="C66" s="290"/>
      <c r="D66" s="290"/>
      <c r="E66" s="290"/>
      <c r="F66" s="290"/>
      <c r="G66" s="290"/>
      <c r="H66" s="290"/>
      <c r="I66" s="290"/>
      <c r="J66" s="290"/>
      <c r="K66" s="290"/>
      <c r="L66" s="290"/>
      <c r="M66" s="290"/>
      <c r="N66" s="290"/>
      <c r="O66" s="290"/>
      <c r="P66" s="290"/>
      <c r="Q66" s="290"/>
      <c r="R66" s="285"/>
    </row>
    <row r="67" spans="2:18" ht="79.900000000000006" customHeight="1" x14ac:dyDescent="0.25">
      <c r="B67" s="875"/>
      <c r="C67" s="1369" t="s">
        <v>830</v>
      </c>
      <c r="D67" s="1369"/>
      <c r="E67" s="1369"/>
      <c r="F67" s="1369"/>
      <c r="G67" s="1369"/>
      <c r="H67" s="1369"/>
      <c r="I67" s="1369"/>
      <c r="J67" s="1369"/>
      <c r="K67" s="1369"/>
      <c r="L67" s="1369"/>
      <c r="M67" s="1369"/>
      <c r="N67" s="1369"/>
      <c r="O67" s="1369"/>
      <c r="P67" s="1369"/>
      <c r="Q67" s="864"/>
      <c r="R67" s="283"/>
    </row>
    <row r="68" spans="2:18" ht="30" customHeight="1" x14ac:dyDescent="0.25">
      <c r="B68" s="282"/>
      <c r="C68" s="92"/>
      <c r="D68" s="92"/>
      <c r="E68" s="92"/>
      <c r="F68" s="92"/>
      <c r="G68" s="92"/>
      <c r="H68" s="54"/>
      <c r="I68" s="54"/>
      <c r="J68" s="207"/>
      <c r="K68" s="48"/>
      <c r="R68" s="283"/>
    </row>
    <row r="69" spans="2:18" ht="36" x14ac:dyDescent="0.25">
      <c r="B69" s="282"/>
      <c r="C69" s="884" t="s">
        <v>507</v>
      </c>
      <c r="D69" s="865"/>
      <c r="E69" s="865"/>
      <c r="F69" s="865"/>
      <c r="G69" s="865"/>
      <c r="H69" s="865"/>
      <c r="I69" s="865"/>
      <c r="J69" s="865"/>
      <c r="K69" s="865"/>
      <c r="L69" s="865"/>
      <c r="M69" s="865"/>
      <c r="N69" s="865"/>
      <c r="O69" s="865"/>
      <c r="P69" s="865"/>
      <c r="Q69" s="864"/>
      <c r="R69" s="283"/>
    </row>
    <row r="70" spans="2:18" ht="30" customHeight="1" x14ac:dyDescent="0.25">
      <c r="B70" s="282"/>
      <c r="C70" s="92"/>
      <c r="D70" s="92"/>
      <c r="E70" s="92"/>
      <c r="F70" s="92"/>
      <c r="G70" s="92"/>
      <c r="H70" s="54"/>
      <c r="I70" s="54"/>
      <c r="J70" s="207"/>
      <c r="K70" s="48"/>
      <c r="R70" s="283"/>
    </row>
    <row r="71" spans="2:18" ht="49.9" customHeight="1" x14ac:dyDescent="0.25">
      <c r="B71" s="282"/>
      <c r="C71" s="1362"/>
      <c r="D71" s="1362"/>
      <c r="E71" s="893"/>
      <c r="F71" s="893" t="s">
        <v>141</v>
      </c>
      <c r="G71" s="893"/>
      <c r="H71" s="1356" t="s">
        <v>1288</v>
      </c>
      <c r="I71" s="1356"/>
      <c r="J71" s="1356"/>
      <c r="K71" s="1356"/>
      <c r="L71" s="1356"/>
      <c r="M71" s="1357" t="s">
        <v>1289</v>
      </c>
      <c r="N71" s="1357"/>
      <c r="O71" s="1357"/>
      <c r="P71" s="1357"/>
      <c r="Q71" s="1357"/>
      <c r="R71" s="283"/>
    </row>
    <row r="72" spans="2:18" ht="105" customHeight="1" x14ac:dyDescent="0.25">
      <c r="B72" s="282"/>
      <c r="C72" s="1387" t="s">
        <v>392</v>
      </c>
      <c r="D72" s="1388"/>
      <c r="E72" s="894" t="s">
        <v>1298</v>
      </c>
      <c r="F72" s="894" t="s">
        <v>1072</v>
      </c>
      <c r="G72" s="894" t="s">
        <v>126</v>
      </c>
      <c r="H72" s="895" t="s">
        <v>3</v>
      </c>
      <c r="I72" s="1358" t="s">
        <v>711</v>
      </c>
      <c r="J72" s="1358"/>
      <c r="K72" s="1358" t="s">
        <v>623</v>
      </c>
      <c r="L72" s="1358"/>
      <c r="M72" s="895" t="s">
        <v>3</v>
      </c>
      <c r="N72" s="1358" t="s">
        <v>711</v>
      </c>
      <c r="O72" s="1358"/>
      <c r="P72" s="1358" t="s">
        <v>623</v>
      </c>
      <c r="Q72" s="1358"/>
      <c r="R72" s="283"/>
    </row>
    <row r="73" spans="2:18" ht="79.900000000000006" customHeight="1" x14ac:dyDescent="0.35">
      <c r="B73" s="295"/>
      <c r="C73" s="1385" t="s">
        <v>329</v>
      </c>
      <c r="D73" s="1385"/>
      <c r="E73" s="1101"/>
      <c r="F73" s="1101"/>
      <c r="G73" s="1102" t="s">
        <v>160</v>
      </c>
      <c r="H73" s="896" t="s">
        <v>1238</v>
      </c>
      <c r="I73" s="1359"/>
      <c r="J73" s="1359"/>
      <c r="K73" s="1359" t="s">
        <v>160</v>
      </c>
      <c r="L73" s="1359"/>
      <c r="M73" s="896" t="s">
        <v>1238</v>
      </c>
      <c r="N73" s="1360"/>
      <c r="O73" s="1361"/>
      <c r="P73" s="1359" t="s">
        <v>160</v>
      </c>
      <c r="Q73" s="1359"/>
      <c r="R73" s="283"/>
    </row>
    <row r="74" spans="2:18" ht="79.900000000000006" customHeight="1" x14ac:dyDescent="0.35">
      <c r="B74" s="295"/>
      <c r="C74" s="1385" t="s">
        <v>330</v>
      </c>
      <c r="D74" s="1385"/>
      <c r="E74" s="1101"/>
      <c r="F74" s="1101"/>
      <c r="G74" s="1102" t="s">
        <v>160</v>
      </c>
      <c r="H74" s="896" t="s">
        <v>1238</v>
      </c>
      <c r="I74" s="1359"/>
      <c r="J74" s="1359"/>
      <c r="K74" s="1359" t="s">
        <v>160</v>
      </c>
      <c r="L74" s="1359"/>
      <c r="M74" s="896" t="s">
        <v>1238</v>
      </c>
      <c r="N74" s="1360"/>
      <c r="O74" s="1361"/>
      <c r="P74" s="1359" t="s">
        <v>160</v>
      </c>
      <c r="Q74" s="1359"/>
      <c r="R74" s="283"/>
    </row>
    <row r="75" spans="2:18" ht="79.900000000000006" customHeight="1" x14ac:dyDescent="0.35">
      <c r="B75" s="295"/>
      <c r="C75" s="1385" t="s">
        <v>331</v>
      </c>
      <c r="D75" s="1385"/>
      <c r="E75" s="1101"/>
      <c r="F75" s="1101"/>
      <c r="G75" s="1102" t="s">
        <v>160</v>
      </c>
      <c r="H75" s="896" t="s">
        <v>1238</v>
      </c>
      <c r="I75" s="1359"/>
      <c r="J75" s="1359"/>
      <c r="K75" s="1359" t="s">
        <v>160</v>
      </c>
      <c r="L75" s="1359"/>
      <c r="M75" s="896" t="s">
        <v>1238</v>
      </c>
      <c r="N75" s="1360"/>
      <c r="O75" s="1361"/>
      <c r="P75" s="1359" t="s">
        <v>160</v>
      </c>
      <c r="Q75" s="1359"/>
      <c r="R75" s="283"/>
    </row>
    <row r="76" spans="2:18" ht="79.900000000000006" customHeight="1" x14ac:dyDescent="0.35">
      <c r="B76" s="295"/>
      <c r="C76" s="1385" t="s">
        <v>333</v>
      </c>
      <c r="D76" s="1385"/>
      <c r="E76" s="1101"/>
      <c r="F76" s="1101"/>
      <c r="G76" s="1102" t="s">
        <v>160</v>
      </c>
      <c r="H76" s="896" t="s">
        <v>1238</v>
      </c>
      <c r="I76" s="1359"/>
      <c r="J76" s="1359"/>
      <c r="K76" s="1359" t="s">
        <v>160</v>
      </c>
      <c r="L76" s="1359"/>
      <c r="M76" s="896" t="s">
        <v>1238</v>
      </c>
      <c r="N76" s="1360"/>
      <c r="O76" s="1361"/>
      <c r="P76" s="1359" t="s">
        <v>160</v>
      </c>
      <c r="Q76" s="1359"/>
      <c r="R76" s="283"/>
    </row>
    <row r="77" spans="2:18" ht="79.900000000000006" customHeight="1" x14ac:dyDescent="0.35">
      <c r="B77" s="295"/>
      <c r="C77" s="1385" t="s">
        <v>332</v>
      </c>
      <c r="D77" s="1385"/>
      <c r="E77" s="1101"/>
      <c r="F77" s="1101"/>
      <c r="G77" s="1102" t="s">
        <v>160</v>
      </c>
      <c r="H77" s="896" t="s">
        <v>1134</v>
      </c>
      <c r="I77" s="1359"/>
      <c r="J77" s="1359"/>
      <c r="K77" s="1359" t="s">
        <v>160</v>
      </c>
      <c r="L77" s="1359"/>
      <c r="M77" s="896" t="s">
        <v>1134</v>
      </c>
      <c r="N77" s="1360"/>
      <c r="O77" s="1361"/>
      <c r="P77" s="1359" t="s">
        <v>160</v>
      </c>
      <c r="Q77" s="1359"/>
      <c r="R77" s="283"/>
    </row>
    <row r="78" spans="2:18" ht="24" customHeight="1" x14ac:dyDescent="0.35">
      <c r="B78" s="295"/>
      <c r="C78" s="867"/>
      <c r="D78" s="868"/>
      <c r="E78" s="869"/>
      <c r="F78" s="870"/>
      <c r="G78" s="870"/>
      <c r="H78" s="868"/>
      <c r="I78" s="869"/>
      <c r="J78" s="869"/>
      <c r="K78" s="870"/>
      <c r="L78" s="870"/>
      <c r="M78" s="871"/>
      <c r="N78" s="871"/>
      <c r="O78" s="871"/>
      <c r="P78" s="871"/>
      <c r="Q78" s="872"/>
      <c r="R78" s="283"/>
    </row>
    <row r="79" spans="2:18" ht="36" x14ac:dyDescent="0.35">
      <c r="B79" s="295"/>
      <c r="C79" s="884" t="s">
        <v>508</v>
      </c>
      <c r="D79" s="865"/>
      <c r="E79" s="865"/>
      <c r="F79" s="865"/>
      <c r="G79" s="865"/>
      <c r="H79" s="865"/>
      <c r="I79" s="865"/>
      <c r="J79" s="865"/>
      <c r="K79" s="865"/>
      <c r="L79" s="865"/>
      <c r="M79" s="865"/>
      <c r="N79" s="865"/>
      <c r="O79" s="865"/>
      <c r="P79" s="865"/>
      <c r="Q79" s="892"/>
      <c r="R79" s="283"/>
    </row>
    <row r="80" spans="2:18" ht="24" customHeight="1" x14ac:dyDescent="0.25">
      <c r="B80" s="282"/>
      <c r="C80" s="87"/>
      <c r="D80" s="88"/>
      <c r="E80" s="88"/>
      <c r="F80" s="88"/>
      <c r="G80" s="88"/>
      <c r="H80" s="54"/>
      <c r="I80" s="54"/>
      <c r="R80" s="283"/>
    </row>
    <row r="81" spans="2:18" ht="49.9" customHeight="1" x14ac:dyDescent="0.25">
      <c r="B81" s="282"/>
      <c r="C81" s="901"/>
      <c r="D81" s="1354" t="s">
        <v>671</v>
      </c>
      <c r="E81" s="1354"/>
      <c r="F81" s="1354"/>
      <c r="G81" s="1354"/>
      <c r="H81" s="1355" t="s">
        <v>673</v>
      </c>
      <c r="I81" s="1355"/>
      <c r="J81" s="1355"/>
      <c r="K81" s="1355"/>
      <c r="R81" s="283"/>
    </row>
    <row r="82" spans="2:18" ht="79.900000000000006" customHeight="1" x14ac:dyDescent="0.25">
      <c r="B82" s="282"/>
      <c r="C82" s="1161" t="s">
        <v>392</v>
      </c>
      <c r="D82" s="897" t="s">
        <v>3</v>
      </c>
      <c r="E82" s="898" t="s">
        <v>1030</v>
      </c>
      <c r="F82" s="898" t="s">
        <v>1026</v>
      </c>
      <c r="G82" s="898" t="s">
        <v>1027</v>
      </c>
      <c r="H82" s="897" t="s">
        <v>3</v>
      </c>
      <c r="I82" s="898" t="s">
        <v>504</v>
      </c>
      <c r="J82" s="898" t="s">
        <v>1028</v>
      </c>
      <c r="K82" s="898" t="s">
        <v>1029</v>
      </c>
      <c r="R82" s="283"/>
    </row>
    <row r="83" spans="2:18" ht="79.900000000000006" customHeight="1" x14ac:dyDescent="0.25">
      <c r="B83" s="282"/>
      <c r="C83" s="1150" t="s">
        <v>329</v>
      </c>
      <c r="D83" s="896" t="s">
        <v>681</v>
      </c>
      <c r="E83" s="1164">
        <f>IFERROR(F83-G83,"")</f>
        <v>0</v>
      </c>
      <c r="F83" s="1164">
        <f>IFERROR((E73*F73*N73)/1000,"")</f>
        <v>0</v>
      </c>
      <c r="G83" s="1164">
        <f>IFERROR((E73*F73*I73)/1000,"")</f>
        <v>0</v>
      </c>
      <c r="H83" s="896" t="s">
        <v>681</v>
      </c>
      <c r="I83" s="1164">
        <f>IFERROR(J83-K83,"")</f>
        <v>0</v>
      </c>
      <c r="J83" s="1164">
        <f>IFERROR((F83+(E73*F73*'Fatores de Emissão'!$G$47))/1000,"")</f>
        <v>0</v>
      </c>
      <c r="K83" s="1164">
        <f>IFERROR((G83+((E73*F73*'Fatores de Emissão'!$G$47)/1000)),"")</f>
        <v>0</v>
      </c>
      <c r="R83" s="283"/>
    </row>
    <row r="84" spans="2:18" ht="79.900000000000006" customHeight="1" x14ac:dyDescent="0.25">
      <c r="B84" s="282"/>
      <c r="C84" s="1150" t="s">
        <v>330</v>
      </c>
      <c r="D84" s="896" t="s">
        <v>681</v>
      </c>
      <c r="E84" s="1164">
        <f>IFERROR(F84-G84,"")</f>
        <v>0</v>
      </c>
      <c r="F84" s="1164">
        <f>IFERROR((E74*F74*N74)/1000,"")</f>
        <v>0</v>
      </c>
      <c r="G84" s="1164">
        <f>IFERROR((E74*F74*I74)/1000,"")</f>
        <v>0</v>
      </c>
      <c r="H84" s="896" t="s">
        <v>681</v>
      </c>
      <c r="I84" s="1164">
        <f>IFERROR(J84-K84,"")</f>
        <v>0</v>
      </c>
      <c r="J84" s="1164">
        <f>IFERROR((F84+(E73*F73*'Fatores de Emissão'!G49))/1000,"")</f>
        <v>0</v>
      </c>
      <c r="K84" s="1164">
        <f>IFERROR((G84+((E73*F73*'Fatores de Emissão'!G49)/1000)),"")</f>
        <v>0</v>
      </c>
      <c r="R84" s="283"/>
    </row>
    <row r="85" spans="2:18" ht="79.900000000000006" customHeight="1" x14ac:dyDescent="0.25">
      <c r="B85" s="282"/>
      <c r="C85" s="1173" t="s">
        <v>331</v>
      </c>
      <c r="D85" s="896" t="s">
        <v>681</v>
      </c>
      <c r="E85" s="1164">
        <f>IFERROR(F85-G85,"")</f>
        <v>0</v>
      </c>
      <c r="F85" s="1164">
        <f>IFERROR((E75*F75*N75)/1000,"")</f>
        <v>0</v>
      </c>
      <c r="G85" s="1164">
        <f>IFERROR((E75*F75*I75)/1000,"")</f>
        <v>0</v>
      </c>
      <c r="H85" s="896" t="s">
        <v>681</v>
      </c>
      <c r="I85" s="1164">
        <f>IFERROR(J85-K85,"")</f>
        <v>0</v>
      </c>
      <c r="J85" s="1164">
        <f>IFERROR((F85+(E75*F75*'Fatores de Emissão'!G50))/1000,"")</f>
        <v>0</v>
      </c>
      <c r="K85" s="1164">
        <f>IFERROR((G85+((E75*F75*'Fatores de Emissão'!G50)/1000)),"")</f>
        <v>0</v>
      </c>
      <c r="R85" s="283"/>
    </row>
    <row r="86" spans="2:18" ht="79.900000000000006" customHeight="1" x14ac:dyDescent="0.25">
      <c r="B86" s="282"/>
      <c r="C86" s="1173" t="s">
        <v>333</v>
      </c>
      <c r="D86" s="896" t="s">
        <v>681</v>
      </c>
      <c r="E86" s="1164">
        <f>IFERROR(F86-G86,"")</f>
        <v>0</v>
      </c>
      <c r="F86" s="1164">
        <f>IFERROR((E76*F76*N76)/1000,"")</f>
        <v>0</v>
      </c>
      <c r="G86" s="1164">
        <f>IFERROR((E76*F76*I76)/1000,"")</f>
        <v>0</v>
      </c>
      <c r="H86" s="896" t="s">
        <v>681</v>
      </c>
      <c r="I86" s="1164">
        <f>IFERROR(J86-K86,"")</f>
        <v>0</v>
      </c>
      <c r="J86" s="1164">
        <f>IFERROR((F86+(E76*F76*'Fatores de Emissão'!G51))/1000,"")</f>
        <v>0</v>
      </c>
      <c r="K86" s="1164">
        <f>IFERROR((G86+((E76*F76*'Fatores de Emissão'!G51)/1000)),"")</f>
        <v>0</v>
      </c>
      <c r="R86" s="283"/>
    </row>
    <row r="87" spans="2:18" ht="79.900000000000006" customHeight="1" x14ac:dyDescent="0.25">
      <c r="B87" s="282"/>
      <c r="C87" s="1173" t="s">
        <v>332</v>
      </c>
      <c r="D87" s="896" t="s">
        <v>681</v>
      </c>
      <c r="E87" s="1164">
        <f>IFERROR(F87-G87,"")</f>
        <v>0</v>
      </c>
      <c r="F87" s="1164">
        <f>IFERROR((E77*F77*N77)/1000,"")</f>
        <v>0</v>
      </c>
      <c r="G87" s="1164">
        <f>IFERROR((E77*F77*I77)/1000,"")</f>
        <v>0</v>
      </c>
      <c r="H87" s="896" t="s">
        <v>681</v>
      </c>
      <c r="I87" s="1164">
        <f>IFERROR(J87-K87,"")</f>
        <v>0</v>
      </c>
      <c r="J87" s="1164">
        <f>IFERROR((F87+(E76*F76*'Fatores de Emissão'!G46))/1000,"")</f>
        <v>0</v>
      </c>
      <c r="K87" s="1164">
        <f>IFERROR((G87+((E77*F77*'Fatores de Emissão'!$G$46)/1000)),"")</f>
        <v>0</v>
      </c>
      <c r="R87" s="283"/>
    </row>
    <row r="88" spans="2:18" ht="19.899999999999999" customHeight="1" x14ac:dyDescent="0.25">
      <c r="B88" s="282"/>
      <c r="C88" s="873"/>
      <c r="D88" s="307"/>
      <c r="E88" s="1165"/>
      <c r="F88" s="1165"/>
      <c r="G88" s="1165"/>
      <c r="H88" s="307"/>
      <c r="I88" s="1165"/>
      <c r="J88" s="1165"/>
      <c r="K88" s="1165"/>
      <c r="R88" s="283"/>
    </row>
    <row r="89" spans="2:18" ht="79.900000000000006" customHeight="1" x14ac:dyDescent="0.25">
      <c r="B89" s="282"/>
      <c r="C89" s="905" t="s">
        <v>710</v>
      </c>
      <c r="D89" s="896" t="s">
        <v>681</v>
      </c>
      <c r="E89" s="899">
        <f>IFERROR(F89-G89,"")</f>
        <v>0</v>
      </c>
      <c r="F89" s="903">
        <f>IFERROR(SUM(F83:F87),"")</f>
        <v>0</v>
      </c>
      <c r="G89" s="904">
        <f>IFERROR(SUM(G83:G87),"")</f>
        <v>0</v>
      </c>
      <c r="H89" s="900" t="s">
        <v>681</v>
      </c>
      <c r="I89" s="899">
        <f>IFERROR(J89-K89,"")</f>
        <v>0</v>
      </c>
      <c r="J89" s="903">
        <f>IFERROR(SUM(J83:J87),"")</f>
        <v>0</v>
      </c>
      <c r="K89" s="904">
        <f>IFERROR(SUM(K83:K87),"")</f>
        <v>0</v>
      </c>
      <c r="R89" s="283"/>
    </row>
    <row r="90" spans="2:18" ht="79.900000000000006" customHeight="1" x14ac:dyDescent="0.25">
      <c r="B90" s="282"/>
      <c r="C90" s="905" t="s">
        <v>707</v>
      </c>
      <c r="D90" s="896" t="s">
        <v>681</v>
      </c>
      <c r="E90" s="899">
        <f>-E89</f>
        <v>0</v>
      </c>
      <c r="F90" s="1399"/>
      <c r="G90" s="1400"/>
      <c r="H90" s="1400"/>
      <c r="I90" s="1400"/>
      <c r="J90" s="1400"/>
      <c r="K90" s="1401"/>
      <c r="R90" s="283"/>
    </row>
    <row r="91" spans="2:18" ht="19.899999999999999" customHeight="1" x14ac:dyDescent="0.25">
      <c r="B91" s="467"/>
      <c r="C91" s="880"/>
      <c r="D91" s="880"/>
      <c r="E91" s="880"/>
      <c r="F91" s="880"/>
      <c r="G91" s="880"/>
      <c r="H91" s="880"/>
      <c r="I91" s="888"/>
      <c r="J91" s="888"/>
      <c r="K91" s="888"/>
      <c r="L91" s="880"/>
      <c r="M91" s="880"/>
      <c r="N91" s="880"/>
      <c r="O91" s="880"/>
      <c r="P91" s="880"/>
      <c r="Q91" s="880"/>
      <c r="R91" s="881"/>
    </row>
    <row r="93" spans="2:18" ht="15" customHeight="1" x14ac:dyDescent="0.25">
      <c r="B93" s="874"/>
      <c r="C93" s="290"/>
      <c r="D93" s="290"/>
      <c r="E93" s="290"/>
      <c r="F93" s="290"/>
      <c r="G93" s="290"/>
      <c r="H93" s="290"/>
      <c r="I93" s="290"/>
      <c r="J93" s="290"/>
      <c r="K93" s="290"/>
      <c r="L93" s="290"/>
      <c r="M93" s="290"/>
      <c r="N93" s="290"/>
      <c r="O93" s="290"/>
      <c r="P93" s="290"/>
      <c r="Q93" s="290"/>
      <c r="R93" s="285"/>
    </row>
    <row r="94" spans="2:18" ht="79.900000000000006" customHeight="1" x14ac:dyDescent="0.25">
      <c r="B94" s="875"/>
      <c r="C94" s="1369" t="s">
        <v>1060</v>
      </c>
      <c r="D94" s="1369"/>
      <c r="E94" s="1369"/>
      <c r="F94" s="1369"/>
      <c r="G94" s="1369"/>
      <c r="H94" s="1369"/>
      <c r="I94" s="1369"/>
      <c r="J94" s="1369"/>
      <c r="K94" s="1369"/>
      <c r="L94" s="1369"/>
      <c r="M94" s="1369"/>
      <c r="N94" s="1369"/>
      <c r="O94" s="1369"/>
      <c r="P94" s="1369"/>
      <c r="Q94" s="864"/>
      <c r="R94" s="283"/>
    </row>
    <row r="95" spans="2:18" ht="30" customHeight="1" x14ac:dyDescent="0.25">
      <c r="B95" s="282"/>
      <c r="C95" s="92"/>
      <c r="D95" s="92"/>
      <c r="E95" s="92"/>
      <c r="F95" s="92"/>
      <c r="G95" s="866"/>
      <c r="H95" s="54"/>
      <c r="I95" s="54"/>
      <c r="J95" s="55"/>
      <c r="K95" s="48"/>
      <c r="R95" s="283"/>
    </row>
    <row r="96" spans="2:18" ht="36" x14ac:dyDescent="0.25">
      <c r="B96" s="282"/>
      <c r="C96" s="884" t="s">
        <v>1061</v>
      </c>
      <c r="D96" s="865"/>
      <c r="E96" s="865"/>
      <c r="F96" s="865"/>
      <c r="G96" s="865"/>
      <c r="H96" s="865"/>
      <c r="I96" s="865"/>
      <c r="J96" s="865"/>
      <c r="K96" s="865"/>
      <c r="L96" s="865"/>
      <c r="M96" s="865"/>
      <c r="N96" s="865"/>
      <c r="O96" s="865"/>
      <c r="P96" s="865"/>
      <c r="Q96" s="864"/>
      <c r="R96" s="283"/>
    </row>
    <row r="97" spans="2:18" ht="24" customHeight="1" x14ac:dyDescent="0.25">
      <c r="B97" s="282"/>
      <c r="C97" s="92"/>
      <c r="D97" s="92"/>
      <c r="E97" s="92"/>
      <c r="F97" s="92"/>
      <c r="G97" s="92"/>
      <c r="H97" s="54"/>
      <c r="I97" s="54"/>
      <c r="J97" s="207"/>
      <c r="K97" s="48"/>
      <c r="R97" s="283"/>
    </row>
    <row r="98" spans="2:18" ht="49.9" customHeight="1" x14ac:dyDescent="0.25">
      <c r="B98" s="282"/>
      <c r="C98" s="1384"/>
      <c r="D98" s="1384"/>
      <c r="E98" s="893"/>
      <c r="F98" s="893" t="s">
        <v>141</v>
      </c>
      <c r="G98" s="893"/>
      <c r="H98" s="1356" t="s">
        <v>1288</v>
      </c>
      <c r="I98" s="1356"/>
      <c r="J98" s="1356"/>
      <c r="K98" s="1356"/>
      <c r="L98" s="1356"/>
      <c r="M98" s="1357" t="s">
        <v>1289</v>
      </c>
      <c r="N98" s="1357"/>
      <c r="O98" s="1357"/>
      <c r="P98" s="1357"/>
      <c r="Q98" s="1357"/>
      <c r="R98" s="283"/>
    </row>
    <row r="99" spans="2:18" ht="99" customHeight="1" x14ac:dyDescent="0.25">
      <c r="B99" s="282"/>
      <c r="C99" s="1405" t="s">
        <v>1294</v>
      </c>
      <c r="D99" s="1406"/>
      <c r="E99" s="894" t="s">
        <v>1295</v>
      </c>
      <c r="F99" s="894" t="s">
        <v>1073</v>
      </c>
      <c r="G99" s="894" t="s">
        <v>1290</v>
      </c>
      <c r="H99" s="895" t="s">
        <v>3</v>
      </c>
      <c r="I99" s="1358" t="s">
        <v>711</v>
      </c>
      <c r="J99" s="1358"/>
      <c r="K99" s="1358" t="s">
        <v>623</v>
      </c>
      <c r="L99" s="1358"/>
      <c r="M99" s="895" t="s">
        <v>3</v>
      </c>
      <c r="N99" s="1358" t="s">
        <v>711</v>
      </c>
      <c r="O99" s="1358"/>
      <c r="P99" s="1358" t="s">
        <v>623</v>
      </c>
      <c r="Q99" s="1358"/>
      <c r="R99" s="283"/>
    </row>
    <row r="100" spans="2:18" ht="79.900000000000006" customHeight="1" x14ac:dyDescent="0.35">
      <c r="B100" s="295"/>
      <c r="C100" s="1363" t="s">
        <v>1297</v>
      </c>
      <c r="D100" s="1363"/>
      <c r="E100" s="1101"/>
      <c r="F100" s="1101"/>
      <c r="G100" s="1152" t="s">
        <v>146</v>
      </c>
      <c r="H100" s="896" t="s">
        <v>1134</v>
      </c>
      <c r="I100" s="1359"/>
      <c r="J100" s="1359"/>
      <c r="K100" s="1360" t="s">
        <v>160</v>
      </c>
      <c r="L100" s="1361"/>
      <c r="M100" s="896" t="s">
        <v>1134</v>
      </c>
      <c r="N100" s="1359"/>
      <c r="O100" s="1359"/>
      <c r="P100" s="1359" t="s">
        <v>160</v>
      </c>
      <c r="Q100" s="1359"/>
      <c r="R100" s="283"/>
    </row>
    <row r="101" spans="2:18" ht="24" customHeight="1" x14ac:dyDescent="0.35">
      <c r="B101" s="295"/>
      <c r="C101" s="867"/>
      <c r="D101" s="868"/>
      <c r="E101" s="869"/>
      <c r="F101" s="870"/>
      <c r="G101" s="870"/>
      <c r="H101" s="868"/>
      <c r="I101" s="869"/>
      <c r="J101" s="869"/>
      <c r="K101" s="870"/>
      <c r="L101" s="870"/>
      <c r="M101" s="871"/>
      <c r="N101" s="871"/>
      <c r="O101" s="871"/>
      <c r="P101" s="871"/>
      <c r="Q101" s="872"/>
      <c r="R101" s="283"/>
    </row>
    <row r="102" spans="2:18" ht="36" x14ac:dyDescent="0.35">
      <c r="B102" s="295"/>
      <c r="C102" s="884" t="s">
        <v>1062</v>
      </c>
      <c r="D102" s="865"/>
      <c r="E102" s="865"/>
      <c r="F102" s="865"/>
      <c r="G102" s="865"/>
      <c r="H102" s="865"/>
      <c r="I102" s="865"/>
      <c r="J102" s="865"/>
      <c r="K102" s="865"/>
      <c r="L102" s="865"/>
      <c r="M102" s="865"/>
      <c r="N102" s="865"/>
      <c r="O102" s="865"/>
      <c r="P102" s="865"/>
      <c r="Q102" s="892"/>
      <c r="R102" s="283"/>
    </row>
    <row r="103" spans="2:18" ht="24" customHeight="1" x14ac:dyDescent="0.25">
      <c r="B103" s="282"/>
      <c r="C103" s="87"/>
      <c r="D103" s="88"/>
      <c r="E103" s="88"/>
      <c r="F103" s="88"/>
      <c r="G103" s="88"/>
      <c r="H103" s="54"/>
      <c r="I103" s="54"/>
      <c r="R103" s="283"/>
    </row>
    <row r="104" spans="2:18" ht="79.900000000000006" customHeight="1" x14ac:dyDescent="0.25">
      <c r="B104" s="282"/>
      <c r="C104" s="901"/>
      <c r="D104" s="1354" t="s">
        <v>671</v>
      </c>
      <c r="E104" s="1354"/>
      <c r="F104" s="1354"/>
      <c r="G104" s="1354"/>
      <c r="H104" s="1355" t="s">
        <v>673</v>
      </c>
      <c r="I104" s="1355"/>
      <c r="J104" s="1355"/>
      <c r="K104" s="1355"/>
      <c r="R104" s="283"/>
    </row>
    <row r="105" spans="2:18" ht="79.900000000000006" customHeight="1" x14ac:dyDescent="0.25">
      <c r="B105" s="282"/>
      <c r="C105" s="902" t="s">
        <v>1063</v>
      </c>
      <c r="D105" s="897" t="s">
        <v>3</v>
      </c>
      <c r="E105" s="898" t="s">
        <v>1030</v>
      </c>
      <c r="F105" s="898" t="s">
        <v>1026</v>
      </c>
      <c r="G105" s="898" t="s">
        <v>1027</v>
      </c>
      <c r="H105" s="897" t="s">
        <v>3</v>
      </c>
      <c r="I105" s="898" t="s">
        <v>504</v>
      </c>
      <c r="J105" s="898" t="s">
        <v>1028</v>
      </c>
      <c r="K105" s="898" t="s">
        <v>1029</v>
      </c>
      <c r="R105" s="283"/>
    </row>
    <row r="106" spans="2:18" ht="79.900000000000006" customHeight="1" x14ac:dyDescent="0.25">
      <c r="B106" s="282"/>
      <c r="C106" s="905" t="s">
        <v>710</v>
      </c>
      <c r="D106" s="896" t="s">
        <v>681</v>
      </c>
      <c r="E106" s="1169">
        <f>IFERROR(F106-G106,"")</f>
        <v>0</v>
      </c>
      <c r="F106" s="1169">
        <f>IFERROR((E100*F100*N100)/1000,"")</f>
        <v>0</v>
      </c>
      <c r="G106" s="1169">
        <f>IFERROR((E100*F100*I100)/1000,"")</f>
        <v>0</v>
      </c>
      <c r="H106" s="900" t="s">
        <v>681</v>
      </c>
      <c r="I106" s="1169">
        <f>IFERROR(J106-K106,"")</f>
        <v>0</v>
      </c>
      <c r="J106" s="1169">
        <f>IFERROR(F106+((E100*F100*'Fatores de Emissão'!$G$40*125)/1000),"")</f>
        <v>0</v>
      </c>
      <c r="K106" s="1169">
        <f>IFERROR(IF(G100=FAListas!C65,G106+((E100*F100*'Fatores de Emissão'!$G$40*125)/1000),IF('IC_todos os projetos'!G100=FAListas!C66,G106+((E100*F100*'Fatores de Emissão'!$I$60*125)/1000),IF(G100=FAListas!C64,0,""))),"")</f>
        <v>0</v>
      </c>
      <c r="R106" s="283"/>
    </row>
    <row r="107" spans="2:18" ht="79.900000000000006" customHeight="1" x14ac:dyDescent="0.25">
      <c r="B107" s="282"/>
      <c r="C107" s="905" t="s">
        <v>707</v>
      </c>
      <c r="D107" s="896" t="s">
        <v>681</v>
      </c>
      <c r="E107" s="899">
        <f>-E106</f>
        <v>0</v>
      </c>
      <c r="F107" s="1389"/>
      <c r="G107" s="1390"/>
      <c r="H107" s="1390"/>
      <c r="I107" s="1390"/>
      <c r="J107" s="1390"/>
      <c r="K107" s="1391"/>
      <c r="R107" s="283"/>
    </row>
    <row r="108" spans="2:18" ht="15" customHeight="1" x14ac:dyDescent="0.25">
      <c r="B108" s="467"/>
      <c r="C108" s="1386"/>
      <c r="D108" s="1386"/>
      <c r="E108" s="1386"/>
      <c r="F108" s="889"/>
      <c r="G108" s="889"/>
      <c r="H108" s="890"/>
      <c r="I108" s="889"/>
      <c r="J108" s="889"/>
      <c r="K108" s="889"/>
      <c r="L108" s="880"/>
      <c r="M108" s="880"/>
      <c r="N108" s="880"/>
      <c r="O108" s="880"/>
      <c r="P108" s="880"/>
      <c r="Q108" s="880"/>
      <c r="R108" s="881"/>
    </row>
    <row r="110" spans="2:18" ht="15" customHeight="1" x14ac:dyDescent="0.25">
      <c r="B110" s="874"/>
      <c r="C110" s="290"/>
      <c r="D110" s="290"/>
      <c r="E110" s="290"/>
      <c r="F110" s="290"/>
      <c r="G110" s="290"/>
      <c r="H110" s="290"/>
      <c r="I110" s="290"/>
      <c r="J110" s="290"/>
      <c r="K110" s="290"/>
      <c r="L110" s="290"/>
      <c r="M110" s="290"/>
      <c r="N110" s="290"/>
      <c r="O110" s="290"/>
      <c r="P110" s="290"/>
      <c r="Q110" s="290"/>
      <c r="R110" s="285"/>
    </row>
    <row r="111" spans="2:18" ht="79.900000000000006" customHeight="1" x14ac:dyDescent="0.25">
      <c r="B111" s="875"/>
      <c r="C111" s="1369" t="s">
        <v>1064</v>
      </c>
      <c r="D111" s="1369"/>
      <c r="E111" s="1369"/>
      <c r="F111" s="1369"/>
      <c r="G111" s="1369"/>
      <c r="H111" s="1369"/>
      <c r="I111" s="1369"/>
      <c r="J111" s="1369"/>
      <c r="K111" s="1369"/>
      <c r="L111" s="1369"/>
      <c r="M111" s="1369"/>
      <c r="N111" s="1369"/>
      <c r="O111" s="1369"/>
      <c r="P111" s="1369"/>
      <c r="Q111" s="864"/>
      <c r="R111" s="283"/>
    </row>
    <row r="112" spans="2:18" ht="30" customHeight="1" x14ac:dyDescent="0.3">
      <c r="B112" s="282"/>
      <c r="C112" s="1381"/>
      <c r="D112" s="1381"/>
      <c r="E112" s="1381"/>
      <c r="F112" s="882"/>
      <c r="G112" s="507"/>
      <c r="H112" s="54"/>
      <c r="I112" s="54"/>
      <c r="J112" s="883"/>
      <c r="K112" s="55"/>
      <c r="R112" s="283"/>
    </row>
    <row r="113" spans="2:18" ht="36" x14ac:dyDescent="0.25">
      <c r="B113" s="282"/>
      <c r="C113" s="884" t="s">
        <v>509</v>
      </c>
      <c r="D113" s="865"/>
      <c r="E113" s="865"/>
      <c r="F113" s="865"/>
      <c r="G113" s="865"/>
      <c r="H113" s="865"/>
      <c r="I113" s="865"/>
      <c r="J113" s="865"/>
      <c r="K113" s="865"/>
      <c r="L113" s="865"/>
      <c r="M113" s="865"/>
      <c r="N113" s="865"/>
      <c r="O113" s="865"/>
      <c r="P113" s="865"/>
      <c r="Q113" s="864"/>
      <c r="R113" s="283"/>
    </row>
    <row r="114" spans="2:18" ht="24" customHeight="1" x14ac:dyDescent="0.25">
      <c r="B114" s="282"/>
      <c r="C114" s="87"/>
      <c r="D114" s="88"/>
      <c r="E114" s="88"/>
      <c r="F114" s="88"/>
      <c r="G114" s="88"/>
      <c r="H114" s="284"/>
      <c r="I114" s="1398"/>
      <c r="J114" s="1398"/>
      <c r="K114" s="394"/>
      <c r="L114" s="88"/>
      <c r="M114" s="88"/>
      <c r="R114" s="283"/>
    </row>
    <row r="115" spans="2:18" ht="49.9" customHeight="1" x14ac:dyDescent="0.25">
      <c r="B115" s="282"/>
      <c r="C115" s="1392"/>
      <c r="D115" s="1393"/>
      <c r="E115" s="893"/>
      <c r="F115" s="893" t="s">
        <v>141</v>
      </c>
      <c r="G115" s="893"/>
      <c r="H115" s="1356" t="s">
        <v>1288</v>
      </c>
      <c r="I115" s="1356"/>
      <c r="J115" s="1356"/>
      <c r="K115" s="1356"/>
      <c r="L115" s="1356"/>
      <c r="M115" s="1357" t="s">
        <v>709</v>
      </c>
      <c r="N115" s="1357"/>
      <c r="O115" s="1357"/>
      <c r="P115" s="1357"/>
      <c r="Q115" s="1357"/>
      <c r="R115" s="283"/>
    </row>
    <row r="116" spans="2:18" ht="120.6" customHeight="1" x14ac:dyDescent="0.25">
      <c r="B116" s="282"/>
      <c r="C116" s="1394" t="s">
        <v>1293</v>
      </c>
      <c r="D116" s="1395"/>
      <c r="E116" s="894" t="s">
        <v>1296</v>
      </c>
      <c r="F116" s="894" t="s">
        <v>1074</v>
      </c>
      <c r="G116" s="894" t="s">
        <v>126</v>
      </c>
      <c r="H116" s="895" t="s">
        <v>3</v>
      </c>
      <c r="I116" s="1358" t="s">
        <v>711</v>
      </c>
      <c r="J116" s="1358"/>
      <c r="K116" s="1358" t="s">
        <v>623</v>
      </c>
      <c r="L116" s="1358"/>
      <c r="M116" s="895" t="s">
        <v>3</v>
      </c>
      <c r="N116" s="1358" t="s">
        <v>711</v>
      </c>
      <c r="O116" s="1358"/>
      <c r="P116" s="1358" t="s">
        <v>623</v>
      </c>
      <c r="Q116" s="1358"/>
      <c r="R116" s="283"/>
    </row>
    <row r="117" spans="2:18" ht="79.900000000000006" customHeight="1" x14ac:dyDescent="0.35">
      <c r="B117" s="295"/>
      <c r="C117" s="1396" t="s">
        <v>1273</v>
      </c>
      <c r="D117" s="1397"/>
      <c r="E117" s="1101"/>
      <c r="F117" s="1101"/>
      <c r="G117" s="1102" t="s">
        <v>160</v>
      </c>
      <c r="H117" s="896" t="s">
        <v>1134</v>
      </c>
      <c r="I117" s="1359"/>
      <c r="J117" s="1359"/>
      <c r="K117" s="1359" t="s">
        <v>160</v>
      </c>
      <c r="L117" s="1359"/>
      <c r="M117" s="896" t="s">
        <v>1134</v>
      </c>
      <c r="N117" s="1359"/>
      <c r="O117" s="1359"/>
      <c r="P117" s="1359" t="s">
        <v>160</v>
      </c>
      <c r="Q117" s="1359"/>
      <c r="R117" s="283"/>
    </row>
    <row r="118" spans="2:18" ht="79.900000000000006" customHeight="1" x14ac:dyDescent="0.35">
      <c r="B118" s="295"/>
      <c r="C118" s="1396" t="s">
        <v>1273</v>
      </c>
      <c r="D118" s="1397"/>
      <c r="E118" s="1101"/>
      <c r="F118" s="1101"/>
      <c r="G118" s="1102" t="s">
        <v>160</v>
      </c>
      <c r="H118" s="896" t="s">
        <v>1134</v>
      </c>
      <c r="I118" s="1359"/>
      <c r="J118" s="1359"/>
      <c r="K118" s="1359" t="s">
        <v>160</v>
      </c>
      <c r="L118" s="1359"/>
      <c r="M118" s="896" t="s">
        <v>1134</v>
      </c>
      <c r="N118" s="1359"/>
      <c r="O118" s="1359"/>
      <c r="P118" s="1359" t="s">
        <v>160</v>
      </c>
      <c r="Q118" s="1359"/>
      <c r="R118" s="283"/>
    </row>
    <row r="119" spans="2:18" ht="79.900000000000006" customHeight="1" x14ac:dyDescent="0.35">
      <c r="B119" s="295"/>
      <c r="C119" s="1396" t="s">
        <v>1280</v>
      </c>
      <c r="D119" s="1397"/>
      <c r="E119" s="1101"/>
      <c r="F119" s="1101"/>
      <c r="G119" s="1102" t="s">
        <v>160</v>
      </c>
      <c r="H119" s="896" t="s">
        <v>1134</v>
      </c>
      <c r="I119" s="1359"/>
      <c r="J119" s="1359"/>
      <c r="K119" s="1359" t="s">
        <v>160</v>
      </c>
      <c r="L119" s="1359"/>
      <c r="M119" s="896" t="s">
        <v>1134</v>
      </c>
      <c r="N119" s="1359"/>
      <c r="O119" s="1359"/>
      <c r="P119" s="1359" t="s">
        <v>160</v>
      </c>
      <c r="Q119" s="1359"/>
      <c r="R119" s="283"/>
    </row>
    <row r="120" spans="2:18" ht="79.900000000000006" customHeight="1" x14ac:dyDescent="0.35">
      <c r="B120" s="295"/>
      <c r="C120" s="1396" t="s">
        <v>1280</v>
      </c>
      <c r="D120" s="1397"/>
      <c r="E120" s="1101"/>
      <c r="F120" s="1101"/>
      <c r="G120" s="1102" t="s">
        <v>160</v>
      </c>
      <c r="H120" s="896" t="s">
        <v>1134</v>
      </c>
      <c r="I120" s="1359"/>
      <c r="J120" s="1359"/>
      <c r="K120" s="1359" t="s">
        <v>160</v>
      </c>
      <c r="L120" s="1359"/>
      <c r="M120" s="896" t="s">
        <v>1134</v>
      </c>
      <c r="N120" s="1359"/>
      <c r="O120" s="1359"/>
      <c r="P120" s="1359" t="s">
        <v>160</v>
      </c>
      <c r="Q120" s="1359"/>
      <c r="R120" s="283"/>
    </row>
    <row r="121" spans="2:18" ht="24" customHeight="1" x14ac:dyDescent="0.35">
      <c r="B121" s="295"/>
      <c r="C121" s="867"/>
      <c r="D121" s="868"/>
      <c r="E121" s="869"/>
      <c r="F121" s="870"/>
      <c r="G121" s="870"/>
      <c r="H121" s="868"/>
      <c r="I121" s="869"/>
      <c r="J121" s="869"/>
      <c r="K121" s="870"/>
      <c r="L121" s="870"/>
      <c r="M121" s="871"/>
      <c r="N121" s="871"/>
      <c r="O121" s="871"/>
      <c r="P121" s="871"/>
      <c r="Q121" s="872"/>
      <c r="R121" s="283"/>
    </row>
    <row r="122" spans="2:18" ht="36" x14ac:dyDescent="0.35">
      <c r="B122" s="295"/>
      <c r="C122" s="884" t="s">
        <v>511</v>
      </c>
      <c r="D122" s="865"/>
      <c r="E122" s="865"/>
      <c r="F122" s="865"/>
      <c r="G122" s="865"/>
      <c r="H122" s="865"/>
      <c r="I122" s="865"/>
      <c r="J122" s="865"/>
      <c r="K122" s="865"/>
      <c r="L122" s="865"/>
      <c r="M122" s="865"/>
      <c r="N122" s="865"/>
      <c r="O122" s="865"/>
      <c r="P122" s="865"/>
      <c r="Q122" s="892"/>
      <c r="R122" s="283"/>
    </row>
    <row r="123" spans="2:18" ht="24" customHeight="1" x14ac:dyDescent="0.25">
      <c r="B123" s="282"/>
      <c r="C123" s="87"/>
      <c r="D123" s="88"/>
      <c r="E123" s="88"/>
      <c r="F123" s="88"/>
      <c r="G123" s="88"/>
      <c r="H123" s="54"/>
      <c r="I123" s="54"/>
      <c r="R123" s="283"/>
    </row>
    <row r="124" spans="2:18" ht="49.9" customHeight="1" x14ac:dyDescent="0.25">
      <c r="B124" s="282"/>
      <c r="C124" s="1170"/>
      <c r="D124" s="1354" t="s">
        <v>671</v>
      </c>
      <c r="E124" s="1354"/>
      <c r="F124" s="1354"/>
      <c r="G124" s="1354"/>
      <c r="H124" s="1355" t="s">
        <v>673</v>
      </c>
      <c r="I124" s="1355"/>
      <c r="J124" s="1355"/>
      <c r="K124" s="1355"/>
      <c r="R124" s="283"/>
    </row>
    <row r="125" spans="2:18" ht="79.900000000000006" customHeight="1" x14ac:dyDescent="0.25">
      <c r="B125" s="282"/>
      <c r="C125" s="1174" t="str">
        <f>C116</f>
        <v>Designação do tipo transporte a ADQUIRIR</v>
      </c>
      <c r="D125" s="1162" t="s">
        <v>3</v>
      </c>
      <c r="E125" s="1163" t="s">
        <v>1030</v>
      </c>
      <c r="F125" s="1163" t="s">
        <v>1026</v>
      </c>
      <c r="G125" s="1163" t="s">
        <v>1027</v>
      </c>
      <c r="H125" s="1162" t="s">
        <v>3</v>
      </c>
      <c r="I125" s="1163" t="s">
        <v>504</v>
      </c>
      <c r="J125" s="1163" t="s">
        <v>1028</v>
      </c>
      <c r="K125" s="1163" t="s">
        <v>1029</v>
      </c>
      <c r="R125" s="283"/>
    </row>
    <row r="126" spans="2:18" ht="79.900000000000006" customHeight="1" x14ac:dyDescent="0.25">
      <c r="B126" s="282"/>
      <c r="C126" s="1151" t="str">
        <f>C117</f>
        <v>Indique o tipo de veículo elétrico</v>
      </c>
      <c r="D126" s="896" t="s">
        <v>681</v>
      </c>
      <c r="E126" s="1164">
        <f>IFERROR(F126-G126,"")</f>
        <v>0</v>
      </c>
      <c r="F126" s="1164">
        <f>IFERROR((E117*F117*N117)/1000,"")</f>
        <v>0</v>
      </c>
      <c r="G126" s="1164">
        <f>IFERROR((E117*F117*I117)/1000,"")</f>
        <v>0</v>
      </c>
      <c r="H126" s="896" t="s">
        <v>681</v>
      </c>
      <c r="I126" s="1164">
        <f>IFERROR(J126-K126,"")</f>
        <v>0</v>
      </c>
      <c r="J126" s="1164">
        <f>IFERROR((F126+((E117*F117*'Fatores de Emissão'!$G$9)/1000)),"")</f>
        <v>0</v>
      </c>
      <c r="K126" s="1164">
        <f>IFERROR((G126+(E117*F117*'Fatores de Emissão'!$I$97)/1000),"")</f>
        <v>0</v>
      </c>
      <c r="R126" s="283"/>
    </row>
    <row r="127" spans="2:18" ht="79.900000000000006" customHeight="1" x14ac:dyDescent="0.25">
      <c r="B127" s="282"/>
      <c r="C127" s="1151" t="str">
        <f>C118</f>
        <v>Indique o tipo de veículo elétrico</v>
      </c>
      <c r="D127" s="896" t="s">
        <v>681</v>
      </c>
      <c r="E127" s="1164">
        <f>IFERROR(F127-G127,"")</f>
        <v>0</v>
      </c>
      <c r="F127" s="1164">
        <f>IFERROR((E118*F118*N118)/1000,"")</f>
        <v>0</v>
      </c>
      <c r="G127" s="1164">
        <f>IFERROR((E118*F118*I118)/1000,"")</f>
        <v>0</v>
      </c>
      <c r="H127" s="896" t="s">
        <v>681</v>
      </c>
      <c r="I127" s="1164">
        <f>IFERROR(J127-K127,"")</f>
        <v>0</v>
      </c>
      <c r="J127" s="1164">
        <f>IFERROR((F127+(E118*F118*'Fatores de Emissão'!$G$9)/1000),"")</f>
        <v>0</v>
      </c>
      <c r="K127" s="1164">
        <f>IFERROR((G127+(E118*F118*'Fatores de Emissão'!$I$97)/1000),"")</f>
        <v>0</v>
      </c>
      <c r="R127" s="283"/>
    </row>
    <row r="128" spans="2:18" ht="79.900000000000006" customHeight="1" x14ac:dyDescent="0.25">
      <c r="B128" s="282"/>
      <c r="C128" s="1151" t="str">
        <f>C119</f>
        <v>Indique o tipo de embarcação elétrica</v>
      </c>
      <c r="D128" s="896" t="s">
        <v>681</v>
      </c>
      <c r="E128" s="1164">
        <f>IFERROR(F128-G128,"")</f>
        <v>0</v>
      </c>
      <c r="F128" s="1164">
        <f>IFERROR((E119*F119*N119)/1000,"")</f>
        <v>0</v>
      </c>
      <c r="G128" s="1164">
        <f>IFERROR((E119*F119*I119)/1000,"")</f>
        <v>0</v>
      </c>
      <c r="H128" s="896" t="s">
        <v>681</v>
      </c>
      <c r="I128" s="1164">
        <f>IFERROR(J128-K128,"")</f>
        <v>0</v>
      </c>
      <c r="J128" s="1164">
        <f>IFERROR((F128+(E119*F119*'Fatores de Emissão'!$G$40*125)/1000),"")</f>
        <v>0</v>
      </c>
      <c r="K128" s="1164">
        <f>IFERROR((G128+((E119*F119*'Fatores de Emissão'!$I$60*125)/1000)),"")</f>
        <v>0</v>
      </c>
      <c r="R128" s="283"/>
    </row>
    <row r="129" spans="2:18" ht="79.900000000000006" customHeight="1" x14ac:dyDescent="0.25">
      <c r="B129" s="282"/>
      <c r="C129" s="1151" t="str">
        <f>C120</f>
        <v>Indique o tipo de embarcação elétrica</v>
      </c>
      <c r="D129" s="896" t="s">
        <v>681</v>
      </c>
      <c r="E129" s="1164">
        <f>IFERROR(F129-G129,"")</f>
        <v>0</v>
      </c>
      <c r="F129" s="1164">
        <f>IFERROR((E120*F120*N120)/1000,"")</f>
        <v>0</v>
      </c>
      <c r="G129" s="1164">
        <f>IFERROR((E120*F120*I120)/1000,"")</f>
        <v>0</v>
      </c>
      <c r="H129" s="896" t="s">
        <v>681</v>
      </c>
      <c r="I129" s="1164">
        <f>IFERROR(J129-K129,"")</f>
        <v>0</v>
      </c>
      <c r="J129" s="1164">
        <f>IFERROR((F129+(E120*F120*'Fatores de Emissão'!$G$40*125)/1000),"")</f>
        <v>0</v>
      </c>
      <c r="K129" s="1164">
        <f>IFERROR((G129+((E120*F120*'Fatores de Emissão'!$I$60*125)/1000)),"")</f>
        <v>0</v>
      </c>
      <c r="R129" s="283"/>
    </row>
    <row r="130" spans="2:18" ht="19.899999999999999" customHeight="1" x14ac:dyDescent="0.25">
      <c r="B130" s="282"/>
      <c r="C130" s="1171"/>
      <c r="D130" s="307"/>
      <c r="E130" s="862"/>
      <c r="F130" s="885"/>
      <c r="G130" s="885"/>
      <c r="H130" s="602"/>
      <c r="I130" s="885"/>
      <c r="J130" s="885"/>
      <c r="K130" s="885"/>
      <c r="R130" s="283"/>
    </row>
    <row r="131" spans="2:18" ht="79.900000000000006" customHeight="1" x14ac:dyDescent="0.25">
      <c r="B131" s="282"/>
      <c r="C131" s="905" t="s">
        <v>710</v>
      </c>
      <c r="D131" s="896" t="s">
        <v>681</v>
      </c>
      <c r="E131" s="899">
        <f>IFERROR(F131-G131,"")</f>
        <v>0</v>
      </c>
      <c r="F131" s="903">
        <f>IFERROR(SUM(F126:F129),"")</f>
        <v>0</v>
      </c>
      <c r="G131" s="904">
        <f>IFERROR(SUM(G126:G129),"")</f>
        <v>0</v>
      </c>
      <c r="H131" s="896" t="s">
        <v>681</v>
      </c>
      <c r="I131" s="899">
        <f>IFERROR(J131-K131,"")</f>
        <v>0</v>
      </c>
      <c r="J131" s="903">
        <f>IFERROR(SUM(J126:J129),"")</f>
        <v>0</v>
      </c>
      <c r="K131" s="904">
        <f>IFERROR(SUM(K126:K129),"")</f>
        <v>0</v>
      </c>
      <c r="R131" s="283"/>
    </row>
    <row r="132" spans="2:18" ht="79.900000000000006" customHeight="1" x14ac:dyDescent="0.25">
      <c r="B132" s="282"/>
      <c r="C132" s="905" t="s">
        <v>707</v>
      </c>
      <c r="D132" s="896" t="s">
        <v>681</v>
      </c>
      <c r="E132" s="899">
        <f>-E131</f>
        <v>0</v>
      </c>
      <c r="F132" s="1399"/>
      <c r="G132" s="1400"/>
      <c r="H132" s="1400"/>
      <c r="I132" s="1400"/>
      <c r="J132" s="1400"/>
      <c r="K132" s="1401"/>
      <c r="R132" s="283"/>
    </row>
    <row r="133" spans="2:18" ht="15" customHeight="1" x14ac:dyDescent="0.25">
      <c r="B133" s="467"/>
      <c r="C133" s="1386"/>
      <c r="D133" s="1386"/>
      <c r="E133" s="1386"/>
      <c r="F133" s="891"/>
      <c r="G133" s="891"/>
      <c r="H133" s="877"/>
      <c r="I133" s="891"/>
      <c r="J133" s="891"/>
      <c r="K133" s="891"/>
      <c r="L133" s="880"/>
      <c r="M133" s="880"/>
      <c r="N133" s="880"/>
      <c r="O133" s="880"/>
      <c r="P133" s="880"/>
      <c r="Q133" s="880"/>
      <c r="R133" s="881"/>
    </row>
  </sheetData>
  <sheetProtection algorithmName="SHA-512" hashValue="wWVjq5eAbLu2bmAS756z2srnEAtQPKpggdzdWn7+GVJZBY6kxY6SN9813TXuzFewIy7CZpZTSVpWv2OqdUhSOA==" saltValue="hJIUr1M+hzDmqQ2Gii9uUQ==" spinCount="100000" sheet="1" selectLockedCells="1"/>
  <mergeCells count="181">
    <mergeCell ref="G8:H8"/>
    <mergeCell ref="I8:K8"/>
    <mergeCell ref="L8:M8"/>
    <mergeCell ref="F132:K132"/>
    <mergeCell ref="F90:K90"/>
    <mergeCell ref="F63:K63"/>
    <mergeCell ref="C18:D18"/>
    <mergeCell ref="C72:D72"/>
    <mergeCell ref="C99:D99"/>
    <mergeCell ref="C38:Q38"/>
    <mergeCell ref="M42:Q42"/>
    <mergeCell ref="P76:Q76"/>
    <mergeCell ref="K77:L77"/>
    <mergeCell ref="N77:O77"/>
    <mergeCell ref="P77:Q77"/>
    <mergeCell ref="I77:J77"/>
    <mergeCell ref="I74:J74"/>
    <mergeCell ref="C94:P94"/>
    <mergeCell ref="I75:J75"/>
    <mergeCell ref="I76:J76"/>
    <mergeCell ref="I72:J72"/>
    <mergeCell ref="I73:J73"/>
    <mergeCell ref="K75:L75"/>
    <mergeCell ref="H71:L71"/>
    <mergeCell ref="P119:Q119"/>
    <mergeCell ref="C43:D43"/>
    <mergeCell ref="F107:K107"/>
    <mergeCell ref="C115:D115"/>
    <mergeCell ref="C116:D116"/>
    <mergeCell ref="C117:D117"/>
    <mergeCell ref="C118:D118"/>
    <mergeCell ref="C119:D119"/>
    <mergeCell ref="C120:D120"/>
    <mergeCell ref="P100:Q100"/>
    <mergeCell ref="I118:J118"/>
    <mergeCell ref="I120:J120"/>
    <mergeCell ref="I116:J116"/>
    <mergeCell ref="I117:J117"/>
    <mergeCell ref="I114:J114"/>
    <mergeCell ref="H115:L115"/>
    <mergeCell ref="I99:J99"/>
    <mergeCell ref="I100:J100"/>
    <mergeCell ref="K100:L100"/>
    <mergeCell ref="N100:O100"/>
    <mergeCell ref="N75:O75"/>
    <mergeCell ref="P75:Q75"/>
    <mergeCell ref="K76:L76"/>
    <mergeCell ref="N76:O76"/>
    <mergeCell ref="C133:E133"/>
    <mergeCell ref="C108:E108"/>
    <mergeCell ref="C112:E112"/>
    <mergeCell ref="C111:P111"/>
    <mergeCell ref="D104:G104"/>
    <mergeCell ref="H104:K104"/>
    <mergeCell ref="M115:Q115"/>
    <mergeCell ref="K116:L116"/>
    <mergeCell ref="N116:O116"/>
    <mergeCell ref="P116:Q116"/>
    <mergeCell ref="K117:L117"/>
    <mergeCell ref="N117:O117"/>
    <mergeCell ref="P117:Q117"/>
    <mergeCell ref="K118:L118"/>
    <mergeCell ref="N118:O118"/>
    <mergeCell ref="P118:Q118"/>
    <mergeCell ref="K120:L120"/>
    <mergeCell ref="N120:O120"/>
    <mergeCell ref="P120:Q120"/>
    <mergeCell ref="I119:J119"/>
    <mergeCell ref="N119:O119"/>
    <mergeCell ref="K119:L119"/>
    <mergeCell ref="D124:G124"/>
    <mergeCell ref="H124:K124"/>
    <mergeCell ref="C100:D100"/>
    <mergeCell ref="C98:D98"/>
    <mergeCell ref="C48:D48"/>
    <mergeCell ref="C49:D49"/>
    <mergeCell ref="K44:L44"/>
    <mergeCell ref="I49:J49"/>
    <mergeCell ref="I46:J46"/>
    <mergeCell ref="I47:J47"/>
    <mergeCell ref="I48:J48"/>
    <mergeCell ref="C67:P67"/>
    <mergeCell ref="K49:L49"/>
    <mergeCell ref="P51:Q51"/>
    <mergeCell ref="D53:G53"/>
    <mergeCell ref="H53:K53"/>
    <mergeCell ref="C71:D71"/>
    <mergeCell ref="C73:D73"/>
    <mergeCell ref="C74:D74"/>
    <mergeCell ref="C75:D75"/>
    <mergeCell ref="C76:D76"/>
    <mergeCell ref="C77:D77"/>
    <mergeCell ref="M98:Q98"/>
    <mergeCell ref="K99:L99"/>
    <mergeCell ref="N99:O99"/>
    <mergeCell ref="P99:Q99"/>
    <mergeCell ref="G9:H9"/>
    <mergeCell ref="I9:K9"/>
    <mergeCell ref="L9:M9"/>
    <mergeCell ref="I18:J18"/>
    <mergeCell ref="H26:K26"/>
    <mergeCell ref="H17:L17"/>
    <mergeCell ref="C42:D42"/>
    <mergeCell ref="R45:R47"/>
    <mergeCell ref="C39:E39"/>
    <mergeCell ref="I43:J43"/>
    <mergeCell ref="H42:L42"/>
    <mergeCell ref="I44:J44"/>
    <mergeCell ref="I45:J45"/>
    <mergeCell ref="C44:D44"/>
    <mergeCell ref="C45:D45"/>
    <mergeCell ref="C46:D46"/>
    <mergeCell ref="C47:D47"/>
    <mergeCell ref="N43:O43"/>
    <mergeCell ref="P43:Q43"/>
    <mergeCell ref="N44:O44"/>
    <mergeCell ref="P44:Q44"/>
    <mergeCell ref="N45:O45"/>
    <mergeCell ref="D26:G26"/>
    <mergeCell ref="I22:J22"/>
    <mergeCell ref="G4:M4"/>
    <mergeCell ref="N48:O48"/>
    <mergeCell ref="P48:Q48"/>
    <mergeCell ref="N49:O49"/>
    <mergeCell ref="P49:Q49"/>
    <mergeCell ref="C13:P13"/>
    <mergeCell ref="N40:Q40"/>
    <mergeCell ref="P45:Q45"/>
    <mergeCell ref="N46:O46"/>
    <mergeCell ref="P46:Q46"/>
    <mergeCell ref="N47:O47"/>
    <mergeCell ref="P47:Q47"/>
    <mergeCell ref="K43:L43"/>
    <mergeCell ref="K45:L45"/>
    <mergeCell ref="K46:L46"/>
    <mergeCell ref="K47:L47"/>
    <mergeCell ref="K48:L48"/>
    <mergeCell ref="G5:H5"/>
    <mergeCell ref="G6:H6"/>
    <mergeCell ref="G7:H7"/>
    <mergeCell ref="I7:K7"/>
    <mergeCell ref="L7:M7"/>
    <mergeCell ref="I5:M5"/>
    <mergeCell ref="I6:M6"/>
    <mergeCell ref="K22:L22"/>
    <mergeCell ref="N22:O22"/>
    <mergeCell ref="P22:Q22"/>
    <mergeCell ref="C17:D17"/>
    <mergeCell ref="C20:D20"/>
    <mergeCell ref="C21:D21"/>
    <mergeCell ref="C22:D22"/>
    <mergeCell ref="M17:Q17"/>
    <mergeCell ref="K18:L18"/>
    <mergeCell ref="N18:O18"/>
    <mergeCell ref="P18:Q18"/>
    <mergeCell ref="I20:J20"/>
    <mergeCell ref="K20:L20"/>
    <mergeCell ref="N20:O20"/>
    <mergeCell ref="P20:Q20"/>
    <mergeCell ref="I21:J21"/>
    <mergeCell ref="K21:L21"/>
    <mergeCell ref="N21:O21"/>
    <mergeCell ref="P21:Q21"/>
    <mergeCell ref="C19:D19"/>
    <mergeCell ref="I19:J19"/>
    <mergeCell ref="K19:L19"/>
    <mergeCell ref="N19:O19"/>
    <mergeCell ref="P19:Q19"/>
    <mergeCell ref="D81:G81"/>
    <mergeCell ref="H81:K81"/>
    <mergeCell ref="H98:L98"/>
    <mergeCell ref="M71:Q71"/>
    <mergeCell ref="K72:L72"/>
    <mergeCell ref="N72:O72"/>
    <mergeCell ref="P72:Q72"/>
    <mergeCell ref="K73:L73"/>
    <mergeCell ref="N73:O73"/>
    <mergeCell ref="P73:Q73"/>
    <mergeCell ref="K74:L74"/>
    <mergeCell ref="N74:O74"/>
    <mergeCell ref="P74:Q74"/>
  </mergeCells>
  <conditionalFormatting sqref="E28">
    <cfRule type="expression" dxfId="214" priority="10">
      <formula>IF($E$19,TRUE,"")</formula>
    </cfRule>
  </conditionalFormatting>
  <conditionalFormatting sqref="E29">
    <cfRule type="expression" dxfId="213" priority="46">
      <formula>IF($E$20,TRUE,"")</formula>
    </cfRule>
  </conditionalFormatting>
  <conditionalFormatting sqref="E30">
    <cfRule type="expression" dxfId="212" priority="45">
      <formula>IF($E$21,TRUE,"")</formula>
    </cfRule>
  </conditionalFormatting>
  <conditionalFormatting sqref="E31">
    <cfRule type="expression" dxfId="211" priority="44">
      <formula>IF($E$22,TRUE,"")</formula>
    </cfRule>
  </conditionalFormatting>
  <conditionalFormatting sqref="E55:E60">
    <cfRule type="expression" dxfId="210" priority="168">
      <formula>IF(E44,TRUE, "")</formula>
    </cfRule>
  </conditionalFormatting>
  <conditionalFormatting sqref="E83:E87">
    <cfRule type="expression" dxfId="209" priority="17">
      <formula>IF(E73,TRUE,"")</formula>
    </cfRule>
  </conditionalFormatting>
  <conditionalFormatting sqref="E106">
    <cfRule type="expression" dxfId="208" priority="29">
      <formula>IF($E$100,TRUE,"")</formula>
    </cfRule>
  </conditionalFormatting>
  <conditionalFormatting sqref="E126:E129">
    <cfRule type="expression" dxfId="207" priority="20">
      <formula>IF(E117,TRUE,"")</formula>
    </cfRule>
  </conditionalFormatting>
  <conditionalFormatting sqref="F28">
    <cfRule type="expression" dxfId="204" priority="43">
      <formula>IF($E$19,TRUE,"")</formula>
    </cfRule>
  </conditionalFormatting>
  <conditionalFormatting sqref="F29">
    <cfRule type="expression" dxfId="203" priority="9">
      <formula>IF($E$20,TRUE,"")</formula>
    </cfRule>
  </conditionalFormatting>
  <conditionalFormatting sqref="F30">
    <cfRule type="expression" dxfId="202" priority="42">
      <formula>IF($E$21,TRUE,"")</formula>
    </cfRule>
  </conditionalFormatting>
  <conditionalFormatting sqref="F31">
    <cfRule type="expression" dxfId="201" priority="41">
      <formula>IF($E$22,TRUE,"")</formula>
    </cfRule>
  </conditionalFormatting>
  <conditionalFormatting sqref="F55:F60">
    <cfRule type="expression" dxfId="200" priority="69">
      <formula>IF(E44,TRUE,"")</formula>
    </cfRule>
  </conditionalFormatting>
  <conditionalFormatting sqref="F83:F87">
    <cfRule type="expression" dxfId="199" priority="16">
      <formula>IF(E73,TRUE,"")</formula>
    </cfRule>
  </conditionalFormatting>
  <conditionalFormatting sqref="F106">
    <cfRule type="expression" dxfId="198" priority="28">
      <formula>IF($E$100,TRUE,"")</formula>
    </cfRule>
  </conditionalFormatting>
  <conditionalFormatting sqref="F114">
    <cfRule type="cellIs" dxfId="197" priority="156" operator="notBetween">
      <formula>0</formula>
      <formula>0.3</formula>
    </cfRule>
  </conditionalFormatting>
  <conditionalFormatting sqref="F126:F129">
    <cfRule type="expression" dxfId="196" priority="22">
      <formula>IF(E117,TRUE,"")</formula>
    </cfRule>
  </conditionalFormatting>
  <conditionalFormatting sqref="G28">
    <cfRule type="expression" dxfId="191" priority="40">
      <formula>IF($E$19,TRUE,"")</formula>
    </cfRule>
  </conditionalFormatting>
  <conditionalFormatting sqref="G29">
    <cfRule type="expression" dxfId="190" priority="8">
      <formula>IF($E$20,TRUE,"")</formula>
    </cfRule>
  </conditionalFormatting>
  <conditionalFormatting sqref="G30">
    <cfRule type="expression" dxfId="189" priority="39">
      <formula>IF($E$21,TRUE,"")</formula>
    </cfRule>
  </conditionalFormatting>
  <conditionalFormatting sqref="G31">
    <cfRule type="expression" dxfId="188" priority="38">
      <formula>IF($E$22,TRUE,"")</formula>
    </cfRule>
  </conditionalFormatting>
  <conditionalFormatting sqref="G55:G60">
    <cfRule type="expression" dxfId="187" priority="68">
      <formula>IF(E44, TRUE, "")</formula>
    </cfRule>
  </conditionalFormatting>
  <conditionalFormatting sqref="G83:G87">
    <cfRule type="expression" dxfId="182" priority="15">
      <formula>IF(E73,TRUE,"")</formula>
    </cfRule>
  </conditionalFormatting>
  <conditionalFormatting sqref="G106">
    <cfRule type="expression" dxfId="181" priority="27">
      <formula>IF($E$100,TRUE,"")</formula>
    </cfRule>
  </conditionalFormatting>
  <conditionalFormatting sqref="G126:G129">
    <cfRule type="expression" dxfId="178" priority="21">
      <formula>IF(E117,TRUE,"")</formula>
    </cfRule>
  </conditionalFormatting>
  <conditionalFormatting sqref="I19:I22">
    <cfRule type="expression" dxfId="177" priority="100">
      <formula>IF(E19, TRUE, "")</formula>
    </cfRule>
  </conditionalFormatting>
  <conditionalFormatting sqref="I28">
    <cfRule type="expression" dxfId="176" priority="31">
      <formula>IF($E$19,TRUE)</formula>
    </cfRule>
  </conditionalFormatting>
  <conditionalFormatting sqref="I29">
    <cfRule type="expression" dxfId="175" priority="7">
      <formula>IF($E$20,TRUE,"")</formula>
    </cfRule>
  </conditionalFormatting>
  <conditionalFormatting sqref="I30">
    <cfRule type="expression" dxfId="174" priority="161">
      <formula>IF($E$21,TRUE, "")</formula>
    </cfRule>
  </conditionalFormatting>
  <conditionalFormatting sqref="I31">
    <cfRule type="expression" dxfId="173" priority="37">
      <formula>IF($E$22,TRUE,"")</formula>
    </cfRule>
  </conditionalFormatting>
  <conditionalFormatting sqref="I44:I49">
    <cfRule type="expression" dxfId="172" priority="139">
      <formula>IF(E44, TRUE, "")</formula>
    </cfRule>
  </conditionalFormatting>
  <conditionalFormatting sqref="I55:I60">
    <cfRule type="expression" dxfId="171" priority="58">
      <formula>IF(E44,TRUE,"")</formula>
    </cfRule>
  </conditionalFormatting>
  <conditionalFormatting sqref="I73:I77">
    <cfRule type="expression" dxfId="170" priority="101">
      <formula>IF(E73, TRUE, "")</formula>
    </cfRule>
  </conditionalFormatting>
  <conditionalFormatting sqref="I83:I87">
    <cfRule type="expression" dxfId="169" priority="14">
      <formula>IF(E73,TRUE,"")</formula>
    </cfRule>
  </conditionalFormatting>
  <conditionalFormatting sqref="I100">
    <cfRule type="expression" dxfId="168" priority="93">
      <formula>IF(E100, TRUE, "")</formula>
    </cfRule>
  </conditionalFormatting>
  <conditionalFormatting sqref="I106">
    <cfRule type="expression" dxfId="167" priority="26">
      <formula>IF($E$100,TRUE,"")</formula>
    </cfRule>
  </conditionalFormatting>
  <conditionalFormatting sqref="I117:I120">
    <cfRule type="expression" dxfId="166" priority="84">
      <formula>IF(E117, TRUE, "")</formula>
    </cfRule>
  </conditionalFormatting>
  <conditionalFormatting sqref="I126:I129">
    <cfRule type="expression" dxfId="165" priority="81">
      <formula>IF(E117,TRUE, "")</formula>
    </cfRule>
  </conditionalFormatting>
  <conditionalFormatting sqref="J28">
    <cfRule type="expression" dxfId="164" priority="36">
      <formula>IF($E$19,TRUE,"")</formula>
    </cfRule>
  </conditionalFormatting>
  <conditionalFormatting sqref="J29">
    <cfRule type="expression" dxfId="163" priority="6">
      <formula>IF($E$20,TRUE,"")</formula>
    </cfRule>
  </conditionalFormatting>
  <conditionalFormatting sqref="J30">
    <cfRule type="expression" dxfId="162" priority="35">
      <formula>IF($E$21,TRUE,"")</formula>
    </cfRule>
  </conditionalFormatting>
  <conditionalFormatting sqref="J31">
    <cfRule type="expression" dxfId="161" priority="34">
      <formula>IF($E$22,TRUE,"")</formula>
    </cfRule>
  </conditionalFormatting>
  <conditionalFormatting sqref="J55:J57">
    <cfRule type="expression" dxfId="160" priority="47">
      <formula>IF(E44,TRUE,"")</formula>
    </cfRule>
  </conditionalFormatting>
  <conditionalFormatting sqref="J58">
    <cfRule type="expression" dxfId="159" priority="55">
      <formula>IF(E47, TRUE,"")</formula>
    </cfRule>
  </conditionalFormatting>
  <conditionalFormatting sqref="J59:J60">
    <cfRule type="expression" dxfId="158" priority="51">
      <formula>IF(E48,TRUE,"")</formula>
    </cfRule>
  </conditionalFormatting>
  <conditionalFormatting sqref="J83:J87">
    <cfRule type="expression" dxfId="157" priority="13">
      <formula>IF(E73,TRUE,"")</formula>
    </cfRule>
  </conditionalFormatting>
  <conditionalFormatting sqref="J106">
    <cfRule type="expression" dxfId="156" priority="25">
      <formula>IF($E$100,TRUE,"")</formula>
    </cfRule>
  </conditionalFormatting>
  <conditionalFormatting sqref="J126:J129">
    <cfRule type="expression" dxfId="155" priority="18">
      <formula>IF(E117,TRUE,"")</formula>
    </cfRule>
  </conditionalFormatting>
  <conditionalFormatting sqref="K19:K22">
    <cfRule type="expression" dxfId="154" priority="80">
      <formula>IF(E19, TRUE, "")</formula>
    </cfRule>
  </conditionalFormatting>
  <conditionalFormatting sqref="K28">
    <cfRule type="expression" dxfId="153" priority="33">
      <formula>IF($E$19,TRUE,"")</formula>
    </cfRule>
  </conditionalFormatting>
  <conditionalFormatting sqref="K29">
    <cfRule type="expression" dxfId="152" priority="5">
      <formula>IF($E$20,TRUE,"")</formula>
    </cfRule>
  </conditionalFormatting>
  <conditionalFormatting sqref="K30">
    <cfRule type="expression" dxfId="151" priority="3">
      <formula>IF(E21, TRUE, "")</formula>
    </cfRule>
  </conditionalFormatting>
  <conditionalFormatting sqref="K31">
    <cfRule type="expression" dxfId="150" priority="30">
      <formula>IF($E$22,TRUE,"")</formula>
    </cfRule>
  </conditionalFormatting>
  <conditionalFormatting sqref="K44:K49">
    <cfRule type="expression" dxfId="149" priority="78">
      <formula>IF(E44, TRUE, "")</formula>
    </cfRule>
  </conditionalFormatting>
  <conditionalFormatting sqref="K55:K60">
    <cfRule type="expression" dxfId="148" priority="48">
      <formula>IF(E44,TRUE,"")</formula>
    </cfRule>
  </conditionalFormatting>
  <conditionalFormatting sqref="K73:K77">
    <cfRule type="expression" dxfId="147" priority="76">
      <formula>IF(E73, TRUE, "")</formula>
    </cfRule>
  </conditionalFormatting>
  <conditionalFormatting sqref="K83:K87">
    <cfRule type="expression" dxfId="146" priority="12">
      <formula>IF(E73,TRUE,"")</formula>
    </cfRule>
  </conditionalFormatting>
  <conditionalFormatting sqref="K100">
    <cfRule type="expression" dxfId="145" priority="73">
      <formula>IF(E100, TRUE, "")</formula>
    </cfRule>
  </conditionalFormatting>
  <conditionalFormatting sqref="K106">
    <cfRule type="expression" dxfId="144" priority="24">
      <formula>IF($E$100,TRUE,"")</formula>
    </cfRule>
  </conditionalFormatting>
  <conditionalFormatting sqref="K117:K120">
    <cfRule type="expression" dxfId="143" priority="71">
      <formula>IF(E117, TRUE, "")</formula>
    </cfRule>
  </conditionalFormatting>
  <conditionalFormatting sqref="K126:K129">
    <cfRule type="expression" dxfId="142" priority="19">
      <formula>IF(E117,TRUE,"")</formula>
    </cfRule>
  </conditionalFormatting>
  <conditionalFormatting sqref="N19">
    <cfRule type="expression" dxfId="136" priority="4">
      <formula>IF(E19, TRUE, "")</formula>
    </cfRule>
  </conditionalFormatting>
  <conditionalFormatting sqref="N20:N22">
    <cfRule type="expression" dxfId="135" priority="99">
      <formula>IF(E20, TRUE, "")</formula>
    </cfRule>
  </conditionalFormatting>
  <conditionalFormatting sqref="N44:N49">
    <cfRule type="expression" dxfId="134" priority="145">
      <formula>IF(E44, TRUE, "")</formula>
    </cfRule>
  </conditionalFormatting>
  <conditionalFormatting sqref="N73:N77">
    <cfRule type="expression" dxfId="133" priority="106">
      <formula>IF(E73, TRUE, "")</formula>
    </cfRule>
  </conditionalFormatting>
  <conditionalFormatting sqref="N100">
    <cfRule type="expression" dxfId="132" priority="94">
      <formula>IF(E100, TRUE, "")</formula>
    </cfRule>
  </conditionalFormatting>
  <conditionalFormatting sqref="N117:N120">
    <cfRule type="expression" dxfId="131" priority="87">
      <formula>IF(E117, TRUE, "")</formula>
    </cfRule>
  </conditionalFormatting>
  <conditionalFormatting sqref="P19">
    <cfRule type="expression" dxfId="130" priority="2">
      <formula>IF(E19, TRUE, "")</formula>
    </cfRule>
  </conditionalFormatting>
  <conditionalFormatting sqref="P20:P22">
    <cfRule type="expression" dxfId="129" priority="79">
      <formula>IF(E20, TRUE, "")</formula>
    </cfRule>
  </conditionalFormatting>
  <conditionalFormatting sqref="P44:P49">
    <cfRule type="expression" dxfId="128" priority="77">
      <formula>IF(E44, TRUE, "")</formula>
    </cfRule>
  </conditionalFormatting>
  <conditionalFormatting sqref="P73:P77">
    <cfRule type="expression" dxfId="127" priority="74">
      <formula>IF(E73, TRUE, "")</formula>
    </cfRule>
  </conditionalFormatting>
  <conditionalFormatting sqref="P100">
    <cfRule type="expression" dxfId="126" priority="72">
      <formula>IF(E100, TRUE, "")</formula>
    </cfRule>
  </conditionalFormatting>
  <conditionalFormatting sqref="P117:P120">
    <cfRule type="expression" dxfId="125" priority="70">
      <formula>IF(E117, TRUE, "")</formula>
    </cfRule>
  </conditionalFormatting>
  <dataValidations count="1">
    <dataValidation errorStyle="warning" allowBlank="1" showInputMessage="1" showErrorMessage="1" error="Não Introduzir valor" sqref="F44:F50 K121 K78 F117:G121 K50 K23 K101 F73:G78 G50 G23 G101 F100:F101 F19:F23" xr:uid="{1780B7A5-A062-4B3C-96BA-E40C29883C86}"/>
  </dataValidations>
  <hyperlinks>
    <hyperlink ref="L9:M9" location="RE_resultados!A1" display="RE_resultados" xr:uid="{D91B6769-D0EF-46A1-BE04-9F106D8C491D}"/>
    <hyperlink ref="L7:M7" location="'Cálculos adicionais_utilizador'!A1" display="Cálculos adicionais_utilizador" xr:uid="{DC952EA9-175E-4B0E-A692-BDD3079CDF87}"/>
    <hyperlink ref="L8:M8" location="'Fatores de Emissão'!A1" display="Fatores de Emissão" xr:uid="{226E9F57-BF74-4424-A5B1-36A51869CE40}"/>
  </hyperlink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 id="{9A4A187A-8C1A-4510-9FEB-FC9128D23B3F}">
            <xm:f>IF($E$45=FAListas!$C$34,TRUE,IF($E$45=FAListas!$C$35, TRUE))</xm:f>
            <x14:dxf>
              <fill>
                <patternFill>
                  <bgColor theme="1"/>
                </patternFill>
              </fill>
            </x14:dxf>
          </x14:cfRule>
          <xm:sqref>F19</xm:sqref>
        </x14:conditionalFormatting>
        <x14:conditionalFormatting xmlns:xm="http://schemas.microsoft.com/office/excel/2006/main">
          <x14:cfRule type="expression" priority="1" id="{0B5BFD98-7A2F-498B-99CF-55062ADAA2B8}">
            <xm:f>IF($E$45=FAListas!$C$34,TRUE,IF($E$45=FAListas!$C$35, TRUE))</xm:f>
            <x14:dxf>
              <fill>
                <patternFill>
                  <bgColor theme="1"/>
                </patternFill>
              </fill>
            </x14:dxf>
          </x14:cfRule>
          <xm:sqref>F21</xm:sqref>
        </x14:conditionalFormatting>
        <x14:conditionalFormatting xmlns:xm="http://schemas.microsoft.com/office/excel/2006/main">
          <x14:cfRule type="expression" priority="165" id="{9D9BE503-6796-4843-BFC8-96B0138FBD47}">
            <xm:f>$E$49=FAListas!$C$50</xm:f>
            <x14:dxf>
              <fill>
                <patternFill>
                  <bgColor theme="1"/>
                </patternFill>
              </fill>
            </x14:dxf>
          </x14:cfRule>
          <xm:sqref>F23:G23 F50:G50</xm:sqref>
        </x14:conditionalFormatting>
        <x14:conditionalFormatting xmlns:xm="http://schemas.microsoft.com/office/excel/2006/main">
          <x14:cfRule type="expression" priority="189" id="{04045C11-5FDD-412D-B4DC-19E452B4E142}">
            <xm:f>$E$49=FAListas!$C$50</xm:f>
            <x14:dxf>
              <fill>
                <patternFill>
                  <bgColor theme="1"/>
                </patternFill>
              </fill>
            </x14:dxf>
          </x14:cfRule>
          <xm:sqref>F78:G78</xm:sqref>
        </x14:conditionalFormatting>
        <x14:conditionalFormatting xmlns:xm="http://schemas.microsoft.com/office/excel/2006/main">
          <x14:cfRule type="expression" priority="177" id="{18E414CB-E8C7-4BBF-8804-E6D11798FE1A}">
            <xm:f>$E$49=FAListas!$C$50</xm:f>
            <x14:dxf>
              <fill>
                <patternFill>
                  <bgColor theme="1"/>
                </patternFill>
              </fill>
            </x14:dxf>
          </x14:cfRule>
          <xm:sqref>F101:G101</xm:sqref>
        </x14:conditionalFormatting>
        <x14:conditionalFormatting xmlns:xm="http://schemas.microsoft.com/office/excel/2006/main">
          <x14:cfRule type="expression" priority="155" id="{A04C53B5-5A74-4DFE-9392-DCD8C193E7AF}">
            <xm:f>$E$49=FAListas!$C$50</xm:f>
            <x14:dxf>
              <fill>
                <patternFill>
                  <bgColor theme="1"/>
                </patternFill>
              </fill>
            </x14:dxf>
          </x14:cfRule>
          <xm:sqref>F121:G121</xm:sqref>
        </x14:conditionalFormatting>
        <x14:conditionalFormatting xmlns:xm="http://schemas.microsoft.com/office/excel/2006/main">
          <x14:cfRule type="expression" priority="112" id="{ED52E531-5911-4FBC-9F04-EC1CA0FF9CC1}">
            <xm:f>IF($E$45=FAListas!$C$34,TRUE,IF($E$45=FAListas!$C$35, TRUE))</xm:f>
            <x14:dxf>
              <fill>
                <patternFill patternType="solid">
                  <fgColor rgb="FFFF0000"/>
                  <bgColor theme="1"/>
                </patternFill>
              </fill>
            </x14:dxf>
          </x14:cfRule>
          <xm:sqref>G74</xm:sqref>
        </x14:conditionalFormatting>
        <x14:conditionalFormatting xmlns:xm="http://schemas.microsoft.com/office/excel/2006/main">
          <x14:cfRule type="expression" priority="110" id="{0AA62256-33C9-4246-8AB8-CE3B782B800A}">
            <xm:f>IF($E$46=FAListas!$C$38,TRUE,IF($E$46=FAListas!$C$39, TRUE))</xm:f>
            <x14:dxf>
              <fill>
                <patternFill>
                  <bgColor theme="1"/>
                </patternFill>
              </fill>
            </x14:dxf>
          </x14:cfRule>
          <xm:sqref>G75</xm:sqref>
        </x14:conditionalFormatting>
        <x14:conditionalFormatting xmlns:xm="http://schemas.microsoft.com/office/excel/2006/main">
          <x14:cfRule type="expression" priority="109" id="{33D54F37-A084-4807-885D-FAF904F9D56B}">
            <xm:f>$E$47=FAListas!$C$42</xm:f>
            <x14:dxf>
              <fill>
                <patternFill>
                  <bgColor theme="1"/>
                </patternFill>
              </fill>
            </x14:dxf>
          </x14:cfRule>
          <xm:sqref>G76</xm:sqref>
        </x14:conditionalFormatting>
        <x14:conditionalFormatting xmlns:xm="http://schemas.microsoft.com/office/excel/2006/main">
          <x14:cfRule type="expression" priority="108" id="{FC219C0B-0A04-4EAA-B50F-DF4143D378C2}">
            <xm:f>IF($E$48=FAListas!$C$38,TRUE,IF($E$48=FAListas!$C$39, TRUE))</xm:f>
            <x14:dxf>
              <fill>
                <patternFill>
                  <bgColor theme="1"/>
                </patternFill>
              </fill>
            </x14:dxf>
          </x14:cfRule>
          <xm:sqref>G77</xm:sqref>
        </x14:conditionalFormatting>
        <x14:conditionalFormatting xmlns:xm="http://schemas.microsoft.com/office/excel/2006/main">
          <x14:cfRule type="expression" priority="91" id="{E5B211ED-EF7B-4111-B680-9E4F514F2C3C}">
            <xm:f>IF($E$45=FAListas!$C$34,TRUE,IF($E$45=FAListas!$C$35, TRUE))</xm:f>
            <x14:dxf>
              <fill>
                <patternFill patternType="solid">
                  <fgColor rgb="FFFF0000"/>
                  <bgColor theme="1"/>
                </patternFill>
              </fill>
            </x14:dxf>
          </x14:cfRule>
          <xm:sqref>G118:G119</xm:sqref>
        </x14:conditionalFormatting>
        <x14:conditionalFormatting xmlns:xm="http://schemas.microsoft.com/office/excel/2006/main">
          <x14:cfRule type="expression" priority="89" id="{1D6A7E16-0FDD-4D7D-9A75-65D365BE6990}">
            <xm:f>IF($E$46=FAListas!$C$38,TRUE,IF($E$46=FAListas!$C$39, TRUE))</xm:f>
            <x14:dxf>
              <fill>
                <patternFill>
                  <bgColor theme="1"/>
                </patternFill>
              </fill>
            </x14:dxf>
          </x14:cfRule>
          <xm:sqref>G120</xm:sqref>
        </x14:conditionalFormatting>
        <x14:conditionalFormatting xmlns:xm="http://schemas.microsoft.com/office/excel/2006/main">
          <x14:cfRule type="expression" priority="163" id="{93CD19A5-0356-4F63-8B49-87F5625E2DE6}">
            <xm:f>$I$44=FAListas!$C$31</xm:f>
            <x14:dxf>
              <fill>
                <patternFill patternType="solid">
                  <fgColor rgb="FFFF0000"/>
                  <bgColor theme="1"/>
                </patternFill>
              </fill>
            </x14:dxf>
          </x14:cfRule>
          <xm:sqref>K23:L23</xm:sqref>
        </x14:conditionalFormatting>
        <x14:conditionalFormatting xmlns:xm="http://schemas.microsoft.com/office/excel/2006/main">
          <x14:cfRule type="expression" priority="123" id="{28D35F15-D7BE-4593-ABB7-609801895FE7}">
            <xm:f>$I$44=FAListas!$C$31</xm:f>
            <x14:dxf>
              <fill>
                <patternFill patternType="solid">
                  <fgColor rgb="FFFF0000"/>
                  <bgColor theme="1"/>
                </patternFill>
              </fill>
            </x14:dxf>
          </x14:cfRule>
          <xm:sqref>K50:L50</xm:sqref>
        </x14:conditionalFormatting>
        <x14:conditionalFormatting xmlns:xm="http://schemas.microsoft.com/office/excel/2006/main">
          <x14:cfRule type="expression" priority="187" id="{8675B475-0D32-4D2D-BAFC-25EC963B02A9}">
            <xm:f>$I$44=FAListas!$C$31</xm:f>
            <x14:dxf>
              <fill>
                <patternFill patternType="solid">
                  <fgColor rgb="FFFF0000"/>
                  <bgColor theme="1"/>
                </patternFill>
              </fill>
            </x14:dxf>
          </x14:cfRule>
          <xm:sqref>K78:L78</xm:sqref>
        </x14:conditionalFormatting>
        <x14:conditionalFormatting xmlns:xm="http://schemas.microsoft.com/office/excel/2006/main">
          <x14:cfRule type="expression" priority="175" id="{CE98022E-9ABD-4EF8-AECF-59D5E1174286}">
            <xm:f>$I$44=FAListas!$C$31</xm:f>
            <x14:dxf>
              <fill>
                <patternFill patternType="solid">
                  <fgColor rgb="FFFF0000"/>
                  <bgColor theme="1"/>
                </patternFill>
              </fill>
            </x14:dxf>
          </x14:cfRule>
          <xm:sqref>K101:L101</xm:sqref>
        </x14:conditionalFormatting>
        <x14:conditionalFormatting xmlns:xm="http://schemas.microsoft.com/office/excel/2006/main">
          <x14:cfRule type="expression" priority="154" id="{60D4C823-27EC-4735-950A-DE6FC6AFDFEF}">
            <xm:f>$I$44=FAListas!$C$31</xm:f>
            <x14:dxf>
              <fill>
                <patternFill patternType="solid">
                  <fgColor rgb="FFFF0000"/>
                  <bgColor theme="1"/>
                </patternFill>
              </fill>
            </x14:dxf>
          </x14:cfRule>
          <xm:sqref>K121:L121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EF24AAA5-952C-4821-BFB5-E38DF8E7660A}">
          <x14:formula1>
            <xm:f>FAListas!$C$55:$C$57</xm:f>
          </x14:formula1>
          <xm:sqref>E52 E25 E103</xm:sqref>
        </x14:dataValidation>
        <x14:dataValidation type="list" errorStyle="warning" allowBlank="1" showInputMessage="1" showErrorMessage="1" error="Não Introduzir valor" xr:uid="{754178D9-FC60-4B2F-8D2C-B8B5F5399BEF}">
          <x14:formula1>
            <xm:f>FAListas!$C$64:$C$66</xm:f>
          </x14:formula1>
          <xm:sqref>G44:G49 G100</xm:sqref>
        </x14:dataValidation>
        <x14:dataValidation type="list" errorStyle="warning" allowBlank="1" showInputMessage="1" showErrorMessage="1" error="Não Introduzir valor" xr:uid="{F9E910C2-4135-4FB2-853A-FD57E0FDDC8A}">
          <x14:formula1>
            <xm:f>FAListas!$C$67:$C$69</xm:f>
          </x14:formula1>
          <xm:sqref>G20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D31BC-8884-4385-AD96-8F08A0518258}">
  <sheetPr codeName="Sheet4">
    <tabColor rgb="FF02A39C"/>
  </sheetPr>
  <dimension ref="A2:W196"/>
  <sheetViews>
    <sheetView showGridLines="0" zoomScale="66" zoomScaleNormal="66" workbookViewId="0">
      <pane ySplit="2" topLeftCell="A3" activePane="bottomLeft" state="frozen"/>
      <selection activeCell="D13" sqref="D13"/>
      <selection pane="bottomLeft" activeCell="K5" sqref="K5:L5"/>
    </sheetView>
  </sheetViews>
  <sheetFormatPr defaultRowHeight="15" x14ac:dyDescent="0.25"/>
  <cols>
    <col min="1" max="1" width="3.7109375" customWidth="1"/>
    <col min="2" max="2" width="2.7109375" customWidth="1"/>
    <col min="3" max="3" width="48" customWidth="1"/>
    <col min="4" max="4" width="16.28515625" customWidth="1"/>
    <col min="5" max="5" width="38.42578125" customWidth="1"/>
    <col min="6" max="7" width="37.7109375" customWidth="1"/>
    <col min="8" max="8" width="3.7109375" customWidth="1"/>
    <col min="9" max="9" width="9.28515625" customWidth="1"/>
    <col min="10" max="10" width="37.42578125" customWidth="1"/>
    <col min="11" max="11" width="22.28515625" customWidth="1"/>
    <col min="12" max="12" width="30.7109375" customWidth="1"/>
    <col min="13" max="13" width="21.7109375" customWidth="1"/>
    <col min="15" max="18" width="15.7109375" customWidth="1"/>
    <col min="20" max="21" width="40.7109375" hidden="1" customWidth="1"/>
  </cols>
  <sheetData>
    <row r="2" spans="1:23" s="4" customFormat="1" ht="70.150000000000006" customHeight="1" x14ac:dyDescent="0.25">
      <c r="A2" s="297"/>
      <c r="C2" s="373" t="s">
        <v>981</v>
      </c>
      <c r="D2" s="52"/>
      <c r="E2" s="52"/>
      <c r="F2" s="52"/>
      <c r="G2" s="52"/>
      <c r="H2" s="52"/>
      <c r="I2" s="52"/>
      <c r="J2" s="52"/>
      <c r="K2" s="52"/>
      <c r="L2" s="52"/>
      <c r="M2" s="52"/>
      <c r="N2" s="52"/>
      <c r="O2" s="52"/>
      <c r="P2" s="52"/>
      <c r="Q2" s="52"/>
      <c r="R2" s="52"/>
      <c r="S2" s="52"/>
      <c r="T2" s="52"/>
      <c r="U2" s="52"/>
      <c r="V2" s="52"/>
      <c r="W2" s="52"/>
    </row>
    <row r="4" spans="1:23" ht="15.75" thickBot="1" x14ac:dyDescent="0.3"/>
    <row r="5" spans="1:23" ht="40.15" customHeight="1" thickBot="1" x14ac:dyDescent="0.3">
      <c r="B5" s="66"/>
      <c r="C5" s="66" t="s">
        <v>497</v>
      </c>
      <c r="D5" s="57"/>
      <c r="E5" s="57"/>
      <c r="F5" s="57"/>
      <c r="G5" s="57"/>
      <c r="H5" s="58"/>
      <c r="I5" s="56"/>
      <c r="J5" s="562" t="s">
        <v>608</v>
      </c>
      <c r="K5" s="1452" t="s">
        <v>603</v>
      </c>
      <c r="L5" s="1453"/>
      <c r="T5" s="560" t="s">
        <v>603</v>
      </c>
      <c r="U5" s="554" t="s">
        <v>833</v>
      </c>
    </row>
    <row r="6" spans="1:23" ht="15" customHeight="1" x14ac:dyDescent="0.25">
      <c r="B6" s="512"/>
      <c r="C6" s="56"/>
      <c r="D6" s="56"/>
      <c r="E6" s="56"/>
      <c r="F6" s="56"/>
      <c r="G6" s="56"/>
      <c r="H6" s="511"/>
      <c r="I6" s="56"/>
      <c r="J6" s="1454" t="str">
        <f>IF(K5="","",VLOOKUP(K5,T5:U7,2,FALSE))</f>
        <v>Cálculo das emissões absolutas (Ab), das emissões emissões de referência (Be) e das emissões relativas (Re= Ab - Be)  de projetos relacionados com a micromobilidade que impliquem transferência modal.</v>
      </c>
      <c r="K6" s="1455"/>
      <c r="L6" s="1456"/>
      <c r="T6" s="560" t="s">
        <v>606</v>
      </c>
      <c r="U6" s="553" t="s">
        <v>834</v>
      </c>
    </row>
    <row r="7" spans="1:23" ht="24" customHeight="1" x14ac:dyDescent="0.25">
      <c r="B7" s="59"/>
      <c r="C7" s="116" t="s">
        <v>489</v>
      </c>
      <c r="D7" s="115"/>
      <c r="E7" s="115"/>
      <c r="F7" s="115"/>
      <c r="G7" s="115"/>
      <c r="H7" s="69"/>
      <c r="I7" s="54"/>
      <c r="J7" s="1457"/>
      <c r="K7" s="1458"/>
      <c r="L7" s="1459"/>
      <c r="T7" s="560" t="s">
        <v>713</v>
      </c>
      <c r="U7" s="561" t="s">
        <v>835</v>
      </c>
    </row>
    <row r="8" spans="1:23" ht="24" customHeight="1" x14ac:dyDescent="0.25">
      <c r="B8" s="59"/>
      <c r="C8" s="92"/>
      <c r="D8" s="92"/>
      <c r="E8" s="92"/>
      <c r="F8" s="92"/>
      <c r="G8" s="92"/>
      <c r="H8" s="69"/>
      <c r="I8" s="54"/>
      <c r="J8" s="1457"/>
      <c r="K8" s="1458"/>
      <c r="L8" s="1459"/>
    </row>
    <row r="9" spans="1:23" ht="24" customHeight="1" thickBot="1" x14ac:dyDescent="0.3">
      <c r="B9" s="59"/>
      <c r="C9" s="686" t="s">
        <v>634</v>
      </c>
      <c r="D9" s="687"/>
      <c r="E9" s="687"/>
      <c r="F9" s="687"/>
      <c r="G9" s="687"/>
      <c r="H9" s="69"/>
      <c r="I9" s="54"/>
      <c r="J9" s="1460"/>
      <c r="K9" s="1461"/>
      <c r="L9" s="1462"/>
    </row>
    <row r="10" spans="1:23" ht="64.150000000000006" customHeight="1" x14ac:dyDescent="0.25">
      <c r="B10" s="59"/>
      <c r="C10" s="564" t="s">
        <v>611</v>
      </c>
      <c r="D10" s="1424" t="s">
        <v>622</v>
      </c>
      <c r="E10" s="1425"/>
      <c r="F10" s="1425"/>
      <c r="G10" s="1426"/>
      <c r="H10" s="69"/>
      <c r="I10" s="54"/>
      <c r="J10" s="55"/>
      <c r="K10" s="48"/>
      <c r="T10" s="560"/>
    </row>
    <row r="11" spans="1:23" ht="24" customHeight="1" x14ac:dyDescent="0.25">
      <c r="B11" s="59"/>
      <c r="C11" s="684"/>
      <c r="D11" s="1427" t="s">
        <v>635</v>
      </c>
      <c r="E11" s="1428"/>
      <c r="F11" s="1428"/>
      <c r="G11" s="1429"/>
      <c r="H11" s="69"/>
      <c r="I11" s="54"/>
      <c r="J11" s="55"/>
      <c r="K11" s="48"/>
    </row>
    <row r="12" spans="1:23" ht="24" customHeight="1" x14ac:dyDescent="0.25">
      <c r="B12" s="59"/>
      <c r="C12" s="684"/>
      <c r="D12" s="1430" t="s">
        <v>636</v>
      </c>
      <c r="E12" s="1431"/>
      <c r="F12" s="1431"/>
      <c r="G12" s="1432"/>
      <c r="H12" s="69"/>
      <c r="I12" s="54"/>
      <c r="J12" s="55"/>
      <c r="K12" s="48"/>
    </row>
    <row r="13" spans="1:23" ht="79.900000000000006" customHeight="1" x14ac:dyDescent="0.25">
      <c r="B13" s="59"/>
      <c r="C13" s="685"/>
      <c r="D13" s="1424" t="s">
        <v>836</v>
      </c>
      <c r="E13" s="1425"/>
      <c r="F13" s="1425"/>
      <c r="G13" s="1426"/>
      <c r="H13" s="69"/>
      <c r="I13" s="54"/>
      <c r="J13" s="55"/>
      <c r="K13" s="48"/>
    </row>
    <row r="14" spans="1:23" ht="40.15" customHeight="1" x14ac:dyDescent="0.25">
      <c r="B14" s="59"/>
      <c r="C14" s="1433" t="s">
        <v>609</v>
      </c>
      <c r="D14" s="1427" t="s">
        <v>1147</v>
      </c>
      <c r="E14" s="1428"/>
      <c r="F14" s="1428"/>
      <c r="G14" s="1429"/>
      <c r="H14" s="69"/>
      <c r="I14" s="54"/>
      <c r="J14" s="55"/>
      <c r="K14" s="48"/>
    </row>
    <row r="15" spans="1:23" ht="24" customHeight="1" x14ac:dyDescent="0.25">
      <c r="B15" s="59"/>
      <c r="C15" s="1434"/>
      <c r="D15" s="1436" t="s">
        <v>610</v>
      </c>
      <c r="E15" s="1437"/>
      <c r="F15" s="1437"/>
      <c r="G15" s="1438"/>
      <c r="H15" s="69"/>
      <c r="I15" s="54"/>
      <c r="J15" s="55"/>
      <c r="K15" s="48"/>
    </row>
    <row r="16" spans="1:23" ht="24" customHeight="1" x14ac:dyDescent="0.25">
      <c r="B16" s="59"/>
      <c r="C16" s="1434"/>
      <c r="D16" s="1439" t="s">
        <v>837</v>
      </c>
      <c r="E16" s="1440"/>
      <c r="F16" s="1440"/>
      <c r="G16" s="1441"/>
      <c r="H16" s="69"/>
      <c r="I16" s="54"/>
      <c r="J16" s="55"/>
      <c r="K16" s="48"/>
    </row>
    <row r="17" spans="2:21" ht="40.9" customHeight="1" x14ac:dyDescent="0.25">
      <c r="B17" s="59"/>
      <c r="C17" s="1434"/>
      <c r="D17" s="1442" t="s">
        <v>1156</v>
      </c>
      <c r="E17" s="1334"/>
      <c r="F17" s="1334"/>
      <c r="G17" s="1443"/>
      <c r="H17" s="69"/>
      <c r="I17" s="54"/>
      <c r="J17" s="55"/>
    </row>
    <row r="18" spans="2:21" ht="40.9" customHeight="1" x14ac:dyDescent="0.25">
      <c r="B18" s="59"/>
      <c r="C18" s="1435"/>
      <c r="D18" s="1444" t="s">
        <v>726</v>
      </c>
      <c r="E18" s="1445"/>
      <c r="F18" s="1445"/>
      <c r="G18" s="1446"/>
      <c r="H18" s="69"/>
      <c r="I18" s="54"/>
      <c r="J18" s="55"/>
    </row>
    <row r="19" spans="2:21" ht="24" customHeight="1" thickBot="1" x14ac:dyDescent="0.3">
      <c r="B19" s="59"/>
      <c r="C19" s="92"/>
      <c r="D19" s="92"/>
      <c r="E19" s="92"/>
      <c r="F19" s="92"/>
      <c r="G19" s="92"/>
      <c r="H19" s="69"/>
      <c r="I19" s="54"/>
      <c r="J19" s="55"/>
    </row>
    <row r="20" spans="2:21" ht="45.6" customHeight="1" thickBot="1" x14ac:dyDescent="0.3">
      <c r="B20" s="59"/>
      <c r="C20" s="298" t="s">
        <v>202</v>
      </c>
      <c r="D20" s="218"/>
      <c r="E20" s="219" t="s">
        <v>195</v>
      </c>
      <c r="F20" s="219" t="s">
        <v>157</v>
      </c>
      <c r="G20" s="220" t="s">
        <v>623</v>
      </c>
      <c r="H20" s="69"/>
      <c r="I20" s="54"/>
      <c r="J20" s="562" t="s">
        <v>608</v>
      </c>
      <c r="K20" s="1452" t="s">
        <v>614</v>
      </c>
      <c r="L20" s="1453"/>
      <c r="M20" s="88"/>
      <c r="O20" s="50"/>
    </row>
    <row r="21" spans="2:21" ht="70.150000000000006" customHeight="1" x14ac:dyDescent="0.25">
      <c r="B21" s="59"/>
      <c r="C21" s="291" t="s">
        <v>319</v>
      </c>
      <c r="D21" s="1244" t="s">
        <v>1316</v>
      </c>
      <c r="E21" s="339" t="s">
        <v>288</v>
      </c>
      <c r="F21" s="1104"/>
      <c r="G21" s="1239" t="s">
        <v>482</v>
      </c>
      <c r="H21" s="69"/>
      <c r="I21" s="54"/>
      <c r="J21" s="1454" t="str">
        <f>IF(K20="","",VLOOKUP(K20,T21:U22,2,FALSE))</f>
        <v>A GEE_mobilidade disponibiliza uma calculadora (calculadora A) para estimar os fatores de emissão do transporte elétrico no separador "Cálculos adicionais_utilizador" (aceder através do "Índice" da GEE_mobilidade). Os dados necessários para este cálculo são os seguintes:  Fator de emissão da eletricidade (kgCO2e/ kWh); Consumo de eletricidade (kWh/km) especifico do transporte e o número médio de passageiros por autocarro. Os fatores de emissão resultantes (campos a verde)  devem ser introduzidos na coluna "Valor" a azul do respectivo tipo de transporte.</v>
      </c>
      <c r="K21" s="1455"/>
      <c r="L21" s="1456"/>
      <c r="M21" s="444"/>
      <c r="O21" s="1450"/>
      <c r="P21" s="1450"/>
      <c r="Q21" s="1450"/>
      <c r="R21" s="1450"/>
      <c r="T21" s="41" t="s">
        <v>614</v>
      </c>
      <c r="U21" s="46" t="s">
        <v>1148</v>
      </c>
    </row>
    <row r="22" spans="2:21" ht="30" customHeight="1" x14ac:dyDescent="0.25">
      <c r="B22" s="59"/>
      <c r="C22" s="298" t="s">
        <v>320</v>
      </c>
      <c r="D22" s="218"/>
      <c r="E22" s="219" t="s">
        <v>195</v>
      </c>
      <c r="F22" s="230" t="s">
        <v>157</v>
      </c>
      <c r="G22" s="220" t="s">
        <v>623</v>
      </c>
      <c r="H22" s="69"/>
      <c r="I22" s="54"/>
      <c r="J22" s="1457"/>
      <c r="K22" s="1458"/>
      <c r="L22" s="1459"/>
      <c r="M22" s="100"/>
      <c r="O22" s="254"/>
      <c r="P22" s="100"/>
      <c r="Q22" s="100"/>
      <c r="R22" s="100"/>
      <c r="T22" s="554" t="s">
        <v>693</v>
      </c>
      <c r="U22" s="41" t="s">
        <v>697</v>
      </c>
    </row>
    <row r="23" spans="2:21" ht="70.150000000000006" customHeight="1" thickBot="1" x14ac:dyDescent="0.3">
      <c r="B23" s="59"/>
      <c r="C23" s="291" t="s">
        <v>325</v>
      </c>
      <c r="D23" s="1244" t="s">
        <v>1317</v>
      </c>
      <c r="E23" s="1243" t="s">
        <v>146</v>
      </c>
      <c r="F23" s="1105"/>
      <c r="G23" s="1245" t="s">
        <v>482</v>
      </c>
      <c r="H23" s="69"/>
      <c r="I23" s="54"/>
      <c r="J23" s="1460"/>
      <c r="K23" s="1461"/>
      <c r="L23" s="1462"/>
      <c r="M23" s="88"/>
      <c r="O23" s="1451"/>
      <c r="P23" s="1451"/>
      <c r="Q23" s="1451"/>
      <c r="R23" s="1451"/>
    </row>
    <row r="24" spans="2:21" ht="30" customHeight="1" x14ac:dyDescent="0.25">
      <c r="B24" s="59"/>
      <c r="C24" s="298" t="s">
        <v>327</v>
      </c>
      <c r="D24" s="218"/>
      <c r="E24" s="219" t="s">
        <v>195</v>
      </c>
      <c r="F24" s="230" t="s">
        <v>157</v>
      </c>
      <c r="G24" s="220" t="s">
        <v>623</v>
      </c>
      <c r="H24" s="69"/>
      <c r="I24" s="54"/>
      <c r="J24" s="565"/>
      <c r="K24" s="566"/>
      <c r="L24" s="445"/>
      <c r="M24" s="444"/>
      <c r="O24" s="1451"/>
      <c r="P24" s="1451"/>
      <c r="Q24" s="1451"/>
      <c r="R24" s="1451"/>
    </row>
    <row r="25" spans="2:21" ht="70.150000000000006" customHeight="1" x14ac:dyDescent="0.25">
      <c r="B25" s="59"/>
      <c r="C25" s="291" t="s">
        <v>198</v>
      </c>
      <c r="D25" s="1244" t="s">
        <v>1317</v>
      </c>
      <c r="E25" s="1105" t="s">
        <v>146</v>
      </c>
      <c r="F25" s="1105"/>
      <c r="G25" s="1245" t="s">
        <v>482</v>
      </c>
      <c r="H25" s="69"/>
      <c r="I25" s="54"/>
      <c r="J25" s="1458"/>
      <c r="K25" s="1458"/>
      <c r="L25" s="1451"/>
      <c r="M25" s="445"/>
      <c r="O25" s="255"/>
      <c r="P25" s="256"/>
      <c r="Q25" s="256"/>
      <c r="R25" s="256"/>
    </row>
    <row r="26" spans="2:21" ht="30" customHeight="1" x14ac:dyDescent="0.25">
      <c r="B26" s="59"/>
      <c r="C26" s="298" t="s">
        <v>321</v>
      </c>
      <c r="D26" s="218"/>
      <c r="E26" s="219" t="s">
        <v>195</v>
      </c>
      <c r="F26" s="219" t="s">
        <v>157</v>
      </c>
      <c r="G26" s="220" t="s">
        <v>623</v>
      </c>
      <c r="H26" s="69"/>
      <c r="J26" s="1458"/>
      <c r="K26" s="1458"/>
      <c r="L26" s="1451"/>
      <c r="M26" s="307"/>
    </row>
    <row r="27" spans="2:21" ht="60" customHeight="1" x14ac:dyDescent="0.25">
      <c r="B27" s="59"/>
      <c r="C27" s="293" t="s">
        <v>452</v>
      </c>
      <c r="D27" s="1244" t="s">
        <v>1317</v>
      </c>
      <c r="E27" s="1105" t="s">
        <v>146</v>
      </c>
      <c r="F27" s="1105"/>
      <c r="G27" s="1239" t="s">
        <v>482</v>
      </c>
      <c r="H27" s="69"/>
      <c r="J27" s="1398"/>
      <c r="K27" s="1398"/>
      <c r="L27" s="256"/>
      <c r="M27" s="394"/>
    </row>
    <row r="28" spans="2:21" ht="70.150000000000006" customHeight="1" x14ac:dyDescent="0.25">
      <c r="B28" s="59"/>
      <c r="C28" s="293" t="s">
        <v>453</v>
      </c>
      <c r="D28" s="1244" t="s">
        <v>1317</v>
      </c>
      <c r="E28" s="1105" t="s">
        <v>146</v>
      </c>
      <c r="F28" s="1105"/>
      <c r="G28" s="1239" t="s">
        <v>482</v>
      </c>
      <c r="H28" s="69"/>
      <c r="I28" s="54"/>
      <c r="J28" s="705"/>
      <c r="K28" s="705"/>
      <c r="L28" s="55"/>
    </row>
    <row r="29" spans="2:21" ht="19.899999999999999" customHeight="1" x14ac:dyDescent="0.25">
      <c r="B29" s="59"/>
      <c r="C29" s="87"/>
      <c r="D29" s="88"/>
      <c r="E29" s="88"/>
      <c r="F29" s="88"/>
      <c r="G29" s="88"/>
      <c r="H29" s="69"/>
      <c r="I29" s="54"/>
    </row>
    <row r="30" spans="2:21" ht="24" customHeight="1" x14ac:dyDescent="0.25">
      <c r="B30" s="59"/>
      <c r="C30" s="116" t="s">
        <v>490</v>
      </c>
      <c r="D30" s="115"/>
      <c r="E30" s="115"/>
      <c r="F30" s="115"/>
      <c r="G30" s="115"/>
      <c r="H30" s="69"/>
      <c r="I30" s="54"/>
      <c r="J30" s="255"/>
      <c r="K30" s="256"/>
      <c r="L30" s="256"/>
      <c r="M30" s="256"/>
    </row>
    <row r="31" spans="2:21" ht="24" customHeight="1" x14ac:dyDescent="0.25">
      <c r="B31" s="59"/>
      <c r="C31" s="92"/>
      <c r="D31" s="92"/>
      <c r="E31" s="92"/>
      <c r="F31" s="92"/>
      <c r="G31" s="92"/>
      <c r="H31" s="69"/>
      <c r="I31" s="54"/>
    </row>
    <row r="32" spans="2:21" ht="24" customHeight="1" x14ac:dyDescent="0.25">
      <c r="B32" s="59"/>
      <c r="C32" s="1463" t="s">
        <v>634</v>
      </c>
      <c r="D32" s="1464"/>
      <c r="E32" s="1464"/>
      <c r="F32" s="1464"/>
      <c r="G32" s="1464"/>
      <c r="H32" s="69"/>
      <c r="I32" s="54"/>
    </row>
    <row r="33" spans="1:13" ht="27.6" customHeight="1" x14ac:dyDescent="0.25">
      <c r="B33" s="59"/>
      <c r="C33" s="1470" t="s">
        <v>621</v>
      </c>
      <c r="D33" s="1465" t="s">
        <v>863</v>
      </c>
      <c r="E33" s="1465"/>
      <c r="F33" s="1465"/>
      <c r="G33" s="1465"/>
      <c r="H33" s="69"/>
      <c r="I33" s="54"/>
      <c r="J33" s="55"/>
      <c r="K33" s="48"/>
    </row>
    <row r="34" spans="1:13" ht="40.15" customHeight="1" x14ac:dyDescent="0.25">
      <c r="B34" s="59"/>
      <c r="C34" s="1471"/>
      <c r="D34" s="1447" t="s">
        <v>1225</v>
      </c>
      <c r="E34" s="1448"/>
      <c r="F34" s="1448"/>
      <c r="G34" s="1449"/>
      <c r="H34" s="69"/>
      <c r="I34" s="54"/>
      <c r="J34" s="55"/>
      <c r="K34" s="48"/>
    </row>
    <row r="35" spans="1:13" ht="130.9" customHeight="1" x14ac:dyDescent="0.25">
      <c r="B35" s="59"/>
      <c r="C35" s="1471"/>
      <c r="D35" s="1447" t="s">
        <v>1149</v>
      </c>
      <c r="E35" s="1448"/>
      <c r="F35" s="1448"/>
      <c r="G35" s="1449"/>
      <c r="H35" s="69"/>
      <c r="I35" s="54"/>
      <c r="J35" s="55"/>
      <c r="K35" s="48"/>
    </row>
    <row r="36" spans="1:13" ht="117.6" customHeight="1" x14ac:dyDescent="0.25">
      <c r="B36" s="59"/>
      <c r="C36" s="1472"/>
      <c r="D36" s="1447" t="s">
        <v>1151</v>
      </c>
      <c r="E36" s="1448"/>
      <c r="F36" s="1448"/>
      <c r="G36" s="1449"/>
      <c r="H36" s="69"/>
      <c r="I36" s="54"/>
      <c r="J36" s="55"/>
      <c r="K36" s="48"/>
    </row>
    <row r="37" spans="1:13" ht="18" customHeight="1" x14ac:dyDescent="0.25">
      <c r="B37" s="59"/>
      <c r="C37" s="1433" t="s">
        <v>620</v>
      </c>
      <c r="D37" s="1407" t="s">
        <v>841</v>
      </c>
      <c r="E37" s="1408"/>
      <c r="F37" s="1408"/>
      <c r="G37" s="1409"/>
      <c r="H37" s="69"/>
      <c r="I37" s="54"/>
      <c r="J37" s="55"/>
      <c r="K37" s="48"/>
    </row>
    <row r="38" spans="1:13" ht="18.75" x14ac:dyDescent="0.25">
      <c r="B38" s="59"/>
      <c r="C38" s="1435"/>
      <c r="D38" s="570" t="s">
        <v>111</v>
      </c>
      <c r="E38" s="1466" t="s">
        <v>619</v>
      </c>
      <c r="F38" s="1466"/>
      <c r="G38" s="1467"/>
      <c r="H38" s="69"/>
      <c r="I38" s="54"/>
      <c r="J38" s="55"/>
      <c r="K38" s="48"/>
    </row>
    <row r="39" spans="1:13" ht="24" customHeight="1" x14ac:dyDescent="0.25">
      <c r="B39" s="59"/>
      <c r="C39" s="92"/>
      <c r="D39" s="92"/>
      <c r="E39" s="92"/>
      <c r="F39" s="92"/>
      <c r="G39" s="92"/>
      <c r="H39" s="69"/>
      <c r="I39" s="54"/>
      <c r="J39" s="55"/>
      <c r="K39" s="48"/>
    </row>
    <row r="40" spans="1:13" ht="30" customHeight="1" x14ac:dyDescent="0.25">
      <c r="B40" s="59"/>
      <c r="C40" s="571" t="s">
        <v>612</v>
      </c>
      <c r="D40" s="573" t="s">
        <v>3</v>
      </c>
      <c r="E40" s="572" t="s">
        <v>797</v>
      </c>
      <c r="F40" s="1416" t="s">
        <v>126</v>
      </c>
      <c r="G40" s="1417"/>
      <c r="H40" s="69"/>
      <c r="I40" s="54"/>
      <c r="J40" s="55"/>
      <c r="K40" s="48"/>
    </row>
    <row r="41" spans="1:13" ht="60" customHeight="1" x14ac:dyDescent="0.25">
      <c r="A41" s="50"/>
      <c r="B41" s="59"/>
      <c r="C41" s="294" t="s">
        <v>1152</v>
      </c>
      <c r="D41" s="1246" t="s">
        <v>119</v>
      </c>
      <c r="E41" s="1107"/>
      <c r="F41" s="1468" t="s">
        <v>160</v>
      </c>
      <c r="G41" s="1469"/>
      <c r="H41" s="69"/>
      <c r="I41" s="54"/>
      <c r="J41" s="55"/>
      <c r="K41" s="64"/>
    </row>
    <row r="42" spans="1:13" ht="30" customHeight="1" x14ac:dyDescent="0.25">
      <c r="B42" s="59"/>
      <c r="C42" s="1414" t="s">
        <v>322</v>
      </c>
      <c r="D42" s="1415"/>
      <c r="E42" s="572" t="s">
        <v>157</v>
      </c>
      <c r="F42" s="1416" t="s">
        <v>126</v>
      </c>
      <c r="G42" s="1417"/>
      <c r="H42" s="69"/>
      <c r="I42" s="54"/>
      <c r="J42" s="55"/>
      <c r="K42" s="64"/>
    </row>
    <row r="43" spans="1:13" ht="60" customHeight="1" x14ac:dyDescent="0.25">
      <c r="B43" s="59"/>
      <c r="C43" s="293" t="s">
        <v>980</v>
      </c>
      <c r="D43" s="292" t="s">
        <v>842</v>
      </c>
      <c r="E43" s="1107"/>
      <c r="F43" s="1418" t="s">
        <v>160</v>
      </c>
      <c r="G43" s="1419"/>
      <c r="H43" s="69"/>
      <c r="I43" s="54"/>
      <c r="J43" s="54"/>
      <c r="K43" s="54"/>
      <c r="L43" s="54"/>
      <c r="M43" s="50"/>
    </row>
    <row r="44" spans="1:13" ht="60" customHeight="1" x14ac:dyDescent="0.25">
      <c r="B44" s="59"/>
      <c r="C44" s="293" t="s">
        <v>874</v>
      </c>
      <c r="D44" s="1244" t="s">
        <v>1318</v>
      </c>
      <c r="E44" s="1107"/>
      <c r="F44" s="1418" t="s">
        <v>160</v>
      </c>
      <c r="G44" s="1419"/>
      <c r="H44" s="69"/>
      <c r="I44" s="54"/>
      <c r="J44" s="54"/>
      <c r="K44" s="54"/>
      <c r="L44" s="54"/>
    </row>
    <row r="45" spans="1:13" ht="30" customHeight="1" x14ac:dyDescent="0.25">
      <c r="B45" s="59"/>
      <c r="C45" s="304" t="s">
        <v>320</v>
      </c>
      <c r="D45" s="224"/>
      <c r="E45" s="572" t="s">
        <v>157</v>
      </c>
      <c r="F45" s="1416" t="s">
        <v>126</v>
      </c>
      <c r="G45" s="1417"/>
      <c r="H45" s="69"/>
      <c r="I45" s="54"/>
      <c r="J45" s="54"/>
      <c r="K45" s="54"/>
      <c r="L45" s="54"/>
    </row>
    <row r="46" spans="1:13" ht="60" customHeight="1" x14ac:dyDescent="0.25">
      <c r="B46" s="59"/>
      <c r="C46" s="293" t="s">
        <v>895</v>
      </c>
      <c r="D46" s="292" t="s">
        <v>842</v>
      </c>
      <c r="E46" s="1107"/>
      <c r="F46" s="1418" t="s">
        <v>160</v>
      </c>
      <c r="G46" s="1419"/>
      <c r="H46" s="69"/>
      <c r="I46" s="54"/>
      <c r="J46" s="54"/>
      <c r="K46" s="54"/>
      <c r="L46" s="54"/>
    </row>
    <row r="47" spans="1:13" ht="60" customHeight="1" x14ac:dyDescent="0.25">
      <c r="B47" s="59"/>
      <c r="C47" s="293" t="s">
        <v>865</v>
      </c>
      <c r="D47" s="1244" t="s">
        <v>1318</v>
      </c>
      <c r="E47" s="1107"/>
      <c r="F47" s="1418" t="s">
        <v>160</v>
      </c>
      <c r="G47" s="1419"/>
      <c r="H47" s="69"/>
      <c r="I47" s="54"/>
      <c r="J47" s="54"/>
      <c r="K47" s="54"/>
      <c r="L47" s="54"/>
    </row>
    <row r="48" spans="1:13" ht="30" customHeight="1" x14ac:dyDescent="0.25">
      <c r="B48" s="59"/>
      <c r="C48" s="304" t="s">
        <v>327</v>
      </c>
      <c r="D48" s="224"/>
      <c r="E48" s="572" t="s">
        <v>157</v>
      </c>
      <c r="F48" s="1416" t="s">
        <v>126</v>
      </c>
      <c r="G48" s="1417"/>
      <c r="H48" s="69"/>
      <c r="I48" s="54"/>
      <c r="J48" s="54"/>
      <c r="K48" s="54"/>
      <c r="L48" s="54"/>
    </row>
    <row r="49" spans="2:12" ht="60" customHeight="1" x14ac:dyDescent="0.25">
      <c r="B49" s="59"/>
      <c r="C49" s="293" t="s">
        <v>888</v>
      </c>
      <c r="D49" s="292" t="s">
        <v>842</v>
      </c>
      <c r="E49" s="1107"/>
      <c r="F49" s="1418" t="s">
        <v>160</v>
      </c>
      <c r="G49" s="1419"/>
      <c r="H49" s="69"/>
      <c r="I49" s="54"/>
      <c r="J49" s="54"/>
      <c r="K49" s="64"/>
      <c r="L49" s="54"/>
    </row>
    <row r="50" spans="2:12" ht="60" customHeight="1" x14ac:dyDescent="0.25">
      <c r="B50" s="59"/>
      <c r="C50" s="293" t="s">
        <v>864</v>
      </c>
      <c r="D50" s="1244" t="s">
        <v>1319</v>
      </c>
      <c r="E50" s="1107"/>
      <c r="F50" s="1418" t="s">
        <v>160</v>
      </c>
      <c r="G50" s="1419"/>
      <c r="H50" s="69"/>
      <c r="I50" s="54"/>
      <c r="J50" s="54"/>
      <c r="K50" s="64"/>
      <c r="L50" s="54"/>
    </row>
    <row r="51" spans="2:12" ht="30" customHeight="1" x14ac:dyDescent="0.25">
      <c r="B51" s="59"/>
      <c r="C51" s="304" t="s">
        <v>321</v>
      </c>
      <c r="D51" s="224"/>
      <c r="E51" s="572" t="s">
        <v>157</v>
      </c>
      <c r="F51" s="1416" t="s">
        <v>126</v>
      </c>
      <c r="G51" s="1417"/>
      <c r="H51" s="69"/>
      <c r="I51" s="54"/>
      <c r="J51" s="54"/>
      <c r="K51" s="64"/>
      <c r="L51" s="54"/>
    </row>
    <row r="52" spans="2:12" ht="60" customHeight="1" x14ac:dyDescent="0.25">
      <c r="B52" s="59"/>
      <c r="C52" s="293" t="s">
        <v>860</v>
      </c>
      <c r="D52" s="292" t="s">
        <v>842</v>
      </c>
      <c r="E52" s="1107"/>
      <c r="F52" s="1418" t="s">
        <v>160</v>
      </c>
      <c r="G52" s="1419"/>
      <c r="H52" s="69"/>
      <c r="I52" s="54"/>
      <c r="J52" s="54"/>
      <c r="K52" s="64"/>
      <c r="L52" s="54"/>
    </row>
    <row r="53" spans="2:12" ht="60" customHeight="1" x14ac:dyDescent="0.25">
      <c r="B53" s="59"/>
      <c r="C53" s="293" t="s">
        <v>861</v>
      </c>
      <c r="D53" s="1244" t="s">
        <v>1319</v>
      </c>
      <c r="E53" s="1107"/>
      <c r="F53" s="1418" t="s">
        <v>160</v>
      </c>
      <c r="G53" s="1419"/>
      <c r="H53" s="69"/>
      <c r="I53" s="54"/>
      <c r="J53" s="54"/>
      <c r="K53" s="54"/>
      <c r="L53" s="54"/>
    </row>
    <row r="54" spans="2:12" ht="60" customHeight="1" x14ac:dyDescent="0.25">
      <c r="B54" s="59"/>
      <c r="C54" s="293" t="s">
        <v>454</v>
      </c>
      <c r="D54" s="292" t="s">
        <v>842</v>
      </c>
      <c r="E54" s="1107"/>
      <c r="F54" s="1418" t="s">
        <v>160</v>
      </c>
      <c r="G54" s="1419"/>
      <c r="H54" s="69"/>
      <c r="I54" s="54"/>
      <c r="J54" s="54"/>
      <c r="K54" s="54"/>
      <c r="L54" s="54"/>
    </row>
    <row r="55" spans="2:12" ht="60" customHeight="1" x14ac:dyDescent="0.25">
      <c r="B55" s="59"/>
      <c r="C55" s="293" t="s">
        <v>862</v>
      </c>
      <c r="D55" s="1244" t="s">
        <v>1319</v>
      </c>
      <c r="E55" s="1107"/>
      <c r="F55" s="1418" t="s">
        <v>160</v>
      </c>
      <c r="G55" s="1419"/>
      <c r="H55" s="69"/>
      <c r="I55" s="54"/>
      <c r="J55" s="54"/>
      <c r="K55" s="54"/>
      <c r="L55" s="54"/>
    </row>
    <row r="56" spans="2:12" ht="19.899999999999999" hidden="1" customHeight="1" x14ac:dyDescent="0.25">
      <c r="B56" s="59"/>
      <c r="C56" s="215" t="s">
        <v>323</v>
      </c>
      <c r="D56" s="206" t="s">
        <v>155</v>
      </c>
      <c r="E56" s="221" t="s">
        <v>147</v>
      </c>
      <c r="F56" s="135" t="s">
        <v>146</v>
      </c>
      <c r="G56" s="105"/>
      <c r="H56" s="69"/>
      <c r="I56" s="54"/>
      <c r="J56" s="54"/>
      <c r="K56" s="54"/>
      <c r="L56" s="54"/>
    </row>
    <row r="57" spans="2:12" ht="15" customHeight="1" x14ac:dyDescent="0.25">
      <c r="B57" s="61"/>
      <c r="C57" s="75"/>
      <c r="D57" s="76"/>
      <c r="E57" s="76"/>
      <c r="F57" s="76"/>
      <c r="G57" s="76"/>
      <c r="H57" s="70"/>
      <c r="I57" s="54"/>
      <c r="J57" s="54"/>
      <c r="K57" s="54"/>
      <c r="L57" s="54"/>
    </row>
    <row r="58" spans="2:12" ht="34.9" customHeight="1" x14ac:dyDescent="0.25">
      <c r="C58" s="64"/>
      <c r="D58" s="54"/>
      <c r="E58" s="54"/>
      <c r="F58" s="54"/>
      <c r="G58" s="54"/>
      <c r="H58" s="54"/>
      <c r="I58" s="54"/>
      <c r="J58" s="54"/>
      <c r="K58" s="54"/>
      <c r="L58" s="54"/>
    </row>
    <row r="63" spans="2:12" ht="40.15" customHeight="1" x14ac:dyDescent="0.25">
      <c r="B63" s="66"/>
      <c r="C63" s="66" t="s">
        <v>492</v>
      </c>
      <c r="D63" s="57"/>
      <c r="E63" s="57"/>
      <c r="F63" s="57"/>
      <c r="G63" s="57"/>
      <c r="H63" s="58"/>
      <c r="I63" s="56"/>
      <c r="J63" s="56"/>
    </row>
    <row r="64" spans="2:12" ht="14.45" customHeight="1" x14ac:dyDescent="0.25">
      <c r="B64" s="59"/>
      <c r="H64" s="60"/>
      <c r="I64" s="65"/>
      <c r="J64" s="65"/>
    </row>
    <row r="65" spans="2:12" ht="24" customHeight="1" x14ac:dyDescent="0.25">
      <c r="B65" s="59"/>
      <c r="C65" s="1411" t="s">
        <v>498</v>
      </c>
      <c r="D65" s="1410"/>
      <c r="E65" s="1410"/>
      <c r="F65" s="1410"/>
      <c r="G65" s="115"/>
      <c r="H65" s="60"/>
      <c r="I65" s="65"/>
      <c r="J65" s="65"/>
    </row>
    <row r="66" spans="2:12" ht="24" customHeight="1" x14ac:dyDescent="0.25">
      <c r="B66" s="59"/>
      <c r="C66" s="92"/>
      <c r="D66" s="92"/>
      <c r="E66" s="92"/>
      <c r="F66" s="92"/>
      <c r="G66" s="92"/>
      <c r="H66" s="60"/>
      <c r="I66" s="65"/>
      <c r="J66" s="65"/>
    </row>
    <row r="67" spans="2:12" ht="24" customHeight="1" x14ac:dyDescent="0.25">
      <c r="B67" s="59"/>
      <c r="C67" s="1475" t="s">
        <v>634</v>
      </c>
      <c r="D67" s="1476"/>
      <c r="E67" s="1476"/>
      <c r="F67" s="1476"/>
      <c r="G67" s="1477"/>
      <c r="H67" s="60"/>
      <c r="I67" s="65"/>
      <c r="J67" s="65"/>
    </row>
    <row r="68" spans="2:12" ht="24" customHeight="1" x14ac:dyDescent="0.25">
      <c r="B68" s="59"/>
      <c r="C68" s="703" t="s">
        <v>1153</v>
      </c>
      <c r="D68" s="1407" t="s">
        <v>846</v>
      </c>
      <c r="E68" s="1408"/>
      <c r="F68" s="1408"/>
      <c r="G68" s="1478"/>
      <c r="H68" s="60"/>
      <c r="I68" s="65"/>
      <c r="J68" s="65"/>
    </row>
    <row r="69" spans="2:12" ht="30.6" customHeight="1" x14ac:dyDescent="0.25">
      <c r="B69" s="59"/>
      <c r="C69" s="706"/>
      <c r="D69" s="1436" t="s">
        <v>845</v>
      </c>
      <c r="E69" s="1437"/>
      <c r="F69" s="1437"/>
      <c r="G69" s="1479"/>
      <c r="H69" s="60"/>
      <c r="I69" s="65"/>
      <c r="J69" s="65"/>
    </row>
    <row r="70" spans="2:12" ht="84.6" customHeight="1" x14ac:dyDescent="0.25">
      <c r="B70" s="59"/>
      <c r="C70" s="706"/>
      <c r="D70" s="1480" t="s">
        <v>1154</v>
      </c>
      <c r="E70" s="1481"/>
      <c r="F70" s="1481"/>
      <c r="G70" s="1482"/>
      <c r="H70" s="60"/>
      <c r="I70" s="65"/>
      <c r="J70" s="65"/>
    </row>
    <row r="71" spans="2:12" ht="39" customHeight="1" x14ac:dyDescent="0.25">
      <c r="B71" s="59"/>
      <c r="C71" s="708" t="s">
        <v>848</v>
      </c>
      <c r="D71" s="1447" t="s">
        <v>847</v>
      </c>
      <c r="E71" s="1448"/>
      <c r="F71" s="1449"/>
      <c r="G71" s="1108" t="s">
        <v>1277</v>
      </c>
      <c r="H71" s="60"/>
      <c r="I71" s="65"/>
      <c r="J71" s="65"/>
    </row>
    <row r="72" spans="2:12" ht="19.899999999999999" customHeight="1" x14ac:dyDescent="0.25">
      <c r="B72" s="59"/>
      <c r="C72" s="92"/>
      <c r="D72" s="92"/>
      <c r="E72" s="92"/>
      <c r="F72" s="92"/>
      <c r="G72" s="92"/>
      <c r="H72" s="60"/>
      <c r="I72" s="134"/>
      <c r="J72" s="65"/>
      <c r="L72" s="65"/>
    </row>
    <row r="73" spans="2:12" ht="60" customHeight="1" x14ac:dyDescent="0.25">
      <c r="B73" s="59"/>
      <c r="C73" s="1422" t="s">
        <v>178</v>
      </c>
      <c r="D73" s="1423"/>
      <c r="E73" s="1420" t="s">
        <v>843</v>
      </c>
      <c r="F73" s="1420"/>
      <c r="G73" s="1421"/>
      <c r="H73" s="60"/>
      <c r="I73" s="65"/>
      <c r="J73" s="90"/>
    </row>
    <row r="74" spans="2:12" ht="14.45" customHeight="1" x14ac:dyDescent="0.25">
      <c r="B74" s="59"/>
      <c r="H74" s="60"/>
      <c r="I74" s="65"/>
      <c r="J74" s="65"/>
    </row>
    <row r="75" spans="2:12" ht="24" customHeight="1" x14ac:dyDescent="0.25">
      <c r="B75" s="59"/>
      <c r="C75" s="1411" t="s">
        <v>499</v>
      </c>
      <c r="D75" s="1410"/>
      <c r="E75" s="1410"/>
      <c r="F75" s="1410"/>
      <c r="G75" s="115"/>
      <c r="H75" s="60"/>
      <c r="I75" s="65"/>
      <c r="J75" s="65"/>
    </row>
    <row r="76" spans="2:12" ht="24" customHeight="1" x14ac:dyDescent="0.25">
      <c r="B76" s="59"/>
      <c r="C76" s="92"/>
      <c r="D76" s="92"/>
      <c r="E76" s="1486" t="str">
        <f>IF(E73=FAListas!C60,"Seguir para o ponto 3. Resultados","")</f>
        <v/>
      </c>
      <c r="F76" s="1486"/>
      <c r="G76" s="1486"/>
      <c r="H76" s="60"/>
      <c r="I76" s="65"/>
      <c r="J76" s="65"/>
    </row>
    <row r="77" spans="2:12" ht="24" customHeight="1" x14ac:dyDescent="0.25">
      <c r="B77" s="59"/>
      <c r="C77" s="1475" t="s">
        <v>634</v>
      </c>
      <c r="D77" s="1476"/>
      <c r="E77" s="1476"/>
      <c r="F77" s="1476"/>
      <c r="G77" s="1477"/>
      <c r="H77" s="60"/>
      <c r="I77" s="65"/>
      <c r="J77" s="65"/>
    </row>
    <row r="78" spans="2:12" ht="40.15" customHeight="1" x14ac:dyDescent="0.25">
      <c r="B78" s="59"/>
      <c r="C78" s="703" t="s">
        <v>641</v>
      </c>
      <c r="D78" s="1465" t="s">
        <v>1302</v>
      </c>
      <c r="E78" s="1465"/>
      <c r="F78" s="1465"/>
      <c r="G78" s="1465"/>
      <c r="H78" s="60"/>
      <c r="I78" s="65"/>
      <c r="J78" s="65"/>
    </row>
    <row r="79" spans="2:12" ht="19.899999999999999" customHeight="1" x14ac:dyDescent="0.25">
      <c r="B79" s="59"/>
      <c r="C79" s="703" t="s">
        <v>676</v>
      </c>
      <c r="D79" s="1447" t="s">
        <v>1229</v>
      </c>
      <c r="E79" s="1448"/>
      <c r="F79" s="1448"/>
      <c r="G79" s="1483"/>
      <c r="H79" s="60"/>
      <c r="I79" s="65"/>
      <c r="J79" s="65"/>
    </row>
    <row r="80" spans="2:12" ht="77.45" customHeight="1" x14ac:dyDescent="0.25">
      <c r="B80" s="59"/>
      <c r="C80" s="704" t="s">
        <v>642</v>
      </c>
      <c r="D80" s="1484" t="s">
        <v>1150</v>
      </c>
      <c r="E80" s="1484"/>
      <c r="F80" s="1484"/>
      <c r="G80" s="1485"/>
      <c r="H80" s="60"/>
      <c r="I80" s="65"/>
      <c r="J80" s="65"/>
    </row>
    <row r="81" spans="2:13" ht="15.6" customHeight="1" x14ac:dyDescent="0.25">
      <c r="B81" s="59"/>
      <c r="C81" s="92"/>
      <c r="D81" s="707"/>
      <c r="E81" s="92"/>
      <c r="F81" s="92"/>
      <c r="G81" s="92"/>
      <c r="H81" s="60"/>
      <c r="I81" s="65"/>
      <c r="J81" s="65"/>
    </row>
    <row r="82" spans="2:13" ht="40.15" customHeight="1" x14ac:dyDescent="0.3">
      <c r="B82" s="59"/>
      <c r="C82" s="298" t="s">
        <v>324</v>
      </c>
      <c r="D82" s="574" t="s">
        <v>3</v>
      </c>
      <c r="E82" s="572" t="s">
        <v>751</v>
      </c>
      <c r="F82" s="1473" t="s">
        <v>640</v>
      </c>
      <c r="G82" s="1474"/>
      <c r="H82" s="68"/>
      <c r="I82" s="53"/>
      <c r="J82" s="94"/>
      <c r="K82" s="93"/>
    </row>
    <row r="83" spans="2:13" ht="30" customHeight="1" x14ac:dyDescent="0.3">
      <c r="B83" s="59"/>
      <c r="C83" s="395"/>
      <c r="D83" s="574"/>
      <c r="E83" s="580" t="str">
        <f>IFERROR(IF(SUM(E84:E88)=0, "",IF(SUM(E84:E88)&gt;100, "  A soma das TM é superior a 100%. Por favor, reveja.", IF(SUM(E84:E88)&lt;100, " A soma das TM é inferior a 100%. Por favor, reveja.", ""))),"")</f>
        <v/>
      </c>
      <c r="F83" s="300"/>
      <c r="G83" s="300"/>
      <c r="H83" s="68"/>
      <c r="I83" s="53"/>
      <c r="J83" s="94"/>
      <c r="K83" s="93"/>
    </row>
    <row r="84" spans="2:13" ht="60" customHeight="1" x14ac:dyDescent="0.25">
      <c r="B84" s="59"/>
      <c r="C84" s="293" t="s">
        <v>455</v>
      </c>
      <c r="D84" s="292" t="s">
        <v>77</v>
      </c>
      <c r="E84" s="1105"/>
      <c r="F84" s="1418" t="s">
        <v>160</v>
      </c>
      <c r="G84" s="1419"/>
      <c r="H84" s="69"/>
      <c r="I84" s="54"/>
      <c r="K84" s="90"/>
    </row>
    <row r="85" spans="2:13" ht="60" customHeight="1" x14ac:dyDescent="0.4">
      <c r="B85" s="59"/>
      <c r="C85" s="293" t="s">
        <v>456</v>
      </c>
      <c r="D85" s="292" t="s">
        <v>77</v>
      </c>
      <c r="E85" s="1105"/>
      <c r="F85" s="1418" t="s">
        <v>160</v>
      </c>
      <c r="G85" s="1419"/>
      <c r="H85" s="69"/>
      <c r="I85" s="54"/>
      <c r="J85" s="90"/>
      <c r="K85" s="90"/>
      <c r="M85" s="91"/>
    </row>
    <row r="86" spans="2:13" ht="60" customHeight="1" x14ac:dyDescent="0.25">
      <c r="B86" s="59"/>
      <c r="C86" s="293" t="s">
        <v>457</v>
      </c>
      <c r="D86" s="292" t="s">
        <v>77</v>
      </c>
      <c r="E86" s="1105"/>
      <c r="F86" s="1418" t="s">
        <v>160</v>
      </c>
      <c r="G86" s="1419"/>
      <c r="H86" s="69"/>
      <c r="I86" s="54"/>
      <c r="J86" s="90"/>
      <c r="K86" s="90"/>
    </row>
    <row r="87" spans="2:13" ht="60" customHeight="1" x14ac:dyDescent="0.25">
      <c r="B87" s="59"/>
      <c r="C87" s="293" t="s">
        <v>470</v>
      </c>
      <c r="D87" s="292" t="s">
        <v>77</v>
      </c>
      <c r="E87" s="1105"/>
      <c r="F87" s="1418" t="s">
        <v>160</v>
      </c>
      <c r="G87" s="1419"/>
      <c r="H87" s="69"/>
      <c r="I87" s="54"/>
      <c r="J87" s="90"/>
      <c r="K87" s="90"/>
    </row>
    <row r="88" spans="2:13" ht="60" customHeight="1" x14ac:dyDescent="0.25">
      <c r="B88" s="59"/>
      <c r="C88" s="293" t="s">
        <v>890</v>
      </c>
      <c r="D88" s="292" t="s">
        <v>77</v>
      </c>
      <c r="E88" s="1105"/>
      <c r="F88" s="1418" t="s">
        <v>160</v>
      </c>
      <c r="G88" s="1419"/>
      <c r="H88" s="69"/>
      <c r="I88" s="54"/>
      <c r="J88" s="90"/>
      <c r="K88" s="90"/>
    </row>
    <row r="89" spans="2:13" ht="40.15" customHeight="1" x14ac:dyDescent="0.25">
      <c r="B89" s="59"/>
      <c r="C89" s="396" t="s">
        <v>320</v>
      </c>
      <c r="D89" s="217"/>
      <c r="E89" s="572" t="s">
        <v>751</v>
      </c>
      <c r="F89" s="1473" t="s">
        <v>640</v>
      </c>
      <c r="G89" s="1474"/>
      <c r="H89" s="69"/>
      <c r="I89" s="54"/>
      <c r="J89" s="90"/>
      <c r="K89" s="90"/>
    </row>
    <row r="90" spans="2:13" ht="30" customHeight="1" x14ac:dyDescent="0.25">
      <c r="B90" s="59"/>
      <c r="C90" s="396"/>
      <c r="D90" s="217"/>
      <c r="E90" s="580" t="str">
        <f>IFERROR(IF(SUM(E91:E95)=0, "",IF(SUM(E91:E95)&gt;100, "  A soma das TM é superior a 100%. Por favor, reveja.", IF(SUM(E91:E95)&lt;100, " A soma das TM é inferior a 100%. Por favor, reveja.", ""))),"")</f>
        <v/>
      </c>
      <c r="F90" s="300"/>
      <c r="G90" s="300"/>
      <c r="H90" s="69"/>
      <c r="I90" s="54"/>
      <c r="J90" s="90"/>
      <c r="K90" s="90"/>
    </row>
    <row r="91" spans="2:13" s="446" customFormat="1" ht="60" customHeight="1" x14ac:dyDescent="0.3">
      <c r="B91" s="447"/>
      <c r="C91" s="293" t="s">
        <v>458</v>
      </c>
      <c r="D91" s="292" t="s">
        <v>77</v>
      </c>
      <c r="E91" s="1105"/>
      <c r="F91" s="1418" t="s">
        <v>160</v>
      </c>
      <c r="G91" s="1419"/>
      <c r="H91" s="306"/>
      <c r="I91" s="307"/>
      <c r="J91" s="308"/>
      <c r="K91" s="308"/>
    </row>
    <row r="92" spans="2:13" s="446" customFormat="1" ht="60" customHeight="1" x14ac:dyDescent="0.3">
      <c r="B92" s="447"/>
      <c r="C92" s="293" t="s">
        <v>459</v>
      </c>
      <c r="D92" s="292" t="s">
        <v>77</v>
      </c>
      <c r="E92" s="1105"/>
      <c r="F92" s="1418" t="s">
        <v>160</v>
      </c>
      <c r="G92" s="1419"/>
      <c r="H92" s="306"/>
      <c r="I92" s="307"/>
      <c r="J92" s="308"/>
      <c r="K92" s="308"/>
    </row>
    <row r="93" spans="2:13" s="446" customFormat="1" ht="60" customHeight="1" x14ac:dyDescent="0.3">
      <c r="B93" s="447"/>
      <c r="C93" s="293" t="s">
        <v>460</v>
      </c>
      <c r="D93" s="292" t="s">
        <v>77</v>
      </c>
      <c r="E93" s="1105"/>
      <c r="F93" s="1418" t="s">
        <v>160</v>
      </c>
      <c r="G93" s="1419"/>
      <c r="H93" s="306"/>
      <c r="I93" s="307"/>
      <c r="J93" s="308"/>
      <c r="K93" s="308"/>
    </row>
    <row r="94" spans="2:13" s="446" customFormat="1" ht="60" customHeight="1" x14ac:dyDescent="0.3">
      <c r="B94" s="447"/>
      <c r="C94" s="293" t="s">
        <v>461</v>
      </c>
      <c r="D94" s="292" t="s">
        <v>77</v>
      </c>
      <c r="E94" s="1105"/>
      <c r="F94" s="1418" t="s">
        <v>160</v>
      </c>
      <c r="G94" s="1419"/>
      <c r="H94" s="306"/>
      <c r="I94" s="307"/>
      <c r="J94" s="308"/>
      <c r="K94" s="308"/>
    </row>
    <row r="95" spans="2:13" s="446" customFormat="1" ht="60" customHeight="1" x14ac:dyDescent="0.3">
      <c r="B95" s="447"/>
      <c r="C95" s="293" t="s">
        <v>891</v>
      </c>
      <c r="D95" s="292" t="s">
        <v>77</v>
      </c>
      <c r="E95" s="1105"/>
      <c r="F95" s="1418" t="s">
        <v>160</v>
      </c>
      <c r="G95" s="1419"/>
      <c r="H95" s="306"/>
      <c r="I95" s="307"/>
      <c r="J95" s="308"/>
      <c r="K95" s="308"/>
    </row>
    <row r="96" spans="2:13" ht="40.15" customHeight="1" x14ac:dyDescent="0.25">
      <c r="B96" s="59"/>
      <c r="C96" s="304" t="s">
        <v>469</v>
      </c>
      <c r="D96" s="224"/>
      <c r="E96" s="572" t="s">
        <v>751</v>
      </c>
      <c r="F96" s="1473" t="s">
        <v>640</v>
      </c>
      <c r="G96" s="1474"/>
      <c r="H96" s="69"/>
      <c r="I96" s="54"/>
      <c r="J96" s="90"/>
      <c r="K96" s="90"/>
    </row>
    <row r="97" spans="2:11" ht="30" customHeight="1" x14ac:dyDescent="0.25">
      <c r="B97" s="59"/>
      <c r="C97" s="395"/>
      <c r="D97" s="246"/>
      <c r="E97" s="580" t="str">
        <f>IFERROR(IF(SUM(E98:E102)=0, "",IF(SUM(E98:E102)&gt;100, "  A soma das TM é superior a 100%. Por favor, reveja.", IF(SUM(E98:E102)&lt;100, " A soma das TM é inferior a 100%. Por favor, reveja.", ""))),"")</f>
        <v/>
      </c>
      <c r="F97" s="300"/>
      <c r="G97" s="300"/>
      <c r="H97" s="69"/>
      <c r="I97" s="54"/>
      <c r="J97" s="90"/>
      <c r="K97" s="90"/>
    </row>
    <row r="98" spans="2:11" s="446" customFormat="1" ht="60" customHeight="1" x14ac:dyDescent="0.3">
      <c r="B98" s="447"/>
      <c r="C98" s="293" t="s">
        <v>462</v>
      </c>
      <c r="D98" s="292" t="s">
        <v>77</v>
      </c>
      <c r="E98" s="1105"/>
      <c r="F98" s="1418" t="s">
        <v>160</v>
      </c>
      <c r="G98" s="1419"/>
      <c r="H98" s="306"/>
      <c r="I98" s="307"/>
      <c r="J98" s="308"/>
      <c r="K98" s="308"/>
    </row>
    <row r="99" spans="2:11" s="446" customFormat="1" ht="60" customHeight="1" x14ac:dyDescent="0.3">
      <c r="B99" s="447"/>
      <c r="C99" s="293" t="s">
        <v>463</v>
      </c>
      <c r="D99" s="292" t="s">
        <v>77</v>
      </c>
      <c r="E99" s="1105"/>
      <c r="F99" s="1418" t="s">
        <v>160</v>
      </c>
      <c r="G99" s="1419"/>
      <c r="H99" s="306"/>
      <c r="I99" s="307"/>
      <c r="J99" s="308"/>
      <c r="K99" s="308"/>
    </row>
    <row r="100" spans="2:11" s="446" customFormat="1" ht="60" customHeight="1" x14ac:dyDescent="0.3">
      <c r="B100" s="447"/>
      <c r="C100" s="293" t="s">
        <v>464</v>
      </c>
      <c r="D100" s="292" t="s">
        <v>77</v>
      </c>
      <c r="E100" s="1105"/>
      <c r="F100" s="1418" t="s">
        <v>160</v>
      </c>
      <c r="G100" s="1419"/>
      <c r="H100" s="306"/>
      <c r="I100" s="307"/>
      <c r="J100" s="308"/>
      <c r="K100" s="308"/>
    </row>
    <row r="101" spans="2:11" s="446" customFormat="1" ht="60" customHeight="1" x14ac:dyDescent="0.3">
      <c r="B101" s="447"/>
      <c r="C101" s="293" t="s">
        <v>465</v>
      </c>
      <c r="D101" s="292" t="s">
        <v>77</v>
      </c>
      <c r="E101" s="1105"/>
      <c r="F101" s="1418" t="s">
        <v>160</v>
      </c>
      <c r="G101" s="1419"/>
      <c r="H101" s="306"/>
      <c r="I101" s="307"/>
      <c r="J101" s="308"/>
      <c r="K101" s="308"/>
    </row>
    <row r="102" spans="2:11" s="446" customFormat="1" ht="60" customHeight="1" x14ac:dyDescent="0.3">
      <c r="B102" s="447"/>
      <c r="C102" s="293" t="s">
        <v>892</v>
      </c>
      <c r="D102" s="292" t="s">
        <v>77</v>
      </c>
      <c r="E102" s="1105"/>
      <c r="F102" s="1418" t="s">
        <v>160</v>
      </c>
      <c r="G102" s="1419"/>
      <c r="H102" s="306"/>
      <c r="I102" s="307"/>
      <c r="J102" s="308"/>
      <c r="K102" s="308"/>
    </row>
    <row r="103" spans="2:11" ht="40.15" customHeight="1" x14ac:dyDescent="0.25">
      <c r="B103" s="59"/>
      <c r="C103" s="304" t="s">
        <v>326</v>
      </c>
      <c r="D103" s="224"/>
      <c r="E103" s="572" t="s">
        <v>751</v>
      </c>
      <c r="F103" s="1473" t="s">
        <v>640</v>
      </c>
      <c r="G103" s="1474"/>
      <c r="H103" s="69"/>
      <c r="I103" s="54"/>
      <c r="J103" s="90"/>
      <c r="K103" s="90"/>
    </row>
    <row r="104" spans="2:11" ht="30" customHeight="1" x14ac:dyDescent="0.25">
      <c r="B104" s="59"/>
      <c r="C104" s="395"/>
      <c r="D104" s="246"/>
      <c r="E104" s="580" t="str">
        <f>IFERROR(IF(SUM(E105:E114)=0, "",IF(SUM(E105:E114)&gt;100, "  A soma das TM é superior a 100%. Por favor, reveja.", IF(SUM(E105:E114)&lt;100, " A soma das TM é inferior a 100%. Por favor, reveja.", ""))),"")</f>
        <v/>
      </c>
      <c r="F104" s="300"/>
      <c r="G104" s="300"/>
      <c r="H104" s="69"/>
      <c r="I104" s="54"/>
      <c r="J104" s="90"/>
      <c r="K104" s="90"/>
    </row>
    <row r="105" spans="2:11" s="446" customFormat="1" ht="60" customHeight="1" x14ac:dyDescent="0.3">
      <c r="B105" s="447"/>
      <c r="C105" s="293" t="s">
        <v>849</v>
      </c>
      <c r="D105" s="292" t="s">
        <v>77</v>
      </c>
      <c r="E105" s="1105"/>
      <c r="F105" s="1418" t="s">
        <v>160</v>
      </c>
      <c r="G105" s="1419"/>
      <c r="H105" s="306"/>
      <c r="I105" s="307"/>
      <c r="J105" s="437"/>
    </row>
    <row r="106" spans="2:11" s="446" customFormat="1" ht="60" customHeight="1" x14ac:dyDescent="0.3">
      <c r="B106" s="447"/>
      <c r="C106" s="293" t="s">
        <v>850</v>
      </c>
      <c r="D106" s="292" t="s">
        <v>77</v>
      </c>
      <c r="E106" s="1105"/>
      <c r="F106" s="1418" t="s">
        <v>160</v>
      </c>
      <c r="G106" s="1419"/>
      <c r="H106" s="306"/>
      <c r="I106" s="307"/>
      <c r="J106" s="437"/>
    </row>
    <row r="107" spans="2:11" s="446" customFormat="1" ht="60" customHeight="1" x14ac:dyDescent="0.3">
      <c r="B107" s="447"/>
      <c r="C107" s="293" t="s">
        <v>851</v>
      </c>
      <c r="D107" s="292" t="s">
        <v>77</v>
      </c>
      <c r="E107" s="1105"/>
      <c r="F107" s="1418" t="s">
        <v>160</v>
      </c>
      <c r="G107" s="1419"/>
      <c r="H107" s="306"/>
      <c r="I107" s="307"/>
      <c r="J107" s="437"/>
    </row>
    <row r="108" spans="2:11" s="446" customFormat="1" ht="60" customHeight="1" x14ac:dyDescent="0.3">
      <c r="B108" s="447"/>
      <c r="C108" s="293" t="s">
        <v>854</v>
      </c>
      <c r="D108" s="292" t="s">
        <v>77</v>
      </c>
      <c r="E108" s="1105"/>
      <c r="F108" s="1418" t="s">
        <v>160</v>
      </c>
      <c r="G108" s="1419"/>
      <c r="H108" s="306"/>
      <c r="I108" s="307"/>
      <c r="J108" s="437"/>
    </row>
    <row r="109" spans="2:11" s="446" customFormat="1" ht="60" customHeight="1" x14ac:dyDescent="0.3">
      <c r="B109" s="447"/>
      <c r="C109" s="293" t="s">
        <v>852</v>
      </c>
      <c r="D109" s="292" t="s">
        <v>77</v>
      </c>
      <c r="E109" s="1105"/>
      <c r="F109" s="1418" t="s">
        <v>160</v>
      </c>
      <c r="G109" s="1419"/>
      <c r="H109" s="306"/>
      <c r="I109" s="307"/>
      <c r="J109" s="437"/>
    </row>
    <row r="110" spans="2:11" s="446" customFormat="1" ht="60" customHeight="1" x14ac:dyDescent="0.3">
      <c r="B110" s="447"/>
      <c r="C110" s="293" t="s">
        <v>855</v>
      </c>
      <c r="D110" s="292" t="s">
        <v>77</v>
      </c>
      <c r="E110" s="1105"/>
      <c r="F110" s="1418" t="s">
        <v>160</v>
      </c>
      <c r="G110" s="1419"/>
      <c r="H110" s="306"/>
      <c r="I110" s="307"/>
      <c r="J110" s="437"/>
    </row>
    <row r="111" spans="2:11" s="446" customFormat="1" ht="60" customHeight="1" x14ac:dyDescent="0.3">
      <c r="B111" s="447"/>
      <c r="C111" s="293" t="s">
        <v>853</v>
      </c>
      <c r="D111" s="292" t="s">
        <v>77</v>
      </c>
      <c r="E111" s="1105"/>
      <c r="F111" s="1418" t="s">
        <v>160</v>
      </c>
      <c r="G111" s="1419"/>
      <c r="H111" s="306"/>
      <c r="I111" s="307"/>
      <c r="J111" s="437"/>
    </row>
    <row r="112" spans="2:11" s="446" customFormat="1" ht="60" customHeight="1" x14ac:dyDescent="0.3">
      <c r="B112" s="447"/>
      <c r="C112" s="293" t="s">
        <v>856</v>
      </c>
      <c r="D112" s="292" t="s">
        <v>77</v>
      </c>
      <c r="E112" s="1105"/>
      <c r="F112" s="1418" t="s">
        <v>160</v>
      </c>
      <c r="G112" s="1419"/>
      <c r="H112" s="306"/>
      <c r="I112" s="307"/>
      <c r="J112" s="437"/>
    </row>
    <row r="113" spans="2:11" s="446" customFormat="1" ht="60" customHeight="1" x14ac:dyDescent="0.3">
      <c r="B113" s="447"/>
      <c r="C113" s="293" t="s">
        <v>893</v>
      </c>
      <c r="D113" s="292" t="s">
        <v>77</v>
      </c>
      <c r="E113" s="1105"/>
      <c r="F113" s="1418" t="s">
        <v>160</v>
      </c>
      <c r="G113" s="1419"/>
      <c r="H113" s="306"/>
      <c r="I113" s="307"/>
      <c r="J113" s="437"/>
    </row>
    <row r="114" spans="2:11" s="446" customFormat="1" ht="60" customHeight="1" x14ac:dyDescent="0.3">
      <c r="B114" s="447"/>
      <c r="C114" s="293" t="s">
        <v>894</v>
      </c>
      <c r="D114" s="292" t="s">
        <v>77</v>
      </c>
      <c r="E114" s="1105"/>
      <c r="F114" s="1418" t="s">
        <v>160</v>
      </c>
      <c r="G114" s="1419"/>
      <c r="H114" s="306"/>
      <c r="I114" s="307"/>
      <c r="J114" s="437"/>
    </row>
    <row r="115" spans="2:11" ht="19.899999999999999" hidden="1" customHeight="1" x14ac:dyDescent="0.25">
      <c r="B115" s="59"/>
      <c r="C115" s="215" t="s">
        <v>194</v>
      </c>
      <c r="D115" s="215"/>
      <c r="E115" s="135" t="s">
        <v>146</v>
      </c>
      <c r="F115" s="135" t="s">
        <v>160</v>
      </c>
      <c r="G115" s="287" t="s">
        <v>160</v>
      </c>
      <c r="H115" s="69"/>
      <c r="I115" s="54"/>
      <c r="J115" s="55"/>
      <c r="K115" s="48"/>
    </row>
    <row r="116" spans="2:11" ht="19.899999999999999" hidden="1" customHeight="1" x14ac:dyDescent="0.25">
      <c r="B116" s="59"/>
      <c r="C116" s="87"/>
      <c r="D116" s="88"/>
      <c r="E116" s="105"/>
      <c r="F116" s="105"/>
      <c r="G116" s="287" t="s">
        <v>160</v>
      </c>
      <c r="H116" s="69"/>
      <c r="I116" s="54"/>
      <c r="J116" s="55"/>
      <c r="K116" s="48"/>
    </row>
    <row r="117" spans="2:11" ht="19.899999999999999" hidden="1" customHeight="1" x14ac:dyDescent="0.25">
      <c r="B117" s="59"/>
      <c r="C117" s="87"/>
      <c r="D117" s="88"/>
      <c r="E117" s="105"/>
      <c r="F117" s="105"/>
      <c r="G117" s="287" t="s">
        <v>160</v>
      </c>
      <c r="H117" s="69"/>
      <c r="I117" s="54"/>
      <c r="J117" s="55"/>
      <c r="K117" s="48"/>
    </row>
    <row r="118" spans="2:11" ht="19.899999999999999" hidden="1" customHeight="1" x14ac:dyDescent="0.25">
      <c r="B118" s="59"/>
      <c r="C118" s="87"/>
      <c r="D118" s="88"/>
      <c r="E118" s="105"/>
      <c r="F118" s="105"/>
      <c r="G118" s="287" t="s">
        <v>160</v>
      </c>
      <c r="H118" s="69"/>
      <c r="I118" s="54"/>
      <c r="J118" s="55"/>
      <c r="K118" s="48"/>
    </row>
    <row r="119" spans="2:11" ht="19.899999999999999" hidden="1" customHeight="1" x14ac:dyDescent="0.25">
      <c r="B119" s="59"/>
      <c r="C119" s="87"/>
      <c r="D119" s="88"/>
      <c r="E119" s="105"/>
      <c r="F119" s="105"/>
      <c r="G119" s="287" t="s">
        <v>160</v>
      </c>
      <c r="H119" s="69"/>
      <c r="I119" s="54"/>
      <c r="J119" s="55"/>
      <c r="K119" s="48"/>
    </row>
    <row r="120" spans="2:11" ht="19.899999999999999" hidden="1" customHeight="1" x14ac:dyDescent="0.25">
      <c r="B120" s="59"/>
      <c r="C120" s="87"/>
      <c r="D120" s="88"/>
      <c r="E120" s="105"/>
      <c r="F120" s="105"/>
      <c r="G120" s="287" t="s">
        <v>160</v>
      </c>
      <c r="H120" s="69"/>
      <c r="I120" s="54"/>
      <c r="J120" s="55"/>
      <c r="K120" s="48"/>
    </row>
    <row r="121" spans="2:11" ht="19.899999999999999" hidden="1" customHeight="1" x14ac:dyDescent="0.25">
      <c r="B121" s="59"/>
      <c r="C121" s="87"/>
      <c r="D121" s="88"/>
      <c r="E121" s="105"/>
      <c r="F121" s="105"/>
      <c r="G121" s="287" t="s">
        <v>160</v>
      </c>
      <c r="H121" s="69"/>
      <c r="I121" s="54"/>
      <c r="J121" s="55"/>
      <c r="K121" s="48"/>
    </row>
    <row r="122" spans="2:11" ht="19.899999999999999" hidden="1" customHeight="1" x14ac:dyDescent="0.25">
      <c r="B122" s="59"/>
      <c r="C122" s="87"/>
      <c r="D122" s="88"/>
      <c r="E122" s="105"/>
      <c r="F122" s="105"/>
      <c r="G122" s="287" t="s">
        <v>160</v>
      </c>
      <c r="H122" s="69"/>
      <c r="I122" s="54"/>
      <c r="J122" s="55"/>
      <c r="K122" s="48"/>
    </row>
    <row r="123" spans="2:11" ht="19.899999999999999" hidden="1" customHeight="1" x14ac:dyDescent="0.25">
      <c r="B123" s="59"/>
      <c r="C123" s="87"/>
      <c r="D123" s="88"/>
      <c r="E123" s="105"/>
      <c r="F123" s="105"/>
      <c r="G123" s="287" t="s">
        <v>160</v>
      </c>
      <c r="H123" s="69"/>
      <c r="I123" s="54"/>
      <c r="J123" s="55"/>
      <c r="K123" s="48"/>
    </row>
    <row r="124" spans="2:11" ht="19.899999999999999" hidden="1" customHeight="1" x14ac:dyDescent="0.25">
      <c r="B124" s="59"/>
      <c r="C124" s="87"/>
      <c r="D124" s="88"/>
      <c r="E124" s="105"/>
      <c r="F124" s="105"/>
      <c r="G124" s="287" t="s">
        <v>160</v>
      </c>
      <c r="H124" s="69"/>
      <c r="I124" s="54"/>
      <c r="J124" s="55"/>
      <c r="K124" s="48"/>
    </row>
    <row r="125" spans="2:11" ht="19.899999999999999" hidden="1" customHeight="1" x14ac:dyDescent="0.25">
      <c r="B125" s="59"/>
      <c r="C125" s="87"/>
      <c r="D125" s="88"/>
      <c r="E125" s="88"/>
      <c r="F125" s="88"/>
      <c r="G125" s="287" t="s">
        <v>160</v>
      </c>
      <c r="H125" s="69"/>
      <c r="I125" s="54"/>
      <c r="J125" s="55"/>
      <c r="K125" s="48"/>
    </row>
    <row r="126" spans="2:11" ht="19.899999999999999" hidden="1" customHeight="1" x14ac:dyDescent="0.25">
      <c r="B126" s="59"/>
      <c r="C126" s="1411" t="s">
        <v>159</v>
      </c>
      <c r="D126" s="1410"/>
      <c r="E126" s="1410"/>
      <c r="F126" s="1410"/>
      <c r="G126" s="287" t="s">
        <v>160</v>
      </c>
      <c r="H126" s="69"/>
      <c r="I126" s="54"/>
      <c r="J126" s="55"/>
      <c r="K126" s="48"/>
    </row>
    <row r="127" spans="2:11" ht="19.899999999999999" hidden="1" customHeight="1" x14ac:dyDescent="0.25">
      <c r="B127" s="59"/>
      <c r="C127" s="92"/>
      <c r="D127" s="92"/>
      <c r="E127" s="92"/>
      <c r="F127" s="92"/>
      <c r="G127" s="287" t="s">
        <v>160</v>
      </c>
      <c r="H127" s="69"/>
      <c r="I127" s="54"/>
      <c r="J127" s="55"/>
      <c r="K127" s="48"/>
    </row>
    <row r="128" spans="2:11" ht="19.899999999999999" hidden="1" customHeight="1" x14ac:dyDescent="0.25">
      <c r="B128" s="59"/>
      <c r="C128" s="1412"/>
      <c r="D128" s="1412"/>
      <c r="E128" s="1412"/>
      <c r="F128" s="1412"/>
      <c r="G128" s="287" t="s">
        <v>160</v>
      </c>
      <c r="H128" s="69"/>
      <c r="I128" s="54"/>
      <c r="J128" s="55"/>
      <c r="K128" s="48"/>
    </row>
    <row r="129" spans="2:12" ht="19.899999999999999" hidden="1" customHeight="1" x14ac:dyDescent="0.25">
      <c r="B129" s="59"/>
      <c r="C129" s="95"/>
      <c r="D129" s="95"/>
      <c r="E129" s="95"/>
      <c r="F129" s="95"/>
      <c r="G129" s="287" t="s">
        <v>160</v>
      </c>
      <c r="H129" s="69"/>
      <c r="I129" s="54"/>
      <c r="J129" s="55"/>
      <c r="K129" s="48"/>
    </row>
    <row r="130" spans="2:12" ht="19.899999999999999" hidden="1" customHeight="1" x14ac:dyDescent="0.4">
      <c r="B130" s="59"/>
      <c r="C130" s="98" t="s">
        <v>166</v>
      </c>
      <c r="D130" s="84" t="s">
        <v>3</v>
      </c>
      <c r="E130" s="83" t="s">
        <v>157</v>
      </c>
      <c r="F130" s="85" t="s">
        <v>158</v>
      </c>
      <c r="G130" s="287" t="s">
        <v>160</v>
      </c>
      <c r="H130" s="69"/>
      <c r="I130" s="54"/>
      <c r="J130" s="55"/>
      <c r="K130" s="48"/>
    </row>
    <row r="131" spans="2:12" ht="19.899999999999999" hidden="1" customHeight="1" x14ac:dyDescent="0.25">
      <c r="B131" s="59"/>
      <c r="C131" s="1413" t="s">
        <v>156</v>
      </c>
      <c r="D131" s="1413"/>
      <c r="E131" s="1413"/>
      <c r="F131" s="1413"/>
      <c r="G131" s="287" t="s">
        <v>160</v>
      </c>
      <c r="H131" s="69"/>
      <c r="I131" s="54"/>
      <c r="J131" s="55" t="s">
        <v>174</v>
      </c>
      <c r="K131" s="48"/>
    </row>
    <row r="132" spans="2:12" ht="19.899999999999999" hidden="1" customHeight="1" x14ac:dyDescent="0.25">
      <c r="B132" s="59"/>
      <c r="C132" s="97" t="s">
        <v>167</v>
      </c>
      <c r="D132" s="74" t="s">
        <v>155</v>
      </c>
      <c r="E132" s="82" t="s">
        <v>147</v>
      </c>
      <c r="F132" s="86" t="s">
        <v>160</v>
      </c>
      <c r="G132" s="287" t="s">
        <v>160</v>
      </c>
      <c r="H132" s="69"/>
      <c r="I132" s="54"/>
      <c r="J132" s="55" t="s">
        <v>175</v>
      </c>
      <c r="K132" s="48"/>
    </row>
    <row r="133" spans="2:12" ht="19.899999999999999" hidden="1" customHeight="1" x14ac:dyDescent="0.25">
      <c r="B133" s="59"/>
      <c r="C133" s="97" t="s">
        <v>168</v>
      </c>
      <c r="D133" s="74" t="s">
        <v>155</v>
      </c>
      <c r="E133" s="82" t="s">
        <v>147</v>
      </c>
      <c r="F133" s="86" t="s">
        <v>160</v>
      </c>
      <c r="G133" s="287" t="s">
        <v>160</v>
      </c>
      <c r="H133" s="69"/>
      <c r="I133" s="54"/>
      <c r="J133" s="55"/>
      <c r="K133" s="48"/>
    </row>
    <row r="134" spans="2:12" ht="19.899999999999999" hidden="1" customHeight="1" x14ac:dyDescent="0.25">
      <c r="B134" s="59"/>
      <c r="C134" s="1413" t="s">
        <v>129</v>
      </c>
      <c r="D134" s="1413"/>
      <c r="E134" s="1413"/>
      <c r="F134" s="1413"/>
      <c r="G134" s="287" t="s">
        <v>160</v>
      </c>
      <c r="H134" s="69"/>
      <c r="I134" s="54"/>
      <c r="J134" s="55"/>
      <c r="K134" s="48"/>
    </row>
    <row r="135" spans="2:12" ht="19.899999999999999" hidden="1" customHeight="1" x14ac:dyDescent="0.25">
      <c r="B135" s="59"/>
      <c r="C135" s="73" t="s">
        <v>163</v>
      </c>
      <c r="D135" s="74" t="s">
        <v>155</v>
      </c>
      <c r="E135" s="82" t="s">
        <v>147</v>
      </c>
      <c r="F135" s="86" t="s">
        <v>160</v>
      </c>
      <c r="G135" s="287" t="s">
        <v>160</v>
      </c>
      <c r="H135" s="69"/>
      <c r="I135" s="54"/>
      <c r="J135" s="55"/>
      <c r="K135" s="48"/>
    </row>
    <row r="136" spans="2:12" ht="19.899999999999999" hidden="1" customHeight="1" x14ac:dyDescent="0.25">
      <c r="B136" s="59"/>
      <c r="C136" s="73" t="s">
        <v>165</v>
      </c>
      <c r="D136" s="74" t="s">
        <v>155</v>
      </c>
      <c r="E136" s="82" t="s">
        <v>147</v>
      </c>
      <c r="F136" s="86" t="s">
        <v>160</v>
      </c>
      <c r="G136" s="287" t="s">
        <v>160</v>
      </c>
      <c r="H136" s="69"/>
      <c r="I136" s="54"/>
      <c r="J136" s="55"/>
      <c r="K136" s="48"/>
    </row>
    <row r="137" spans="2:12" ht="19.899999999999999" hidden="1" customHeight="1" x14ac:dyDescent="0.25">
      <c r="B137" s="59"/>
      <c r="C137" s="99" t="s">
        <v>16</v>
      </c>
      <c r="D137" s="99"/>
      <c r="E137" s="99"/>
      <c r="F137" s="99"/>
      <c r="G137" s="287" t="s">
        <v>160</v>
      </c>
      <c r="H137" s="69"/>
      <c r="I137" s="54"/>
      <c r="J137" s="55"/>
      <c r="K137" s="48"/>
    </row>
    <row r="138" spans="2:12" ht="19.899999999999999" hidden="1" customHeight="1" x14ac:dyDescent="0.25">
      <c r="B138" s="59"/>
      <c r="C138" s="73" t="s">
        <v>163</v>
      </c>
      <c r="D138" s="74" t="s">
        <v>155</v>
      </c>
      <c r="E138" s="82" t="s">
        <v>147</v>
      </c>
      <c r="F138" s="86" t="s">
        <v>160</v>
      </c>
      <c r="G138" s="287" t="s">
        <v>160</v>
      </c>
      <c r="H138" s="69"/>
      <c r="I138" s="54"/>
      <c r="J138" s="55"/>
      <c r="K138" s="48"/>
    </row>
    <row r="139" spans="2:12" ht="19.899999999999999" hidden="1" customHeight="1" x14ac:dyDescent="0.25">
      <c r="B139" s="59"/>
      <c r="C139" s="73" t="s">
        <v>164</v>
      </c>
      <c r="D139" s="74" t="s">
        <v>155</v>
      </c>
      <c r="E139" s="82" t="s">
        <v>147</v>
      </c>
      <c r="F139" s="86" t="s">
        <v>160</v>
      </c>
      <c r="G139" s="287" t="s">
        <v>160</v>
      </c>
      <c r="H139" s="69"/>
      <c r="I139" s="54"/>
      <c r="J139" s="55"/>
      <c r="K139" s="48"/>
    </row>
    <row r="140" spans="2:12" ht="19.899999999999999" hidden="1" customHeight="1" x14ac:dyDescent="0.25">
      <c r="B140" s="59"/>
      <c r="C140" s="1413" t="s">
        <v>134</v>
      </c>
      <c r="D140" s="1413"/>
      <c r="E140" s="1413"/>
      <c r="F140" s="1413"/>
      <c r="G140" s="287" t="s">
        <v>160</v>
      </c>
      <c r="H140" s="69"/>
      <c r="I140" s="54"/>
      <c r="J140" s="55"/>
      <c r="K140" s="48"/>
    </row>
    <row r="141" spans="2:12" ht="19.899999999999999" hidden="1" customHeight="1" x14ac:dyDescent="0.25">
      <c r="B141" s="59"/>
      <c r="C141" s="73" t="s">
        <v>163</v>
      </c>
      <c r="D141" s="74" t="s">
        <v>155</v>
      </c>
      <c r="E141" s="82" t="s">
        <v>147</v>
      </c>
      <c r="F141" s="86" t="s">
        <v>160</v>
      </c>
      <c r="G141" s="287" t="s">
        <v>160</v>
      </c>
      <c r="H141" s="69"/>
      <c r="I141" s="54"/>
      <c r="J141" s="55"/>
      <c r="K141" s="48"/>
    </row>
    <row r="142" spans="2:12" ht="19.899999999999999" hidden="1" customHeight="1" x14ac:dyDescent="0.25">
      <c r="B142" s="59"/>
      <c r="C142" s="73" t="s">
        <v>164</v>
      </c>
      <c r="D142" s="74" t="s">
        <v>155</v>
      </c>
      <c r="E142" s="82" t="s">
        <v>147</v>
      </c>
      <c r="F142" s="86" t="s">
        <v>160</v>
      </c>
      <c r="G142" s="287" t="s">
        <v>160</v>
      </c>
      <c r="H142" s="69"/>
      <c r="I142" s="54"/>
      <c r="J142" s="54"/>
      <c r="K142" s="54"/>
      <c r="L142" s="54"/>
    </row>
    <row r="143" spans="2:12" ht="19.899999999999999" hidden="1" customHeight="1" x14ac:dyDescent="0.25">
      <c r="B143" s="59"/>
      <c r="C143" s="1413" t="s">
        <v>161</v>
      </c>
      <c r="D143" s="1413"/>
      <c r="E143" s="1413"/>
      <c r="F143" s="1413"/>
      <c r="G143" s="287" t="s">
        <v>160</v>
      </c>
      <c r="H143" s="69"/>
      <c r="I143" s="54"/>
      <c r="J143" s="54"/>
      <c r="K143" s="54"/>
      <c r="L143" s="54"/>
    </row>
    <row r="144" spans="2:12" ht="19.899999999999999" hidden="1" customHeight="1" x14ac:dyDescent="0.25">
      <c r="B144" s="59"/>
      <c r="C144" s="73" t="s">
        <v>162</v>
      </c>
      <c r="D144" s="74" t="s">
        <v>155</v>
      </c>
      <c r="E144" s="82" t="s">
        <v>147</v>
      </c>
      <c r="F144" s="86" t="s">
        <v>160</v>
      </c>
      <c r="G144" s="287" t="s">
        <v>160</v>
      </c>
      <c r="H144" s="69"/>
      <c r="I144" s="54"/>
      <c r="J144" s="54"/>
      <c r="K144" s="54"/>
      <c r="L144" s="54"/>
    </row>
    <row r="145" spans="2:19" ht="15" customHeight="1" x14ac:dyDescent="0.25">
      <c r="B145" s="61"/>
      <c r="C145" s="75"/>
      <c r="D145" s="76"/>
      <c r="E145" s="76"/>
      <c r="F145" s="76"/>
      <c r="G145" s="76"/>
      <c r="H145" s="70"/>
      <c r="I145" s="54"/>
      <c r="J145" s="54"/>
      <c r="K145" s="54"/>
      <c r="L145" s="54"/>
    </row>
    <row r="153" spans="2:19" ht="39" x14ac:dyDescent="0.25">
      <c r="B153" s="66"/>
      <c r="C153" s="66" t="s">
        <v>494</v>
      </c>
      <c r="D153" s="57"/>
      <c r="E153" s="57"/>
      <c r="F153" s="57"/>
      <c r="G153" s="57"/>
      <c r="H153" s="58"/>
    </row>
    <row r="154" spans="2:19" ht="24" customHeight="1" x14ac:dyDescent="0.25">
      <c r="B154" s="59"/>
      <c r="H154" s="60"/>
    </row>
    <row r="155" spans="2:19" ht="24" customHeight="1" x14ac:dyDescent="0.25">
      <c r="B155" s="59"/>
      <c r="C155" s="1411" t="s">
        <v>857</v>
      </c>
      <c r="D155" s="1410"/>
      <c r="E155" s="1410"/>
      <c r="F155" s="1410"/>
      <c r="G155" s="115"/>
      <c r="H155" s="60"/>
      <c r="J155" s="55"/>
      <c r="K155" s="64"/>
      <c r="R155" s="55"/>
      <c r="S155" s="48"/>
    </row>
    <row r="156" spans="2:19" ht="40.15" customHeight="1" x14ac:dyDescent="0.25">
      <c r="B156" s="59"/>
      <c r="C156" s="592" t="s">
        <v>114</v>
      </c>
      <c r="D156" s="593" t="s">
        <v>3</v>
      </c>
      <c r="E156" s="593" t="s">
        <v>671</v>
      </c>
      <c r="F156" s="593" t="s">
        <v>673</v>
      </c>
      <c r="G156" s="212"/>
      <c r="H156" s="60"/>
      <c r="J156" s="55"/>
      <c r="K156" s="64"/>
      <c r="R156" s="55"/>
      <c r="S156" s="48"/>
    </row>
    <row r="157" spans="2:19" ht="40.15" customHeight="1" x14ac:dyDescent="0.25">
      <c r="B157" s="59"/>
      <c r="C157" s="311" t="s">
        <v>885</v>
      </c>
      <c r="D157" s="312" t="s">
        <v>681</v>
      </c>
      <c r="E157" s="522" t="str">
        <f>IFERROR(FACalc_micromobilidade!D134,"")</f>
        <v/>
      </c>
      <c r="F157" s="523" t="str">
        <f>IFERROR(FACalc_micromobilidade!E134,"")</f>
        <v/>
      </c>
      <c r="G157" s="213"/>
      <c r="H157" s="60"/>
      <c r="J157" s="55"/>
      <c r="K157" s="64"/>
      <c r="R157" s="55"/>
      <c r="S157" s="48"/>
    </row>
    <row r="158" spans="2:19" ht="40.15" customHeight="1" x14ac:dyDescent="0.25">
      <c r="B158" s="59"/>
      <c r="C158" s="313" t="s">
        <v>867</v>
      </c>
      <c r="D158" s="314" t="s">
        <v>681</v>
      </c>
      <c r="E158" s="524">
        <f>IFERROR(FACalc_micromobilidade!D135,"")</f>
        <v>0</v>
      </c>
      <c r="F158" s="525">
        <f>IFERROR(FACalc_micromobilidade!E135,"")</f>
        <v>0</v>
      </c>
      <c r="G158" s="604" t="str">
        <f>IF(F21="", "!Preencher Fator de Emissão de eletricidade","")</f>
        <v>!Preencher Fator de Emissão de eletricidade</v>
      </c>
      <c r="H158" s="60"/>
      <c r="J158" s="55"/>
      <c r="K158" s="64"/>
      <c r="R158" s="55"/>
      <c r="S158" s="48"/>
    </row>
    <row r="159" spans="2:19" ht="40.15" customHeight="1" x14ac:dyDescent="0.25">
      <c r="B159" s="59"/>
      <c r="C159" s="316" t="s">
        <v>868</v>
      </c>
      <c r="D159" s="317" t="s">
        <v>681</v>
      </c>
      <c r="E159" s="526" t="str">
        <f>IFERROR(FACalc_micromobilidade!D136,"")</f>
        <v/>
      </c>
      <c r="F159" s="527" t="str">
        <f>IFERROR(FACalc_micromobilidade!E136,"")</f>
        <v/>
      </c>
      <c r="G159" s="213"/>
      <c r="H159" s="60"/>
      <c r="J159" s="55"/>
      <c r="K159" s="64"/>
      <c r="R159" s="55"/>
      <c r="S159" s="48"/>
    </row>
    <row r="160" spans="2:19" ht="40.15" customHeight="1" x14ac:dyDescent="0.25">
      <c r="B160" s="59"/>
      <c r="C160" s="598" t="s">
        <v>1059</v>
      </c>
      <c r="D160" s="599" t="s">
        <v>681</v>
      </c>
      <c r="E160" s="600" t="str">
        <f>IFERROR(-E157,"")</f>
        <v/>
      </c>
      <c r="F160" s="601" t="str">
        <f>IFERROR(-F157,"")</f>
        <v/>
      </c>
      <c r="G160" s="213"/>
      <c r="H160" s="60"/>
      <c r="J160" s="55"/>
      <c r="K160" s="64"/>
      <c r="R160" s="55"/>
      <c r="S160" s="48"/>
    </row>
    <row r="161" spans="2:19" ht="40.15" customHeight="1" x14ac:dyDescent="0.25">
      <c r="B161" s="59"/>
      <c r="C161" s="320" t="s">
        <v>441</v>
      </c>
      <c r="D161" s="321" t="s">
        <v>784</v>
      </c>
      <c r="E161" s="528" t="str">
        <f>IFERROR(FACalc_micromobilidade!D137,"")</f>
        <v/>
      </c>
      <c r="F161" s="529" t="s">
        <v>107</v>
      </c>
      <c r="G161" s="213"/>
      <c r="H161" s="60"/>
      <c r="J161" s="55"/>
      <c r="K161" s="64"/>
      <c r="R161" s="55"/>
      <c r="S161" s="48"/>
    </row>
    <row r="162" spans="2:19" ht="57.6" customHeight="1" x14ac:dyDescent="0.25">
      <c r="B162" s="59"/>
      <c r="C162" s="1247" t="s">
        <v>1320</v>
      </c>
      <c r="D162" s="321" t="s">
        <v>681</v>
      </c>
      <c r="E162" s="528">
        <f>IFERROR(FACalc_micromobilidade!D138,"")</f>
        <v>0</v>
      </c>
      <c r="F162" s="529" t="s">
        <v>107</v>
      </c>
      <c r="G162" s="213"/>
      <c r="H162" s="60"/>
      <c r="J162" s="55"/>
      <c r="K162" s="64"/>
      <c r="R162" s="55"/>
      <c r="S162" s="48"/>
    </row>
    <row r="163" spans="2:19" ht="48" customHeight="1" x14ac:dyDescent="0.25">
      <c r="B163" s="59"/>
      <c r="C163" s="605" t="s">
        <v>530</v>
      </c>
      <c r="D163" s="1238" t="s">
        <v>1303</v>
      </c>
      <c r="E163" s="606" t="str">
        <f>IFERROR(FACalc_micromobilidade!D139,"")</f>
        <v/>
      </c>
      <c r="F163" s="607" t="str">
        <f>IFERROR(FACalc_micromobilidade!E139,"")</f>
        <v/>
      </c>
      <c r="G163" s="682" t="str">
        <f>IF(E163="","!Preencher Ano de início da exploração (ID_Identificação do Projeto)","" )</f>
        <v>!Preencher Ano de início da exploração (ID_Identificação do Projeto)</v>
      </c>
      <c r="H163" s="60"/>
      <c r="J163" s="55"/>
      <c r="K163" s="48"/>
      <c r="R163" s="55"/>
      <c r="S163" s="48"/>
    </row>
    <row r="164" spans="2:19" ht="19.899999999999999" customHeight="1" x14ac:dyDescent="0.25">
      <c r="B164" s="59"/>
      <c r="C164" s="87"/>
      <c r="D164" s="88"/>
      <c r="E164" s="88"/>
      <c r="F164" s="88"/>
      <c r="G164" s="88"/>
      <c r="H164" s="60"/>
      <c r="J164" s="55"/>
      <c r="K164" s="48"/>
      <c r="R164" s="55"/>
      <c r="S164" s="48"/>
    </row>
    <row r="165" spans="2:19" ht="26.45" customHeight="1" x14ac:dyDescent="0.25">
      <c r="B165" s="59"/>
      <c r="C165" s="1410" t="s">
        <v>682</v>
      </c>
      <c r="D165" s="1410"/>
      <c r="E165" s="1410"/>
      <c r="F165" s="1410"/>
      <c r="G165" s="115"/>
      <c r="H165" s="60"/>
      <c r="J165" s="55"/>
      <c r="K165" s="48"/>
      <c r="R165" s="55"/>
      <c r="S165" s="48"/>
    </row>
    <row r="166" spans="2:19" ht="40.15" customHeight="1" x14ac:dyDescent="0.25">
      <c r="B166" s="59"/>
      <c r="C166" s="304" t="s">
        <v>324</v>
      </c>
      <c r="D166" s="224"/>
      <c r="E166" s="591" t="s">
        <v>671</v>
      </c>
      <c r="F166" s="591" t="s">
        <v>673</v>
      </c>
      <c r="G166" s="214"/>
      <c r="H166" s="60"/>
      <c r="J166" s="55"/>
      <c r="K166" s="48"/>
      <c r="R166" s="55"/>
      <c r="S166" s="48"/>
    </row>
    <row r="167" spans="2:19" ht="40.15" customHeight="1" x14ac:dyDescent="0.25">
      <c r="B167" s="59"/>
      <c r="C167" s="451" t="s">
        <v>500</v>
      </c>
      <c r="D167" s="330" t="s">
        <v>681</v>
      </c>
      <c r="E167" s="487" t="str">
        <f>IFERROR(FACalc_micromobilidade!I126,"")</f>
        <v/>
      </c>
      <c r="F167" s="492" t="str">
        <f>IFERROR(FACalc_micromobilidade!J126,"")</f>
        <v/>
      </c>
      <c r="G167" s="213"/>
      <c r="H167" s="60"/>
      <c r="J167" s="207"/>
      <c r="K167" s="48"/>
      <c r="R167" s="55"/>
      <c r="S167" s="48"/>
    </row>
    <row r="168" spans="2:19" ht="40.15" customHeight="1" x14ac:dyDescent="0.25">
      <c r="B168" s="59"/>
      <c r="C168" s="452" t="s">
        <v>334</v>
      </c>
      <c r="D168" s="332" t="s">
        <v>681</v>
      </c>
      <c r="E168" s="518">
        <f>IFERROR(FACalc_micromobilidade!I127,"")</f>
        <v>0</v>
      </c>
      <c r="F168" s="519">
        <f>IFERROR(FACalc_micromobilidade!J127,"")</f>
        <v>0</v>
      </c>
      <c r="G168" s="213"/>
      <c r="H168" s="60"/>
      <c r="J168" s="55"/>
      <c r="K168" s="48"/>
      <c r="R168" s="55"/>
      <c r="S168" s="48"/>
    </row>
    <row r="169" spans="2:19" ht="40.15" customHeight="1" x14ac:dyDescent="0.25">
      <c r="B169" s="59"/>
      <c r="C169" s="453" t="s">
        <v>468</v>
      </c>
      <c r="D169" s="334" t="s">
        <v>681</v>
      </c>
      <c r="E169" s="490" t="str">
        <f>IFERROR(FACalc_micromobilidade!I128,"")</f>
        <v/>
      </c>
      <c r="F169" s="494" t="str">
        <f>IFERROR(FACalc_micromobilidade!J128,"")</f>
        <v/>
      </c>
      <c r="G169" s="213"/>
      <c r="H169" s="60"/>
      <c r="J169" s="55"/>
      <c r="K169" s="48"/>
      <c r="R169" s="55"/>
      <c r="S169" s="48"/>
    </row>
    <row r="170" spans="2:19" ht="40.15" customHeight="1" x14ac:dyDescent="0.25">
      <c r="B170" s="59"/>
      <c r="C170" s="395" t="s">
        <v>320</v>
      </c>
      <c r="D170" s="246"/>
      <c r="E170" s="591" t="s">
        <v>671</v>
      </c>
      <c r="F170" s="591" t="s">
        <v>673</v>
      </c>
      <c r="G170" s="214"/>
      <c r="H170" s="60"/>
      <c r="J170" s="55"/>
      <c r="K170" s="48"/>
      <c r="R170" s="55"/>
      <c r="S170" s="48"/>
    </row>
    <row r="171" spans="2:19" ht="40.15" customHeight="1" x14ac:dyDescent="0.25">
      <c r="B171" s="59"/>
      <c r="C171" s="451" t="s">
        <v>500</v>
      </c>
      <c r="D171" s="330" t="s">
        <v>681</v>
      </c>
      <c r="E171" s="487" t="str">
        <f>IFERROR(FACalc_micromobilidade!I130,"")</f>
        <v/>
      </c>
      <c r="F171" s="492" t="str">
        <f>IFERROR(FACalc_micromobilidade!J130,"")</f>
        <v/>
      </c>
      <c r="G171" s="213"/>
      <c r="H171" s="60"/>
      <c r="J171" s="55"/>
      <c r="K171" s="48"/>
      <c r="R171" s="55"/>
      <c r="S171" s="48"/>
    </row>
    <row r="172" spans="2:19" ht="40.15" customHeight="1" x14ac:dyDescent="0.25">
      <c r="B172" s="59"/>
      <c r="C172" s="452" t="s">
        <v>334</v>
      </c>
      <c r="D172" s="332" t="s">
        <v>681</v>
      </c>
      <c r="E172" s="518">
        <f>IFERROR(FACalc_micromobilidade!I131,"")</f>
        <v>0</v>
      </c>
      <c r="F172" s="519">
        <f>IFERROR(FACalc_micromobilidade!J131,"")</f>
        <v>0</v>
      </c>
      <c r="G172" s="213"/>
      <c r="H172" s="60"/>
      <c r="J172" s="54"/>
      <c r="K172" s="54"/>
      <c r="R172" s="55"/>
      <c r="S172" s="48"/>
    </row>
    <row r="173" spans="2:19" ht="40.15" customHeight="1" x14ac:dyDescent="0.25">
      <c r="B173" s="59"/>
      <c r="C173" s="453" t="s">
        <v>468</v>
      </c>
      <c r="D173" s="334" t="s">
        <v>681</v>
      </c>
      <c r="E173" s="490" t="str">
        <f>IFERROR(FACalc_micromobilidade!I132,"")</f>
        <v/>
      </c>
      <c r="F173" s="494" t="str">
        <f>IFERROR(FACalc_micromobilidade!J132,"")</f>
        <v/>
      </c>
      <c r="G173" s="213"/>
      <c r="H173" s="60"/>
      <c r="J173" s="54" t="s">
        <v>112</v>
      </c>
      <c r="K173" s="54"/>
      <c r="R173" s="55"/>
      <c r="S173" s="48"/>
    </row>
    <row r="174" spans="2:19" ht="40.15" customHeight="1" x14ac:dyDescent="0.25">
      <c r="B174" s="59"/>
      <c r="C174" s="395" t="s">
        <v>327</v>
      </c>
      <c r="D174" s="246"/>
      <c r="E174" s="591" t="s">
        <v>671</v>
      </c>
      <c r="F174" s="591" t="s">
        <v>673</v>
      </c>
      <c r="G174" s="214"/>
      <c r="H174" s="60"/>
      <c r="J174" s="54"/>
      <c r="K174" s="54"/>
      <c r="R174" s="55"/>
      <c r="S174" s="48"/>
    </row>
    <row r="175" spans="2:19" ht="40.15" customHeight="1" x14ac:dyDescent="0.25">
      <c r="B175" s="59"/>
      <c r="C175" s="451" t="s">
        <v>500</v>
      </c>
      <c r="D175" s="330" t="s">
        <v>681</v>
      </c>
      <c r="E175" s="487" t="str">
        <f>IFERROR(FACalc_micromobilidade!I134,"")</f>
        <v/>
      </c>
      <c r="F175" s="492" t="str">
        <f>IFERROR(FACalc_micromobilidade!J134,"")</f>
        <v/>
      </c>
      <c r="G175" s="213"/>
      <c r="H175" s="60"/>
      <c r="J175" s="54"/>
      <c r="K175" s="54"/>
      <c r="R175" s="55"/>
      <c r="S175" s="48"/>
    </row>
    <row r="176" spans="2:19" ht="40.15" customHeight="1" x14ac:dyDescent="0.25">
      <c r="B176" s="59"/>
      <c r="C176" s="452" t="s">
        <v>334</v>
      </c>
      <c r="D176" s="332" t="s">
        <v>681</v>
      </c>
      <c r="E176" s="518">
        <f>IFERROR(FACalc_micromobilidade!I135,"")</f>
        <v>0</v>
      </c>
      <c r="F176" s="519">
        <f>IFERROR(FACalc_micromobilidade!J135,"")</f>
        <v>0</v>
      </c>
      <c r="G176" s="213"/>
      <c r="H176" s="60"/>
      <c r="J176" s="54"/>
      <c r="K176" s="54"/>
      <c r="R176" s="55"/>
      <c r="S176" s="48"/>
    </row>
    <row r="177" spans="2:19" ht="40.15" customHeight="1" x14ac:dyDescent="0.25">
      <c r="B177" s="59"/>
      <c r="C177" s="453" t="s">
        <v>468</v>
      </c>
      <c r="D177" s="334" t="s">
        <v>681</v>
      </c>
      <c r="E177" s="490" t="str">
        <f>IFERROR(FACalc_micromobilidade!I136,"")</f>
        <v/>
      </c>
      <c r="F177" s="494" t="str">
        <f>IFERROR(FACalc_micromobilidade!J136,"")</f>
        <v/>
      </c>
      <c r="G177" s="213"/>
      <c r="H177" s="60"/>
      <c r="J177" s="208"/>
      <c r="K177" s="54"/>
      <c r="R177" s="55"/>
      <c r="S177" s="48"/>
    </row>
    <row r="178" spans="2:19" ht="40.15" customHeight="1" x14ac:dyDescent="0.25">
      <c r="B178" s="59"/>
      <c r="C178" s="395" t="s">
        <v>335</v>
      </c>
      <c r="D178" s="246"/>
      <c r="E178" s="591" t="s">
        <v>671</v>
      </c>
      <c r="F178" s="591" t="s">
        <v>673</v>
      </c>
      <c r="G178" s="214"/>
      <c r="H178" s="60"/>
      <c r="J178" s="208"/>
      <c r="K178" s="54"/>
      <c r="R178" s="55"/>
      <c r="S178" s="48"/>
    </row>
    <row r="179" spans="2:19" ht="40.15" customHeight="1" x14ac:dyDescent="0.25">
      <c r="B179" s="59"/>
      <c r="C179" s="451" t="s">
        <v>500</v>
      </c>
      <c r="D179" s="330" t="s">
        <v>681</v>
      </c>
      <c r="E179" s="487" t="str">
        <f>IFERROR(FACalc_micromobilidade!I138,"")</f>
        <v/>
      </c>
      <c r="F179" s="492" t="str">
        <f>IFERROR(FACalc_micromobilidade!J138,"")</f>
        <v/>
      </c>
      <c r="G179" s="213"/>
      <c r="H179" s="60"/>
      <c r="J179" s="208"/>
      <c r="K179" s="54"/>
      <c r="R179" s="55"/>
      <c r="S179" s="48"/>
    </row>
    <row r="180" spans="2:19" ht="40.15" customHeight="1" x14ac:dyDescent="0.25">
      <c r="B180" s="59"/>
      <c r="C180" s="452" t="s">
        <v>334</v>
      </c>
      <c r="D180" s="332" t="s">
        <v>681</v>
      </c>
      <c r="E180" s="518">
        <f>IFERROR(FACalc_micromobilidade!I139,"")</f>
        <v>0</v>
      </c>
      <c r="F180" s="519">
        <f>IFERROR(FACalc_micromobilidade!J139,"")</f>
        <v>0</v>
      </c>
      <c r="G180" s="213"/>
      <c r="H180" s="60"/>
      <c r="J180" s="208"/>
      <c r="K180" s="54"/>
      <c r="R180" s="55"/>
      <c r="S180" s="48"/>
    </row>
    <row r="181" spans="2:19" ht="40.15" customHeight="1" x14ac:dyDescent="0.25">
      <c r="B181" s="59"/>
      <c r="C181" s="453" t="s">
        <v>468</v>
      </c>
      <c r="D181" s="334" t="s">
        <v>681</v>
      </c>
      <c r="E181" s="490" t="str">
        <f>IFERROR(FACalc_micromobilidade!I140,"")</f>
        <v/>
      </c>
      <c r="F181" s="494" t="str">
        <f>IFERROR(FACalc_micromobilidade!J140,"")</f>
        <v/>
      </c>
      <c r="G181" s="213"/>
      <c r="H181" s="60"/>
      <c r="J181" s="208"/>
      <c r="K181" s="54"/>
      <c r="R181" s="55"/>
      <c r="S181" s="48"/>
    </row>
    <row r="182" spans="2:19" ht="40.15" customHeight="1" x14ac:dyDescent="0.25">
      <c r="B182" s="59"/>
      <c r="C182" s="395" t="s">
        <v>336</v>
      </c>
      <c r="D182" s="246"/>
      <c r="E182" s="591" t="s">
        <v>671</v>
      </c>
      <c r="F182" s="591" t="s">
        <v>673</v>
      </c>
      <c r="G182" s="214"/>
      <c r="H182" s="60"/>
      <c r="J182" s="54"/>
      <c r="K182" s="54"/>
      <c r="R182" s="55"/>
      <c r="S182" s="48"/>
    </row>
    <row r="183" spans="2:19" ht="40.15" customHeight="1" x14ac:dyDescent="0.25">
      <c r="B183" s="59"/>
      <c r="C183" s="451" t="s">
        <v>500</v>
      </c>
      <c r="D183" s="330" t="s">
        <v>681</v>
      </c>
      <c r="E183" s="487" t="str">
        <f>IFERROR(FACalc_micromobilidade!I142,"")</f>
        <v/>
      </c>
      <c r="F183" s="492" t="str">
        <f>IFERROR(FACalc_micromobilidade!J142,"")</f>
        <v/>
      </c>
      <c r="G183" s="213"/>
      <c r="H183" s="60"/>
      <c r="J183" s="54"/>
      <c r="K183" s="64"/>
      <c r="R183" s="54"/>
      <c r="S183" s="54"/>
    </row>
    <row r="184" spans="2:19" ht="40.15" customHeight="1" x14ac:dyDescent="0.25">
      <c r="B184" s="59"/>
      <c r="C184" s="452" t="s">
        <v>334</v>
      </c>
      <c r="D184" s="332" t="s">
        <v>681</v>
      </c>
      <c r="E184" s="518">
        <f>IFERROR(FACalc_micromobilidade!I143,"")</f>
        <v>0</v>
      </c>
      <c r="F184" s="519">
        <f>IFERROR(FACalc_micromobilidade!J143,"")</f>
        <v>0</v>
      </c>
      <c r="G184" s="213"/>
      <c r="H184" s="60"/>
      <c r="J184" s="159"/>
      <c r="K184" s="54"/>
      <c r="R184" s="54"/>
      <c r="S184" s="54"/>
    </row>
    <row r="185" spans="2:19" ht="40.15" customHeight="1" x14ac:dyDescent="0.25">
      <c r="B185" s="59"/>
      <c r="C185" s="453" t="s">
        <v>468</v>
      </c>
      <c r="D185" s="334" t="s">
        <v>681</v>
      </c>
      <c r="E185" s="490" t="str">
        <f>IFERROR(FACalc_micromobilidade!I144,"")</f>
        <v/>
      </c>
      <c r="F185" s="494" t="str">
        <f>IFERROR(FACalc_micromobilidade!J144,"")</f>
        <v/>
      </c>
      <c r="G185" s="213"/>
      <c r="H185" s="60"/>
      <c r="J185" s="54"/>
      <c r="K185" s="64"/>
      <c r="R185" s="54"/>
      <c r="S185" s="64"/>
    </row>
    <row r="186" spans="2:19" ht="46.9" customHeight="1" x14ac:dyDescent="0.25">
      <c r="B186" s="59"/>
      <c r="C186" s="596"/>
      <c r="D186" s="812"/>
      <c r="E186" s="734"/>
      <c r="F186" s="734"/>
      <c r="G186" s="88"/>
      <c r="H186" s="60"/>
      <c r="J186" s="54"/>
      <c r="K186" s="64"/>
      <c r="R186" s="54"/>
      <c r="S186" s="64"/>
    </row>
    <row r="187" spans="2:19" ht="24" x14ac:dyDescent="0.25">
      <c r="B187" s="59"/>
      <c r="C187" s="1410" t="s">
        <v>972</v>
      </c>
      <c r="D187" s="1410"/>
      <c r="E187" s="1410"/>
      <c r="F187" s="1410"/>
      <c r="G187" s="115"/>
      <c r="H187" s="60"/>
      <c r="J187" s="54"/>
      <c r="K187" s="64"/>
      <c r="R187" s="54"/>
      <c r="S187" s="64"/>
    </row>
    <row r="188" spans="2:19" ht="49.9" customHeight="1" x14ac:dyDescent="0.25">
      <c r="B188" s="59"/>
      <c r="C188" s="759"/>
      <c r="D188" s="759" t="s">
        <v>3</v>
      </c>
      <c r="E188" s="759" t="s">
        <v>320</v>
      </c>
      <c r="F188" s="759" t="s">
        <v>328</v>
      </c>
      <c r="G188" s="759" t="s">
        <v>337</v>
      </c>
      <c r="H188" s="60"/>
      <c r="J188" s="54"/>
      <c r="K188" s="64"/>
      <c r="R188" s="54"/>
      <c r="S188" s="64"/>
    </row>
    <row r="189" spans="2:19" ht="40.15" customHeight="1" x14ac:dyDescent="0.25">
      <c r="B189" s="59"/>
      <c r="C189" s="804" t="s">
        <v>672</v>
      </c>
      <c r="D189" s="805" t="s">
        <v>889</v>
      </c>
      <c r="E189" s="815" t="str">
        <f>IFERROR((E172/$F$21),"")</f>
        <v/>
      </c>
      <c r="F189" s="815" t="str">
        <f>IFERROR((E176/$F$21),"")</f>
        <v/>
      </c>
      <c r="G189" s="816" t="str">
        <f>IFERROR((E180/$F$21),"")</f>
        <v/>
      </c>
      <c r="H189" s="60"/>
      <c r="J189" s="54"/>
      <c r="K189" s="54"/>
      <c r="R189" s="54"/>
      <c r="S189" s="54"/>
    </row>
    <row r="190" spans="2:19" ht="57.6" customHeight="1" x14ac:dyDescent="0.25">
      <c r="B190" s="59"/>
      <c r="C190" s="1248" t="s">
        <v>1322</v>
      </c>
      <c r="D190" s="805" t="s">
        <v>679</v>
      </c>
      <c r="E190" s="806">
        <f>IFERROR(E172,"")</f>
        <v>0</v>
      </c>
      <c r="F190" s="806">
        <f>IFERROR(E176,"")</f>
        <v>0</v>
      </c>
      <c r="G190" s="807">
        <f>IFERROR(E180,"")</f>
        <v>0</v>
      </c>
      <c r="H190" s="60"/>
      <c r="J190" s="54"/>
      <c r="K190" s="64"/>
      <c r="R190" s="54"/>
      <c r="S190" s="54"/>
    </row>
    <row r="191" spans="2:19" ht="57.6" customHeight="1" x14ac:dyDescent="0.25">
      <c r="B191" s="59"/>
      <c r="C191" s="1248" t="s">
        <v>1339</v>
      </c>
      <c r="D191" s="805" t="s">
        <v>887</v>
      </c>
      <c r="E191" s="806" t="str">
        <f>IFERROR(E190/(E46*E47),"")</f>
        <v/>
      </c>
      <c r="F191" s="806" t="str">
        <f>IFERROR((F190/(E49*E50)),"")</f>
        <v/>
      </c>
      <c r="G191" s="807" t="str">
        <f>IFERROR((G190/(E52*E53)),"")</f>
        <v/>
      </c>
      <c r="H191" s="60"/>
      <c r="J191" s="814"/>
      <c r="K191" s="64"/>
      <c r="R191" s="54"/>
      <c r="S191" s="54"/>
    </row>
    <row r="192" spans="2:19" ht="51.6" customHeight="1" x14ac:dyDescent="0.25">
      <c r="B192" s="59"/>
      <c r="C192" s="1234" t="s">
        <v>1301</v>
      </c>
      <c r="D192" s="808" t="s">
        <v>780</v>
      </c>
      <c r="E192" s="806" t="str">
        <f>IFERROR(E190/(E47*E46),"")</f>
        <v/>
      </c>
      <c r="F192" s="806" t="str">
        <f>IFERROR(F190/(E49*E50),"")</f>
        <v/>
      </c>
      <c r="G192" s="807" t="str">
        <f>IFERROR((G190/(E52*E53)),"")</f>
        <v/>
      </c>
      <c r="H192" s="60"/>
      <c r="J192" s="54"/>
      <c r="K192" s="54"/>
      <c r="R192" s="54"/>
      <c r="S192" s="54"/>
    </row>
    <row r="193" spans="2:11" ht="17.45" customHeight="1" x14ac:dyDescent="0.25">
      <c r="B193" s="61"/>
      <c r="C193" s="75"/>
      <c r="D193" s="76"/>
      <c r="E193" s="76"/>
      <c r="F193" s="76"/>
      <c r="G193" s="76"/>
      <c r="H193" s="70"/>
      <c r="I193" s="54"/>
      <c r="J193" s="54"/>
      <c r="K193" s="54"/>
    </row>
    <row r="196" spans="2:11" ht="15.75" x14ac:dyDescent="0.25">
      <c r="C196" s="87"/>
      <c r="D196" s="54"/>
      <c r="E196" s="133"/>
      <c r="F196" s="133"/>
      <c r="G196" s="133"/>
    </row>
  </sheetData>
  <sheetProtection algorithmName="SHA-512" hashValue="KkhEGZn5x7J0s5SXL2AJBsCovMxFj0yKDFw5K1m0fA7yO/Who7slT592ix9kRu6/MgYqZ8IttKahi8qHETKr+Q==" saltValue="s6p1UhB9fzDUuD/eULKgnw==" spinCount="100000" sheet="1" selectLockedCells="1"/>
  <mergeCells count="100">
    <mergeCell ref="C187:F187"/>
    <mergeCell ref="F114:G114"/>
    <mergeCell ref="D78:G78"/>
    <mergeCell ref="C155:F155"/>
    <mergeCell ref="K20:L20"/>
    <mergeCell ref="J21:L23"/>
    <mergeCell ref="F109:G109"/>
    <mergeCell ref="F110:G110"/>
    <mergeCell ref="F111:G111"/>
    <mergeCell ref="F112:G112"/>
    <mergeCell ref="F113:G113"/>
    <mergeCell ref="F103:G103"/>
    <mergeCell ref="F105:G105"/>
    <mergeCell ref="F106:G106"/>
    <mergeCell ref="F107:G107"/>
    <mergeCell ref="F108:G108"/>
    <mergeCell ref="F98:G98"/>
    <mergeCell ref="F99:G99"/>
    <mergeCell ref="F100:G100"/>
    <mergeCell ref="F101:G101"/>
    <mergeCell ref="F102:G102"/>
    <mergeCell ref="F93:G93"/>
    <mergeCell ref="F94:G94"/>
    <mergeCell ref="F95:G95"/>
    <mergeCell ref="F96:G96"/>
    <mergeCell ref="F87:G87"/>
    <mergeCell ref="F88:G88"/>
    <mergeCell ref="F89:G89"/>
    <mergeCell ref="F91:G91"/>
    <mergeCell ref="F92:G92"/>
    <mergeCell ref="F53:G53"/>
    <mergeCell ref="F54:G54"/>
    <mergeCell ref="F55:G55"/>
    <mergeCell ref="F86:G86"/>
    <mergeCell ref="F82:G82"/>
    <mergeCell ref="C67:G67"/>
    <mergeCell ref="D68:G68"/>
    <mergeCell ref="D69:G69"/>
    <mergeCell ref="D70:G70"/>
    <mergeCell ref="D71:F71"/>
    <mergeCell ref="C77:G77"/>
    <mergeCell ref="D79:G79"/>
    <mergeCell ref="D80:G80"/>
    <mergeCell ref="F84:G84"/>
    <mergeCell ref="F85:G85"/>
    <mergeCell ref="E76:G76"/>
    <mergeCell ref="F49:G49"/>
    <mergeCell ref="F50:G50"/>
    <mergeCell ref="F48:G48"/>
    <mergeCell ref="F51:G51"/>
    <mergeCell ref="F52:G52"/>
    <mergeCell ref="K5:L5"/>
    <mergeCell ref="J6:L9"/>
    <mergeCell ref="C32:G32"/>
    <mergeCell ref="D33:G33"/>
    <mergeCell ref="C131:F131"/>
    <mergeCell ref="J25:K26"/>
    <mergeCell ref="L25:L26"/>
    <mergeCell ref="J27:K27"/>
    <mergeCell ref="C37:C38"/>
    <mergeCell ref="E38:G38"/>
    <mergeCell ref="F40:G40"/>
    <mergeCell ref="F41:G41"/>
    <mergeCell ref="D36:G36"/>
    <mergeCell ref="C33:C36"/>
    <mergeCell ref="F45:G45"/>
    <mergeCell ref="F46:G46"/>
    <mergeCell ref="D34:G34"/>
    <mergeCell ref="D35:G35"/>
    <mergeCell ref="O21:R21"/>
    <mergeCell ref="O23:O24"/>
    <mergeCell ref="P23:P24"/>
    <mergeCell ref="Q23:Q24"/>
    <mergeCell ref="R23:R24"/>
    <mergeCell ref="D10:G10"/>
    <mergeCell ref="D11:G11"/>
    <mergeCell ref="D12:G12"/>
    <mergeCell ref="D13:G13"/>
    <mergeCell ref="C14:C18"/>
    <mergeCell ref="D14:G14"/>
    <mergeCell ref="D15:G15"/>
    <mergeCell ref="D16:G16"/>
    <mergeCell ref="D17:G17"/>
    <mergeCell ref="D18:G18"/>
    <mergeCell ref="D37:G37"/>
    <mergeCell ref="C165:F165"/>
    <mergeCell ref="C75:F75"/>
    <mergeCell ref="C126:F126"/>
    <mergeCell ref="C128:F128"/>
    <mergeCell ref="C134:F134"/>
    <mergeCell ref="C140:F140"/>
    <mergeCell ref="C143:F143"/>
    <mergeCell ref="C42:D42"/>
    <mergeCell ref="F42:G42"/>
    <mergeCell ref="F43:G43"/>
    <mergeCell ref="F44:G44"/>
    <mergeCell ref="E73:G73"/>
    <mergeCell ref="C65:F65"/>
    <mergeCell ref="C73:D73"/>
    <mergeCell ref="F47:G47"/>
  </mergeCells>
  <dataValidations count="3">
    <dataValidation errorStyle="warning" allowBlank="1" showInputMessage="1" showErrorMessage="1" error="Não Introduzir valor" sqref="F27:F28 F22:F25 E46:E47 E49:E50 E41 E43:E44 E52:E55" xr:uid="{675C4572-5DE4-4CF9-9295-C2238117F1A7}"/>
    <dataValidation type="list" allowBlank="1" showInputMessage="1" showErrorMessage="1" sqref="K5:L5" xr:uid="{99DA7662-898C-4964-BB55-ACC5D0A9E371}">
      <formula1>$T$4:$T$6</formula1>
    </dataValidation>
    <dataValidation type="list" allowBlank="1" showInputMessage="1" showErrorMessage="1" sqref="K20:L20" xr:uid="{13CD5121-E12B-457C-8289-9ECC618843F1}">
      <formula1>$T$21:$T$22</formula1>
    </dataValidation>
  </dataValidations>
  <hyperlinks>
    <hyperlink ref="E38:G38" r:id="rId1" display="Mobilidade e funcionalidade do território nas Áreas Metropolitanas do Porto e de Lisboa : 2017" xr:uid="{C0FD5B8A-5777-4803-A858-8B8A9BA0A2D4}"/>
    <hyperlink ref="G71" r:id="rId2" display="Teixeira, J. et al. (2023) " xr:uid="{38D62505-7E5E-4044-B455-B272639723C4}"/>
    <hyperlink ref="G158" location="'TM3_ferrovia e metro'!F20" display="'TM3_ferrovia e metro'!F20" xr:uid="{0E47A94C-00D9-4E9F-963D-A8149F30DD84}"/>
  </hyperlinks>
  <pageMargins left="0.7" right="0.7" top="0.75" bottom="0.75" header="0.3" footer="0.3"/>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8" id="{FB5FB1A3-97FB-417D-91DA-F80B9B5B9815}">
            <xm:f>FACalc_rodovia!$C$11=FAListas!#REF!</xm:f>
            <x14:dxf>
              <fill>
                <patternFill>
                  <bgColor theme="1"/>
                </patternFill>
              </fill>
            </x14:dxf>
          </x14:cfRule>
          <xm:sqref>C161:C162</xm:sqref>
        </x14:conditionalFormatting>
        <x14:conditionalFormatting xmlns:xm="http://schemas.microsoft.com/office/excel/2006/main">
          <x14:cfRule type="expression" priority="4" id="{42EF87D6-1650-4B12-8544-78ABBD8D0563}">
            <xm:f>$E$73=FAListas!$C$58</xm:f>
            <x14:dxf>
              <font>
                <strike val="0"/>
                <color theme="1"/>
              </font>
              <fill>
                <patternFill>
                  <bgColor theme="1"/>
                </patternFill>
              </fill>
              <border>
                <left/>
                <right/>
                <top/>
                <bottom/>
              </border>
            </x14:dxf>
          </x14:cfRule>
          <x14:cfRule type="expression" priority="5" id="{1DF5361D-BA83-4FAC-B0EC-25C9389B8AFF}">
            <xm:f>$E$73=FAListas!$C$60</xm:f>
            <x14:dxf>
              <font>
                <strike val="0"/>
                <color theme="1"/>
              </font>
              <fill>
                <patternFill>
                  <bgColor theme="1"/>
                </patternFill>
              </fill>
              <border>
                <left/>
                <right/>
                <top/>
                <bottom/>
              </border>
            </x14:dxf>
          </x14:cfRule>
          <xm:sqref>C76:E76 C75:G75 C77:G114</xm:sqref>
        </x14:conditionalFormatting>
        <x14:conditionalFormatting xmlns:xm="http://schemas.microsoft.com/office/excel/2006/main">
          <x14:cfRule type="expression" priority="22" id="{015D03A2-B1B6-44C0-B363-F15E2C1C11E8}">
            <xm:f>FACalc_rodovia!$C$11=FAListas!#REF!</xm:f>
            <x14:dxf>
              <fill>
                <patternFill>
                  <bgColor theme="1"/>
                </patternFill>
              </fill>
            </x14:dxf>
          </x14:cfRule>
          <xm:sqref>C156:F156</xm:sqref>
        </x14:conditionalFormatting>
        <x14:conditionalFormatting xmlns:xm="http://schemas.microsoft.com/office/excel/2006/main">
          <x14:cfRule type="expression" priority="763" id="{C75B0344-E878-461E-9807-0273F1B5324F}">
            <xm:f>FACalc_micromobilidade!$C$14=FAListas!#REF!</xm:f>
            <x14:dxf>
              <fill>
                <patternFill patternType="solid">
                  <fgColor rgb="FFFF0000"/>
                  <bgColor theme="1"/>
                </patternFill>
              </fill>
            </x14:dxf>
          </x14:cfRule>
          <xm:sqref>E41 E43:E44 E46:E47 E49:E50 E52:E55</xm:sqref>
        </x14:conditionalFormatting>
        <x14:conditionalFormatting xmlns:xm="http://schemas.microsoft.com/office/excel/2006/main">
          <x14:cfRule type="expression" priority="764" id="{24CFFF80-FB80-4540-BEE0-D170C1A831CB}">
            <xm:f>#REF!=FAListas!#REF!</xm:f>
            <x14:dxf>
              <fill>
                <patternFill patternType="solid">
                  <fgColor rgb="FFFF0000"/>
                  <bgColor theme="1"/>
                </patternFill>
              </fill>
            </x14:dxf>
          </x14:cfRule>
          <xm:sqref>E43:E44 E46:E47 E49:E50 E52:E55</xm:sqref>
        </x14:conditionalFormatting>
        <x14:conditionalFormatting xmlns:xm="http://schemas.microsoft.com/office/excel/2006/main">
          <x14:cfRule type="expression" priority="3" id="{84BF561E-61CE-488C-BF2C-EAD1A952D46E}">
            <xm:f>$E$73=FAListas!$C$60</xm:f>
            <x14:dxf>
              <font>
                <strike val="0"/>
                <color rgb="FFFFC000"/>
              </font>
              <fill>
                <patternFill>
                  <bgColor theme="1"/>
                </patternFill>
              </fill>
              <border>
                <left/>
                <right/>
                <top/>
                <bottom/>
              </border>
            </x14:dxf>
          </x14:cfRule>
          <xm:sqref>E76</xm:sqref>
        </x14:conditionalFormatting>
        <x14:conditionalFormatting xmlns:xm="http://schemas.microsoft.com/office/excel/2006/main">
          <x14:cfRule type="expression" priority="778" id="{2BB24BE4-F275-48C5-808F-B5B0E42F8CB4}">
            <xm:f>IF(#REF!=FAListas!$C$6,TRUE, IF(#REF!=FAListas!#REF!, TRUE,""))</xm:f>
            <x14:dxf>
              <fill>
                <patternFill>
                  <bgColor theme="1"/>
                </patternFill>
              </fill>
            </x14:dxf>
          </x14:cfRule>
          <xm:sqref>E157:F157 E167:F167 E171:F171 E175:F175 E179:F179 E183:F183</xm:sqref>
        </x14:conditionalFormatting>
        <x14:conditionalFormatting xmlns:xm="http://schemas.microsoft.com/office/excel/2006/main">
          <x14:cfRule type="expression" priority="779" id="{2D30F6C5-4673-4217-B5EA-FBAE54B11FCE}">
            <xm:f>#REF!=FAListas!#REF!</xm:f>
            <x14:dxf>
              <fill>
                <patternFill>
                  <bgColor theme="1"/>
                </patternFill>
              </fill>
            </x14:dxf>
          </x14:cfRule>
          <xm:sqref>E158:F163</xm:sqref>
        </x14:conditionalFormatting>
        <x14:conditionalFormatting xmlns:xm="http://schemas.microsoft.com/office/excel/2006/main">
          <x14:cfRule type="expression" priority="19" id="{5C0CA112-6447-4C99-A650-2DD4B73AE478}">
            <xm:f>IF(#REF!=FAListas!$C$6,TRUE, IF(#REF!=FAListas!#REF!, TRUE,""))</xm:f>
            <x14:dxf>
              <fill>
                <patternFill>
                  <bgColor theme="1"/>
                </patternFill>
              </fill>
            </x14:dxf>
          </x14:cfRule>
          <xm:sqref>E160:F160</xm:sqref>
        </x14:conditionalFormatting>
        <x14:conditionalFormatting xmlns:xm="http://schemas.microsoft.com/office/excel/2006/main">
          <x14:cfRule type="expression" priority="29" id="{3CA4AC3A-10AE-4C43-9EA3-0798B6A078DF}">
            <xm:f>$E$23=FAListas!$C$57</xm:f>
            <x14:dxf>
              <font>
                <color theme="1"/>
              </font>
              <fill>
                <patternFill patternType="solid">
                  <fgColor rgb="FFFF0000"/>
                  <bgColor theme="1"/>
                </patternFill>
              </fill>
            </x14:dxf>
          </x14:cfRule>
          <xm:sqref>F22:G22</xm:sqref>
        </x14:conditionalFormatting>
        <x14:conditionalFormatting xmlns:xm="http://schemas.microsoft.com/office/excel/2006/main">
          <x14:cfRule type="expression" priority="33" id="{EB8806FE-F1A8-46FB-8B21-5C07AB4C1B30}">
            <xm:f>$E$23=FAListas!$C$57</xm:f>
            <x14:dxf>
              <fill>
                <patternFill>
                  <bgColor theme="1"/>
                </patternFill>
              </fill>
            </x14:dxf>
          </x14:cfRule>
          <xm:sqref>F23:G23</xm:sqref>
        </x14:conditionalFormatting>
        <x14:conditionalFormatting xmlns:xm="http://schemas.microsoft.com/office/excel/2006/main">
          <x14:cfRule type="expression" priority="17" id="{4D72B402-E47A-418C-A375-246C0ECBF0C1}">
            <xm:f>$E$25=FAListas!$C$57</xm:f>
            <x14:dxf>
              <font>
                <color theme="1"/>
              </font>
              <fill>
                <patternFill patternType="solid">
                  <fgColor rgb="FFFF0000"/>
                  <bgColor theme="1"/>
                </patternFill>
              </fill>
            </x14:dxf>
          </x14:cfRule>
          <xm:sqref>F24:G24</xm:sqref>
        </x14:conditionalFormatting>
        <x14:conditionalFormatting xmlns:xm="http://schemas.microsoft.com/office/excel/2006/main">
          <x14:cfRule type="expression" priority="139" id="{1DFD838A-65EF-4304-AB7E-E75929082C5E}">
            <xm:f>$E$25=FAListas!$C$57</xm:f>
            <x14:dxf>
              <fill>
                <patternFill patternType="solid">
                  <fgColor theme="0"/>
                  <bgColor theme="1"/>
                </patternFill>
              </fill>
            </x14:dxf>
          </x14:cfRule>
          <xm:sqref>F25:G25</xm:sqref>
        </x14:conditionalFormatting>
        <x14:conditionalFormatting xmlns:xm="http://schemas.microsoft.com/office/excel/2006/main">
          <x14:cfRule type="expression" priority="1" id="{BFC77F16-C4EA-46F5-9781-D57D83268AA8}">
            <xm:f>AND($E$27=FAListas!$C$57,$E$28=FAListas!$C$57)</xm:f>
            <x14:dxf>
              <font>
                <color theme="1"/>
              </font>
              <fill>
                <patternFill>
                  <bgColor theme="1"/>
                </patternFill>
              </fill>
            </x14:dxf>
          </x14:cfRule>
          <xm:sqref>F26:G26</xm:sqref>
        </x14:conditionalFormatting>
        <x14:conditionalFormatting xmlns:xm="http://schemas.microsoft.com/office/excel/2006/main">
          <x14:cfRule type="expression" priority="65" id="{F757CAE2-4D86-4538-A42C-410A608C5076}">
            <xm:f>$E$27=FAListas!$C$57</xm:f>
            <x14:dxf>
              <fill>
                <patternFill>
                  <bgColor theme="1"/>
                </patternFill>
              </fill>
            </x14:dxf>
          </x14:cfRule>
          <xm:sqref>F27:G27</xm:sqref>
        </x14:conditionalFormatting>
        <x14:conditionalFormatting xmlns:xm="http://schemas.microsoft.com/office/excel/2006/main">
          <x14:cfRule type="expression" priority="138" id="{788D1787-D4EA-4707-824F-75918B63A0D5}">
            <xm:f>$E$28=FAListas!$C$57</xm:f>
            <x14:dxf>
              <fill>
                <patternFill patternType="solid">
                  <fgColor rgb="FFFF0000"/>
                  <bgColor theme="1"/>
                </patternFill>
              </fill>
            </x14:dxf>
          </x14:cfRule>
          <xm:sqref>F28:G28</xm:sqref>
        </x14:conditionalFormatting>
        <x14:conditionalFormatting xmlns:xm="http://schemas.microsoft.com/office/excel/2006/main">
          <x14:cfRule type="expression" priority="30" id="{8D45CA80-71C2-4755-8D93-B10C2F817311}">
            <xm:f>$E$25=FAListas!$C$57</xm:f>
            <x14:dxf>
              <fill>
                <patternFill>
                  <bgColor theme="1"/>
                </patternFill>
              </fill>
            </x14:dxf>
          </x14:cfRule>
          <xm:sqref>G24</xm:sqref>
        </x14:conditionalFormatting>
        <x14:conditionalFormatting xmlns:xm="http://schemas.microsoft.com/office/excel/2006/main">
          <x14:cfRule type="expression" priority="21" id="{5EB7BA60-952F-4C99-8C5D-CC161DC3CB99}">
            <xm:f>FACalc_ferrovia!$C$10=FAListas!#REF!</xm:f>
            <x14:dxf>
              <fill>
                <patternFill>
                  <bgColor theme="1"/>
                </patternFill>
              </fill>
            </x14:dxf>
          </x14:cfRule>
          <xm:sqref>G158</xm:sqref>
        </x14:conditionalFormatting>
        <x14:conditionalFormatting xmlns:xm="http://schemas.microsoft.com/office/excel/2006/main">
          <x14:cfRule type="expression" priority="20" id="{09BCD183-D115-42E2-A0FF-EB2F405D6FD3}">
            <xm:f>FACalc_ferrovia!$C$10=FAListas!#REF!</xm:f>
            <x14:dxf>
              <fill>
                <patternFill>
                  <bgColor theme="1"/>
                </patternFill>
              </fill>
            </x14:dxf>
          </x14:cfRule>
          <xm:sqref>G163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380CD7B-69DE-49BF-87DD-45C4B3ADA0B3}">
          <x14:formula1>
            <xm:f>FAListas!$C$15:$C$17</xm:f>
          </x14:formula1>
          <xm:sqref>E115</xm:sqref>
        </x14:dataValidation>
        <x14:dataValidation type="list" allowBlank="1" showInputMessage="1" showErrorMessage="1" xr:uid="{5BA814C9-C408-4F43-A56C-FA73C4B70198}">
          <x14:formula1>
            <xm:f>FAListas!$C$58:$C$60</xm:f>
          </x14:formula1>
          <xm:sqref>E73</xm:sqref>
        </x14:dataValidation>
        <x14:dataValidation type="list" allowBlank="1" showInputMessage="1" showErrorMessage="1" xr:uid="{ABD3875D-B198-4005-9F1D-F9B6FB47B4BD}">
          <x14:formula1>
            <xm:f>FAListas!$C$55:$C$57</xm:f>
          </x14:formula1>
          <xm:sqref>E23 E25 E27:E29</xm:sqref>
        </x14:dataValidation>
        <x14:dataValidation type="list" allowBlank="1" showInputMessage="1" showErrorMessage="1" xr:uid="{F884AD95-C8FF-44A2-98D4-E8E195E6CF07}">
          <x14:formula1>
            <xm:f>FAListas!$C$5:$C$14</xm:f>
          </x14:formula1>
          <xm:sqref>F56:G56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16B1-46CC-42E4-B2EC-4F00D6226992}">
  <dimension ref="A1:AE148"/>
  <sheetViews>
    <sheetView showGridLines="0" zoomScale="75" zoomScaleNormal="75" workbookViewId="0">
      <pane ySplit="6225" topLeftCell="A32"/>
      <selection activeCell="Z15" sqref="Z15"/>
      <selection pane="bottomLeft" activeCell="D12" sqref="D12"/>
    </sheetView>
  </sheetViews>
  <sheetFormatPr defaultRowHeight="15" x14ac:dyDescent="0.25"/>
  <cols>
    <col min="1" max="1" width="11.42578125" bestFit="1" customWidth="1"/>
    <col min="2" max="2" width="48" customWidth="1"/>
    <col min="3" max="3" width="16.28515625" customWidth="1"/>
    <col min="4" max="4" width="38.42578125" style="1" customWidth="1"/>
    <col min="5" max="5" width="37.7109375" style="1" customWidth="1"/>
    <col min="6" max="6" width="22.7109375" style="1" customWidth="1"/>
    <col min="7" max="7" width="48" style="1" customWidth="1"/>
    <col min="8" max="8" width="16.28515625" style="1" customWidth="1"/>
    <col min="9" max="9" width="38.42578125" style="1" customWidth="1"/>
    <col min="10" max="10" width="37.7109375" style="1" customWidth="1"/>
    <col min="11" max="12" width="17.7109375" style="1" customWidth="1"/>
    <col min="13" max="13" width="16.28515625" style="1" customWidth="1"/>
    <col min="14" max="15" width="20.7109375" style="1" customWidth="1"/>
    <col min="16" max="23" width="20.7109375" customWidth="1"/>
    <col min="24" max="24" width="51.5703125" customWidth="1"/>
    <col min="25" max="25" width="29.28515625" customWidth="1"/>
    <col min="26" max="32" width="20.7109375" customWidth="1"/>
  </cols>
  <sheetData>
    <row r="1" spans="1:31" x14ac:dyDescent="0.25">
      <c r="I1" s="104"/>
    </row>
    <row r="2" spans="1:31" x14ac:dyDescent="0.25">
      <c r="I2" s="104"/>
    </row>
    <row r="5" spans="1:31" s="121" customFormat="1" ht="12.75" x14ac:dyDescent="0.2">
      <c r="A5" s="120" t="s">
        <v>173</v>
      </c>
      <c r="D5" s="122"/>
      <c r="E5" s="122"/>
      <c r="F5" s="122"/>
      <c r="G5" s="122"/>
      <c r="H5" s="122"/>
      <c r="I5" s="122"/>
      <c r="J5" s="122"/>
      <c r="K5" s="122"/>
      <c r="L5" s="122"/>
      <c r="M5" s="122"/>
      <c r="N5" s="122"/>
      <c r="O5" s="122"/>
    </row>
    <row r="6" spans="1:31" s="123" customFormat="1" ht="12.75" x14ac:dyDescent="0.2">
      <c r="D6" s="124"/>
      <c r="E6" s="124"/>
      <c r="F6" s="124"/>
      <c r="G6" s="124"/>
      <c r="H6" s="124"/>
      <c r="I6" s="124"/>
      <c r="J6" s="124"/>
      <c r="K6" s="124"/>
      <c r="L6" s="124"/>
      <c r="M6" s="124"/>
      <c r="N6" s="124"/>
      <c r="O6" s="124"/>
    </row>
    <row r="7" spans="1:31" s="125" customFormat="1" ht="12.75" x14ac:dyDescent="0.2">
      <c r="B7" s="126" t="s">
        <v>192</v>
      </c>
      <c r="D7" s="127"/>
      <c r="E7" s="127"/>
      <c r="F7" s="127"/>
      <c r="G7" s="127"/>
      <c r="H7" s="127"/>
      <c r="I7" s="127"/>
      <c r="J7" s="127"/>
      <c r="K7" s="127"/>
      <c r="L7" s="127"/>
      <c r="M7" s="127"/>
      <c r="N7" s="127"/>
      <c r="O7" s="127"/>
    </row>
    <row r="8" spans="1:31" s="123" customFormat="1" ht="12.75" x14ac:dyDescent="0.2">
      <c r="B8" s="247"/>
      <c r="D8" s="124"/>
      <c r="E8" s="124"/>
      <c r="F8" s="124"/>
      <c r="G8" s="124"/>
      <c r="H8" s="124"/>
      <c r="I8" s="124"/>
      <c r="J8" s="124"/>
      <c r="K8" s="124"/>
      <c r="L8" s="124"/>
      <c r="M8" s="124"/>
      <c r="N8" s="124"/>
      <c r="O8" s="124"/>
      <c r="Z8" s="1488"/>
      <c r="AA8" s="1488"/>
      <c r="AB8" s="1488"/>
      <c r="AC8" s="1488"/>
      <c r="AD8" s="1488"/>
    </row>
    <row r="9" spans="1:31" s="123" customFormat="1" ht="12.75" x14ac:dyDescent="0.2">
      <c r="B9" s="247"/>
      <c r="D9" s="124"/>
      <c r="E9" s="124"/>
      <c r="F9" s="124"/>
      <c r="G9" s="124" t="s">
        <v>284</v>
      </c>
      <c r="H9" s="124"/>
      <c r="I9" s="124"/>
      <c r="J9" s="124"/>
      <c r="K9" s="124"/>
      <c r="L9" s="124"/>
      <c r="M9" s="124"/>
      <c r="N9" s="124"/>
      <c r="O9" s="124"/>
    </row>
    <row r="10" spans="1:31" s="123" customFormat="1" ht="12.75" x14ac:dyDescent="0.2">
      <c r="B10" s="247"/>
      <c r="D10" s="124"/>
      <c r="E10" s="124"/>
      <c r="F10" s="124"/>
      <c r="G10" s="124"/>
      <c r="H10" s="124"/>
      <c r="I10" s="124"/>
      <c r="J10" s="124"/>
      <c r="K10" s="124"/>
      <c r="L10" s="124"/>
      <c r="M10" s="124"/>
      <c r="N10" s="124"/>
      <c r="O10" s="124"/>
      <c r="Z10" s="123" t="str">
        <f>IFERROR('ID_Identificação do projeto'!C14+2,"")</f>
        <v/>
      </c>
    </row>
    <row r="11" spans="1:31" s="123" customFormat="1" ht="12.75" x14ac:dyDescent="0.2">
      <c r="B11" s="112" t="s">
        <v>114</v>
      </c>
      <c r="C11" s="111" t="s">
        <v>86</v>
      </c>
      <c r="D11" s="108" t="s">
        <v>126</v>
      </c>
      <c r="E11" s="124"/>
      <c r="F11" s="124"/>
      <c r="G11" s="124"/>
      <c r="H11" s="124"/>
      <c r="I11" s="124"/>
      <c r="J11" s="124"/>
      <c r="K11" s="124"/>
      <c r="L11" s="124"/>
      <c r="M11" s="124"/>
      <c r="N11" s="124"/>
      <c r="O11" s="124"/>
      <c r="Z11" s="247" t="s">
        <v>1127</v>
      </c>
    </row>
    <row r="12" spans="1:31" s="128" customFormat="1" ht="54" customHeight="1" x14ac:dyDescent="0.2">
      <c r="B12" s="107" t="s">
        <v>190</v>
      </c>
      <c r="C12" s="109" t="str">
        <f>IFERROR(D12+2,"0")</f>
        <v>0</v>
      </c>
      <c r="D12" s="110" t="str">
        <f>'ID_Identificação do projeto'!C14</f>
        <v>AAAA</v>
      </c>
      <c r="E12" s="101"/>
      <c r="F12" s="112" t="s">
        <v>114</v>
      </c>
      <c r="G12" s="108" t="s">
        <v>871</v>
      </c>
      <c r="H12" s="718"/>
      <c r="I12" s="108" t="s">
        <v>283</v>
      </c>
      <c r="J12" s="108" t="s">
        <v>872</v>
      </c>
      <c r="K12" s="251" t="s">
        <v>720</v>
      </c>
      <c r="L12" s="718"/>
      <c r="M12" s="108" t="s">
        <v>718</v>
      </c>
      <c r="N12" s="251" t="s">
        <v>886</v>
      </c>
      <c r="O12" s="151"/>
      <c r="P12" s="129"/>
      <c r="Q12" s="129"/>
      <c r="R12" s="129"/>
      <c r="S12" s="129"/>
      <c r="T12" s="129"/>
      <c r="U12" s="129" t="s">
        <v>200</v>
      </c>
      <c r="V12" s="129"/>
      <c r="W12" s="117" t="s">
        <v>20</v>
      </c>
      <c r="X12" s="117" t="s">
        <v>201</v>
      </c>
      <c r="Y12" s="117" t="s">
        <v>251</v>
      </c>
      <c r="Z12" s="117" t="s">
        <v>251</v>
      </c>
      <c r="AA12" s="117"/>
      <c r="AB12" s="117"/>
      <c r="AC12" s="117"/>
      <c r="AD12" s="117"/>
      <c r="AE12" s="478"/>
    </row>
    <row r="13" spans="1:31" s="128" customFormat="1" ht="42" customHeight="1" x14ac:dyDescent="0.2">
      <c r="B13" s="107" t="s">
        <v>293</v>
      </c>
      <c r="C13" s="109" t="str">
        <f>'ID_Identificação do projeto'!$C$16</f>
        <v>Selecionar uma opção</v>
      </c>
      <c r="D13" s="110"/>
      <c r="E13" s="101"/>
      <c r="F13" s="170" t="s">
        <v>186</v>
      </c>
      <c r="G13" s="110">
        <f>IFERROR(C22*C23,"")</f>
        <v>0</v>
      </c>
      <c r="H13" s="723"/>
      <c r="I13" s="516"/>
      <c r="J13" s="515"/>
      <c r="K13" s="110">
        <v>0</v>
      </c>
      <c r="L13" s="719"/>
      <c r="M13" s="119">
        <f>'Fatores de Emissão'!C54</f>
        <v>2.3E-2</v>
      </c>
      <c r="N13" s="165">
        <f t="shared" ref="N13:N18" si="0">IFERROR(K13+((G13*M13)/1000),"")</f>
        <v>0</v>
      </c>
      <c r="O13" s="722"/>
      <c r="P13" s="129"/>
      <c r="Q13" s="129"/>
      <c r="R13" s="129"/>
      <c r="S13" s="129"/>
      <c r="T13" s="129"/>
      <c r="U13" s="129"/>
      <c r="V13" s="129"/>
      <c r="W13" s="118">
        <v>2025</v>
      </c>
      <c r="X13" s="140">
        <v>165</v>
      </c>
      <c r="Y13" s="106" t="e">
        <f>VLOOKUP(C12,$W$13:$X$29,2,FALSE)</f>
        <v>#N/A</v>
      </c>
      <c r="Z13" s="106" t="e">
        <f>VLOOKUP(Z10,$W$13:$X$29,2,FALSE)</f>
        <v>#N/A</v>
      </c>
      <c r="AA13" s="106"/>
      <c r="AB13" s="106"/>
      <c r="AC13" s="106"/>
      <c r="AD13" s="106"/>
    </row>
    <row r="14" spans="1:31" s="128" customFormat="1" ht="40.15" customHeight="1" x14ac:dyDescent="0.2">
      <c r="B14" s="259" t="s">
        <v>142</v>
      </c>
      <c r="C14" s="102" t="str">
        <f>'ID_Identificação do projeto'!$C$18</f>
        <v>Selecionar uma opção</v>
      </c>
      <c r="E14" s="101"/>
      <c r="F14" s="170" t="s">
        <v>187</v>
      </c>
      <c r="G14" s="110">
        <f>IFERROR(C24*C25,"")</f>
        <v>0</v>
      </c>
      <c r="H14" s="723"/>
      <c r="I14" s="516" t="str">
        <f>IFERROR(IF(D16=FAListas!$C$56, C16,"0"),"")</f>
        <v>0</v>
      </c>
      <c r="J14" s="515" t="str">
        <f>IFERROR(IF(D16=FAListas!C57,$C$15*'Fatores de Emissão'!F14,"0"),"")</f>
        <v>0</v>
      </c>
      <c r="K14" s="132">
        <f>IFERROR(((G14*I14)+(G14*J14))/1000,"")</f>
        <v>0</v>
      </c>
      <c r="L14" s="720"/>
      <c r="M14" s="119">
        <f>'Fatores de Emissão'!G14</f>
        <v>3.6999999999999998E-2</v>
      </c>
      <c r="N14" s="165">
        <f t="shared" si="0"/>
        <v>0</v>
      </c>
      <c r="O14" s="721"/>
      <c r="P14" s="129"/>
      <c r="Q14" s="129"/>
      <c r="R14" s="129"/>
      <c r="S14" s="129"/>
      <c r="T14" s="129"/>
      <c r="U14" s="129"/>
      <c r="V14" s="129"/>
      <c r="W14" s="118">
        <v>2026</v>
      </c>
      <c r="X14" s="140">
        <v>182</v>
      </c>
    </row>
    <row r="15" spans="1:31" s="128" customFormat="1" ht="40.15" customHeight="1" x14ac:dyDescent="0.2">
      <c r="B15" s="107" t="s">
        <v>203</v>
      </c>
      <c r="C15" s="109">
        <f>'TM1_micromobilidade '!F21</f>
        <v>0</v>
      </c>
      <c r="D15" s="110">
        <v>0</v>
      </c>
      <c r="E15" s="101"/>
      <c r="F15" s="170" t="s">
        <v>188</v>
      </c>
      <c r="G15" s="110">
        <f>IFERROR(C26*C27,"")</f>
        <v>0</v>
      </c>
      <c r="H15" s="723"/>
      <c r="I15" s="516" t="str">
        <f>IFERROR(IF(D17=FAListas!$C$56, C17,"0"),"")</f>
        <v>0</v>
      </c>
      <c r="J15" s="515" t="str">
        <f>IFERROR(IF(D17=FAListas!C57,$C$15*'Fatores de Emissão'!F13,"0"),"")</f>
        <v>0</v>
      </c>
      <c r="K15" s="132">
        <f>IFERROR(((G15*I15)+(G15*J15))/1000,"")</f>
        <v>0</v>
      </c>
      <c r="L15" s="720"/>
      <c r="M15" s="119">
        <f>'Fatores de Emissão'!G13</f>
        <v>0.01</v>
      </c>
      <c r="N15" s="165">
        <f t="shared" si="0"/>
        <v>0</v>
      </c>
      <c r="O15" s="721"/>
      <c r="P15" s="129"/>
      <c r="Q15" s="129"/>
      <c r="R15" s="129"/>
      <c r="S15" s="129"/>
      <c r="T15" s="129"/>
      <c r="U15" s="129"/>
      <c r="V15" s="129"/>
      <c r="W15" s="118">
        <v>2027</v>
      </c>
      <c r="X15" s="140">
        <v>199</v>
      </c>
    </row>
    <row r="16" spans="1:31" s="128" customFormat="1" ht="40.15" customHeight="1" x14ac:dyDescent="0.2">
      <c r="B16" s="107" t="s">
        <v>289</v>
      </c>
      <c r="C16" s="109">
        <f>IF(D16=FAListas!C57,0,'TM1_micromobilidade '!F23)</f>
        <v>0</v>
      </c>
      <c r="D16" s="110" t="str">
        <f>'TM1_micromobilidade '!E23</f>
        <v>Selecionar uma opção</v>
      </c>
      <c r="E16" s="101"/>
      <c r="F16" s="170" t="s">
        <v>298</v>
      </c>
      <c r="G16" s="110">
        <f>IFERROR(C28*C29,"")</f>
        <v>0</v>
      </c>
      <c r="H16" s="723"/>
      <c r="I16" s="516" t="str">
        <f>IFERROR(IF(D18=FAListas!$C$56, C18,"0"),"")</f>
        <v>0</v>
      </c>
      <c r="J16" s="515" t="str">
        <f>IFERROR(IF(D18=FAListas!C57,$C$15*'Fatores de Emissão'!F11,"0"),"")</f>
        <v>0</v>
      </c>
      <c r="K16" s="132">
        <f>IFERROR(((G16*I16)+(G16*J16))/1000,"")</f>
        <v>0</v>
      </c>
      <c r="L16" s="721"/>
      <c r="M16" s="119">
        <f>'Fatores de Emissão'!G11</f>
        <v>0.94353999999999993</v>
      </c>
      <c r="N16" s="165">
        <f t="shared" si="0"/>
        <v>0</v>
      </c>
      <c r="O16" s="722"/>
      <c r="P16" s="129"/>
      <c r="Q16" s="129"/>
      <c r="R16" s="129"/>
      <c r="S16" s="129"/>
      <c r="T16" s="129"/>
      <c r="U16" s="129"/>
      <c r="V16" s="129"/>
      <c r="W16" s="118">
        <v>2028</v>
      </c>
      <c r="X16" s="140">
        <v>216</v>
      </c>
    </row>
    <row r="17" spans="1:24" s="128" customFormat="1" ht="40.15" customHeight="1" x14ac:dyDescent="0.2">
      <c r="B17" s="107" t="s">
        <v>290</v>
      </c>
      <c r="C17" s="109">
        <f>IF($D$17=FAListas!C57,0,'TM1_micromobilidade '!F25)</f>
        <v>0</v>
      </c>
      <c r="D17" s="110" t="str">
        <f>'TM1_micromobilidade '!E25</f>
        <v>Selecionar uma opção</v>
      </c>
      <c r="E17" s="101"/>
      <c r="F17" s="170" t="s">
        <v>299</v>
      </c>
      <c r="G17" s="110">
        <f>IFERROR(C30*C31,"")</f>
        <v>0</v>
      </c>
      <c r="H17" s="723"/>
      <c r="I17" s="516" t="str">
        <f>IFERROR(IF(D19=FAListas!$C$56, C19,"0"),"")</f>
        <v>0</v>
      </c>
      <c r="J17" s="515" t="str">
        <f>IFERROR(IF(D19=FAListas!C57,$C$15*'Fatores de Emissão'!F12,"0"),"")</f>
        <v>0</v>
      </c>
      <c r="K17" s="132">
        <f>IFERROR(((G17*I17)+(G17*J17))/1000,"")</f>
        <v>0</v>
      </c>
      <c r="L17" s="721"/>
      <c r="M17" s="119">
        <f>'Fatores de Emissão'!G12</f>
        <v>2.5999999999999999E-2</v>
      </c>
      <c r="N17" s="165">
        <f t="shared" si="0"/>
        <v>0</v>
      </c>
      <c r="O17" s="722"/>
      <c r="R17" s="129"/>
      <c r="S17" s="129"/>
      <c r="T17" s="129"/>
      <c r="U17" s="129"/>
      <c r="V17" s="129"/>
      <c r="W17" s="118">
        <v>2029</v>
      </c>
      <c r="X17" s="140">
        <v>233</v>
      </c>
    </row>
    <row r="18" spans="1:24" s="128" customFormat="1" ht="40.15" customHeight="1" x14ac:dyDescent="0.2">
      <c r="B18" s="107" t="s">
        <v>501</v>
      </c>
      <c r="C18" s="109">
        <f>IF(D18=FAListas!C57,0,'TM1_micromobilidade '!F27)</f>
        <v>0</v>
      </c>
      <c r="D18" s="110" t="str">
        <f>'TM1_micromobilidade '!E27</f>
        <v>Selecionar uma opção</v>
      </c>
      <c r="E18" s="101"/>
      <c r="F18" s="113" t="s">
        <v>189</v>
      </c>
      <c r="G18" s="114">
        <f>IFERROR(C21,"")</f>
        <v>0</v>
      </c>
      <c r="H18" s="724"/>
      <c r="I18" s="516">
        <f>IFERROR(C15,"")</f>
        <v>0</v>
      </c>
      <c r="J18" s="515"/>
      <c r="K18" s="132">
        <f>IFERROR((G18*$I$18)/1000,"")</f>
        <v>0</v>
      </c>
      <c r="L18" s="721"/>
      <c r="M18" s="119">
        <v>0</v>
      </c>
      <c r="N18" s="165">
        <f t="shared" si="0"/>
        <v>0</v>
      </c>
      <c r="O18" s="722"/>
      <c r="P18" s="129"/>
      <c r="Q18" s="129"/>
      <c r="R18" s="129"/>
      <c r="S18" s="129"/>
      <c r="T18" s="129"/>
      <c r="U18" s="129"/>
      <c r="V18" s="129"/>
      <c r="W18" s="118">
        <v>2030</v>
      </c>
      <c r="X18" s="140">
        <v>250</v>
      </c>
    </row>
    <row r="19" spans="1:24" s="128" customFormat="1" ht="40.15" customHeight="1" x14ac:dyDescent="0.2">
      <c r="B19" s="107" t="s">
        <v>502</v>
      </c>
      <c r="C19" s="109">
        <f>IF(D18=FAListas!C57,0,'TM1_micromobilidade '!F28)</f>
        <v>0</v>
      </c>
      <c r="D19" s="110" t="str">
        <f>'TM1_micromobilidade '!E28</f>
        <v>Selecionar uma opção</v>
      </c>
      <c r="E19" s="101"/>
      <c r="F19" s="160"/>
      <c r="G19" s="102"/>
      <c r="H19" s="102"/>
      <c r="I19" s="162"/>
      <c r="J19" s="162"/>
      <c r="K19" s="162"/>
      <c r="L19" s="162"/>
      <c r="M19" s="163"/>
      <c r="N19" s="347"/>
      <c r="O19" s="347"/>
      <c r="P19" s="129"/>
      <c r="Q19" s="129"/>
      <c r="R19" s="129"/>
      <c r="S19" s="129"/>
      <c r="T19" s="129"/>
      <c r="U19" s="129"/>
      <c r="V19" s="129"/>
      <c r="W19" s="118">
        <v>2031</v>
      </c>
      <c r="X19" s="140">
        <v>278</v>
      </c>
    </row>
    <row r="20" spans="1:24" s="128" customFormat="1" ht="40.15" customHeight="1" x14ac:dyDescent="0.2">
      <c r="B20" s="112" t="s">
        <v>114</v>
      </c>
      <c r="C20" s="111" t="s">
        <v>873</v>
      </c>
      <c r="D20" s="108"/>
      <c r="E20" s="101"/>
      <c r="F20" s="160"/>
      <c r="G20" s="102"/>
      <c r="H20" s="102"/>
      <c r="I20" s="161"/>
      <c r="J20" s="168" t="s">
        <v>246</v>
      </c>
      <c r="K20" s="261">
        <f>SUM(K13:K18)</f>
        <v>0</v>
      </c>
      <c r="L20" s="261"/>
      <c r="M20" s="262"/>
      <c r="N20" s="261">
        <f>SUM(N13:N18)</f>
        <v>0</v>
      </c>
      <c r="O20" s="261"/>
      <c r="P20" s="166" t="s">
        <v>249</v>
      </c>
      <c r="Q20" s="129"/>
      <c r="R20" s="129"/>
      <c r="S20" s="129"/>
      <c r="T20" s="129"/>
      <c r="U20" s="129"/>
      <c r="V20" s="129"/>
      <c r="W20" s="118">
        <v>2032</v>
      </c>
      <c r="X20" s="140">
        <v>306</v>
      </c>
    </row>
    <row r="21" spans="1:24" s="128" customFormat="1" ht="40.15" customHeight="1" x14ac:dyDescent="0.2">
      <c r="B21" s="169" t="s">
        <v>179</v>
      </c>
      <c r="C21" s="109">
        <f>IFERROR('TM1_micromobilidade '!E41,"")</f>
        <v>0</v>
      </c>
      <c r="D21" s="110"/>
      <c r="E21" s="101"/>
      <c r="F21" s="160"/>
      <c r="G21" s="102"/>
      <c r="H21" s="102"/>
      <c r="I21" s="161"/>
      <c r="J21" s="162"/>
      <c r="K21" s="162"/>
      <c r="L21" s="162"/>
      <c r="M21" s="163"/>
      <c r="N21" s="162"/>
      <c r="O21" s="106"/>
      <c r="P21" s="129"/>
      <c r="Q21" s="129"/>
      <c r="R21" s="129"/>
      <c r="S21" s="129"/>
      <c r="T21" s="129"/>
      <c r="U21" s="129"/>
      <c r="V21" s="129"/>
      <c r="W21" s="118">
        <v>2033</v>
      </c>
      <c r="X21" s="140">
        <v>334</v>
      </c>
    </row>
    <row r="22" spans="1:24" s="128" customFormat="1" ht="40.15" customHeight="1" x14ac:dyDescent="0.2">
      <c r="B22" s="107" t="s">
        <v>180</v>
      </c>
      <c r="C22" s="631">
        <f>'TM1_micromobilidade '!E43</f>
        <v>0</v>
      </c>
      <c r="D22" s="109"/>
      <c r="E22" s="101"/>
      <c r="F22" s="160"/>
      <c r="G22" s="102"/>
      <c r="H22" s="102"/>
      <c r="I22" s="161"/>
      <c r="J22" s="162"/>
      <c r="K22" s="162"/>
      <c r="L22" s="162"/>
      <c r="M22" s="163"/>
      <c r="N22" s="162"/>
      <c r="O22" s="106"/>
      <c r="P22" s="129"/>
      <c r="Q22" s="129"/>
      <c r="R22" s="129"/>
      <c r="S22" s="129"/>
      <c r="T22" s="129"/>
      <c r="U22" s="129"/>
      <c r="V22" s="129"/>
      <c r="W22" s="118">
        <v>2034</v>
      </c>
      <c r="X22" s="140">
        <v>362</v>
      </c>
    </row>
    <row r="23" spans="1:24" s="128" customFormat="1" ht="40.15" customHeight="1" x14ac:dyDescent="0.2">
      <c r="B23" s="107" t="s">
        <v>181</v>
      </c>
      <c r="C23" s="631">
        <f>'TM1_micromobilidade '!E44</f>
        <v>0</v>
      </c>
      <c r="D23" s="109"/>
      <c r="E23" s="101"/>
      <c r="F23" s="160"/>
      <c r="G23" s="102"/>
      <c r="H23" s="102"/>
      <c r="I23" s="161"/>
      <c r="J23" s="102"/>
      <c r="K23" s="102"/>
      <c r="L23" s="102"/>
      <c r="M23" s="102"/>
      <c r="N23" s="102"/>
      <c r="O23" s="106"/>
      <c r="P23" s="129"/>
      <c r="Q23" s="129"/>
      <c r="R23" s="129"/>
      <c r="S23" s="129"/>
      <c r="T23" s="129"/>
      <c r="U23" s="129"/>
      <c r="V23" s="129"/>
      <c r="W23" s="118">
        <v>2035</v>
      </c>
      <c r="X23" s="140">
        <v>390</v>
      </c>
    </row>
    <row r="24" spans="1:24" s="128" customFormat="1" ht="40.15" customHeight="1" x14ac:dyDescent="0.2">
      <c r="B24" s="107" t="s">
        <v>182</v>
      </c>
      <c r="C24" s="631">
        <f>'TM1_micromobilidade '!E46</f>
        <v>0</v>
      </c>
      <c r="D24" s="109"/>
      <c r="E24" s="101"/>
      <c r="F24" s="101"/>
      <c r="G24" s="130"/>
      <c r="H24" s="130"/>
      <c r="I24" s="101"/>
      <c r="J24" s="106"/>
      <c r="K24" s="106"/>
      <c r="L24" s="106"/>
      <c r="M24" s="106"/>
      <c r="N24" s="106"/>
      <c r="O24" s="106"/>
      <c r="P24" s="129"/>
      <c r="Q24" s="129"/>
      <c r="R24" s="129"/>
      <c r="S24" s="129"/>
      <c r="T24" s="129"/>
      <c r="U24" s="129"/>
      <c r="V24" s="129"/>
      <c r="W24" s="118">
        <v>2036</v>
      </c>
      <c r="X24" s="140">
        <v>417</v>
      </c>
    </row>
    <row r="25" spans="1:24" s="128" customFormat="1" ht="40.15" customHeight="1" x14ac:dyDescent="0.2">
      <c r="B25" s="107" t="s">
        <v>183</v>
      </c>
      <c r="C25" s="631">
        <f>'TM1_micromobilidade '!E47</f>
        <v>0</v>
      </c>
      <c r="D25" s="109"/>
      <c r="E25" s="101"/>
      <c r="F25" s="101"/>
      <c r="G25" s="130"/>
      <c r="H25" s="130"/>
      <c r="I25" s="101"/>
      <c r="J25" s="106"/>
      <c r="K25" s="106"/>
      <c r="L25" s="106"/>
      <c r="M25" s="106"/>
      <c r="N25" s="106"/>
      <c r="O25" s="106"/>
      <c r="P25" s="129"/>
      <c r="Q25" s="129"/>
      <c r="R25" s="129"/>
      <c r="S25" s="129"/>
      <c r="T25" s="129"/>
      <c r="U25" s="129"/>
      <c r="V25" s="129"/>
      <c r="W25" s="118">
        <v>2037</v>
      </c>
      <c r="X25" s="140">
        <v>444</v>
      </c>
    </row>
    <row r="26" spans="1:24" s="128" customFormat="1" ht="40.15" customHeight="1" x14ac:dyDescent="0.2">
      <c r="B26" s="107" t="s">
        <v>184</v>
      </c>
      <c r="C26" s="631">
        <f>'TM1_micromobilidade '!E49</f>
        <v>0</v>
      </c>
      <c r="D26" s="109"/>
      <c r="E26" s="106"/>
      <c r="F26" s="106"/>
      <c r="G26" s="106"/>
      <c r="H26" s="106"/>
      <c r="I26" s="106"/>
      <c r="J26" s="106"/>
      <c r="K26" s="106"/>
      <c r="L26" s="106"/>
      <c r="M26" s="106"/>
      <c r="N26" s="106"/>
      <c r="O26" s="106"/>
      <c r="P26" s="129"/>
      <c r="Q26" s="129"/>
      <c r="R26" s="129"/>
      <c r="S26" s="129"/>
      <c r="T26" s="129"/>
      <c r="U26" s="129"/>
      <c r="V26" s="129"/>
      <c r="W26" s="118">
        <v>2038</v>
      </c>
      <c r="X26" s="140">
        <v>471</v>
      </c>
    </row>
    <row r="27" spans="1:24" s="128" customFormat="1" ht="40.15" customHeight="1" x14ac:dyDescent="0.2">
      <c r="A27" s="131"/>
      <c r="B27" s="107" t="s">
        <v>185</v>
      </c>
      <c r="C27" s="631">
        <f>'TM1_micromobilidade '!E50</f>
        <v>0</v>
      </c>
      <c r="D27" s="109"/>
      <c r="E27" s="106"/>
      <c r="F27" s="106"/>
      <c r="G27" s="106"/>
      <c r="H27" s="106"/>
      <c r="I27" s="106"/>
      <c r="J27" s="106"/>
      <c r="K27" s="106"/>
      <c r="L27" s="106"/>
      <c r="M27" s="106"/>
      <c r="N27" s="106"/>
      <c r="O27" s="106"/>
      <c r="W27" s="118">
        <v>2039</v>
      </c>
      <c r="X27" s="140">
        <v>498</v>
      </c>
    </row>
    <row r="28" spans="1:24" s="128" customFormat="1" ht="40.15" customHeight="1" x14ac:dyDescent="0.2">
      <c r="B28" s="260" t="s">
        <v>294</v>
      </c>
      <c r="C28" s="631">
        <f>'TM1_micromobilidade '!E52</f>
        <v>0</v>
      </c>
      <c r="D28" s="109"/>
      <c r="E28" s="106"/>
      <c r="F28" s="106"/>
      <c r="G28" s="106"/>
      <c r="H28" s="106"/>
      <c r="I28" s="106"/>
      <c r="J28" s="106"/>
      <c r="K28" s="106"/>
      <c r="L28" s="106"/>
      <c r="M28" s="106"/>
      <c r="N28" s="106"/>
      <c r="O28" s="106"/>
      <c r="W28" s="118">
        <v>2040</v>
      </c>
      <c r="X28" s="140">
        <v>325</v>
      </c>
    </row>
    <row r="29" spans="1:24" s="128" customFormat="1" ht="40.15" customHeight="1" x14ac:dyDescent="0.2">
      <c r="B29" s="260" t="s">
        <v>295</v>
      </c>
      <c r="C29" s="631">
        <f>'TM1_micromobilidade '!E53</f>
        <v>0</v>
      </c>
      <c r="D29" s="109"/>
      <c r="E29" s="106"/>
      <c r="F29" s="106"/>
      <c r="G29" s="106"/>
      <c r="H29" s="106"/>
      <c r="I29" s="106"/>
      <c r="J29" s="106"/>
      <c r="K29" s="106"/>
      <c r="L29" s="106"/>
      <c r="M29" s="106"/>
      <c r="N29" s="106"/>
      <c r="O29" s="106"/>
      <c r="W29" s="118"/>
      <c r="X29" s="140"/>
    </row>
    <row r="30" spans="1:24" s="123" customFormat="1" ht="22.5" x14ac:dyDescent="0.2">
      <c r="B30" s="260" t="s">
        <v>296</v>
      </c>
      <c r="C30" s="631">
        <f>'TM1_micromobilidade '!E54</f>
        <v>0</v>
      </c>
      <c r="D30" s="109"/>
      <c r="E30" s="124"/>
      <c r="F30" s="124"/>
      <c r="G30" s="124"/>
      <c r="H30" s="124"/>
      <c r="I30" s="124"/>
      <c r="J30" s="124"/>
      <c r="K30" s="124"/>
      <c r="L30" s="124"/>
      <c r="M30" s="124"/>
      <c r="N30" s="124"/>
      <c r="O30" s="124"/>
    </row>
    <row r="31" spans="1:24" s="123" customFormat="1" ht="35.450000000000003" customHeight="1" x14ac:dyDescent="0.2">
      <c r="B31" s="260" t="s">
        <v>297</v>
      </c>
      <c r="C31" s="631">
        <f>'TM1_micromobilidade '!E55</f>
        <v>0</v>
      </c>
      <c r="D31" s="109"/>
      <c r="E31" s="124"/>
      <c r="F31" s="124"/>
      <c r="G31" s="124"/>
      <c r="H31" s="124"/>
      <c r="I31" s="124"/>
      <c r="J31" s="124"/>
      <c r="K31" s="124"/>
      <c r="L31" s="124"/>
      <c r="M31" s="124"/>
      <c r="N31" s="124"/>
      <c r="O31" s="124"/>
    </row>
    <row r="32" spans="1:24" s="123" customFormat="1" ht="12.75" x14ac:dyDescent="0.2">
      <c r="D32" s="124"/>
      <c r="E32" s="124"/>
      <c r="F32" s="124"/>
      <c r="G32" s="124"/>
      <c r="H32" s="124"/>
      <c r="I32" s="124"/>
      <c r="J32" s="124"/>
      <c r="K32" s="124"/>
      <c r="L32" s="124"/>
      <c r="M32" s="124"/>
      <c r="N32" s="124"/>
      <c r="O32" s="124"/>
    </row>
    <row r="33" spans="2:15" s="121" customFormat="1" ht="12.75" x14ac:dyDescent="0.2">
      <c r="B33" s="120" t="s">
        <v>177</v>
      </c>
      <c r="D33" s="122"/>
      <c r="E33" s="122"/>
      <c r="F33" s="122"/>
      <c r="G33" s="122"/>
      <c r="H33" s="122"/>
      <c r="I33" s="122"/>
      <c r="J33" s="122"/>
      <c r="K33" s="122"/>
      <c r="L33" s="122"/>
      <c r="M33" s="122"/>
      <c r="N33" s="122"/>
      <c r="O33" s="122"/>
    </row>
    <row r="34" spans="2:15" s="175" customFormat="1" ht="12.75" x14ac:dyDescent="0.2">
      <c r="B34" s="176"/>
      <c r="D34" s="177"/>
      <c r="E34" s="177"/>
      <c r="F34" s="177"/>
      <c r="G34" s="177"/>
      <c r="H34" s="177"/>
      <c r="I34" s="177"/>
      <c r="J34" s="177"/>
      <c r="K34" s="177"/>
      <c r="L34" s="177"/>
      <c r="M34" s="177"/>
      <c r="N34" s="177"/>
      <c r="O34" s="177"/>
    </row>
    <row r="35" spans="2:15" s="175" customFormat="1" ht="12.75" x14ac:dyDescent="0.2">
      <c r="B35" s="176" t="s">
        <v>252</v>
      </c>
      <c r="D35" s="177"/>
      <c r="E35" s="177"/>
      <c r="F35" s="177"/>
      <c r="G35" s="177"/>
      <c r="H35" s="177"/>
      <c r="I35" s="177"/>
      <c r="J35" s="177"/>
      <c r="K35" s="177"/>
      <c r="L35" s="177"/>
      <c r="M35" s="177"/>
      <c r="N35" s="177"/>
      <c r="O35" s="177"/>
    </row>
    <row r="36" spans="2:15" s="175" customFormat="1" ht="12.75" x14ac:dyDescent="0.2">
      <c r="B36" s="176"/>
      <c r="D36" s="177"/>
      <c r="E36" s="177"/>
      <c r="F36" s="177"/>
      <c r="G36" s="177"/>
      <c r="H36" s="177"/>
      <c r="I36" s="177"/>
      <c r="J36" s="177"/>
      <c r="K36" s="177"/>
      <c r="L36" s="177"/>
      <c r="M36" s="177"/>
      <c r="N36" s="177"/>
      <c r="O36" s="177"/>
    </row>
    <row r="37" spans="2:15" s="175" customFormat="1" ht="12.75" x14ac:dyDescent="0.2">
      <c r="B37" s="120" t="s">
        <v>285</v>
      </c>
      <c r="C37" s="179" t="s">
        <v>77</v>
      </c>
      <c r="D37" s="122" t="s">
        <v>291</v>
      </c>
      <c r="E37" s="122" t="s">
        <v>256</v>
      </c>
      <c r="F37" s="177"/>
      <c r="G37" s="120" t="s">
        <v>286</v>
      </c>
      <c r="H37" s="179" t="s">
        <v>77</v>
      </c>
      <c r="I37" s="122" t="s">
        <v>291</v>
      </c>
      <c r="J37" s="122" t="s">
        <v>256</v>
      </c>
      <c r="K37" s="177"/>
      <c r="L37" s="177"/>
      <c r="M37" s="177"/>
      <c r="N37" s="177"/>
      <c r="O37" s="177"/>
    </row>
    <row r="38" spans="2:15" s="175" customFormat="1" ht="12.75" x14ac:dyDescent="0.2">
      <c r="B38" s="176" t="s">
        <v>125</v>
      </c>
      <c r="C38" s="178">
        <v>0.55000000000000004</v>
      </c>
      <c r="D38" s="180">
        <f>'Fatores de Emissão'!$E$99</f>
        <v>0.12029271250000002</v>
      </c>
      <c r="E38" s="181">
        <f t="shared" ref="E38:E43" si="1">C38*D38</f>
        <v>6.6160991875000019E-2</v>
      </c>
      <c r="F38" s="177"/>
      <c r="G38" s="176" t="s">
        <v>125</v>
      </c>
      <c r="H38" s="178">
        <v>0.84</v>
      </c>
      <c r="I38" s="177">
        <f>'Fatores de Emissão'!$E$63</f>
        <v>8.29704311418685E-2</v>
      </c>
      <c r="J38" s="181">
        <f>H38*I38</f>
        <v>6.9695162159169544E-2</v>
      </c>
      <c r="K38" s="177"/>
      <c r="L38" s="177"/>
      <c r="M38" s="177"/>
      <c r="N38" s="177"/>
      <c r="O38" s="177"/>
    </row>
    <row r="39" spans="2:15" s="175" customFormat="1" ht="12.75" x14ac:dyDescent="0.2">
      <c r="B39" s="176" t="s">
        <v>227</v>
      </c>
      <c r="C39" s="178">
        <v>0.38</v>
      </c>
      <c r="D39" s="180">
        <f>'Fatores de Emissão'!$E$93</f>
        <v>0.12633856874999999</v>
      </c>
      <c r="E39" s="181">
        <f t="shared" si="1"/>
        <v>4.8008656125E-2</v>
      </c>
      <c r="F39" s="177"/>
      <c r="G39" s="176" t="s">
        <v>89</v>
      </c>
      <c r="H39" s="178">
        <v>0.16</v>
      </c>
      <c r="I39" s="177">
        <f>'Fatores de Emissão'!$E$68</f>
        <v>9.3486387543252586E-2</v>
      </c>
      <c r="J39" s="181">
        <f>H39*I39</f>
        <v>1.4957822006920415E-2</v>
      </c>
      <c r="K39" s="177"/>
      <c r="L39" s="177"/>
      <c r="M39" s="177"/>
      <c r="N39" s="177"/>
      <c r="O39" s="177"/>
    </row>
    <row r="40" spans="2:15" s="175" customFormat="1" ht="12.75" x14ac:dyDescent="0.2">
      <c r="B40" s="176" t="s">
        <v>230</v>
      </c>
      <c r="C40" s="178">
        <v>0.01</v>
      </c>
      <c r="D40" s="180">
        <f>'Fatores de Emissão'!E102</f>
        <v>0.119959</v>
      </c>
      <c r="E40" s="181">
        <f t="shared" si="1"/>
        <v>1.1995899999999999E-3</v>
      </c>
      <c r="F40" s="177"/>
      <c r="G40" s="182" t="s">
        <v>246</v>
      </c>
      <c r="H40" s="183"/>
      <c r="I40" s="184"/>
      <c r="J40" s="185">
        <f>SUM(J34:J39)</f>
        <v>8.4652984166089962E-2</v>
      </c>
      <c r="K40" s="177"/>
      <c r="L40" s="177"/>
      <c r="M40" s="177"/>
      <c r="N40" s="177"/>
      <c r="O40" s="177"/>
    </row>
    <row r="41" spans="2:15" s="175" customFormat="1" ht="12.75" x14ac:dyDescent="0.2">
      <c r="B41" s="176" t="s">
        <v>255</v>
      </c>
      <c r="C41" s="178">
        <v>0.02</v>
      </c>
      <c r="D41" s="180">
        <f>'Fatores de Emissão'!$E$9</f>
        <v>1.3839724576271188E-2</v>
      </c>
      <c r="E41" s="181">
        <f t="shared" si="1"/>
        <v>2.7679449152542379E-4</v>
      </c>
      <c r="F41" s="177"/>
      <c r="G41" s="177"/>
      <c r="H41" s="177"/>
      <c r="I41" s="177"/>
      <c r="J41" s="177"/>
      <c r="K41" s="177"/>
      <c r="L41" s="177"/>
      <c r="M41" s="177"/>
      <c r="N41" s="177"/>
      <c r="O41" s="177"/>
    </row>
    <row r="42" spans="2:15" s="175" customFormat="1" ht="12.75" x14ac:dyDescent="0.2">
      <c r="B42" s="176" t="s">
        <v>254</v>
      </c>
      <c r="C42" s="178">
        <v>0.02</v>
      </c>
      <c r="D42" s="180">
        <f>'Fatores de Emissão'!$E$96</f>
        <v>8.0156249999999998E-2</v>
      </c>
      <c r="E42" s="181">
        <f t="shared" si="1"/>
        <v>1.6031249999999999E-3</v>
      </c>
      <c r="F42" s="177"/>
      <c r="G42" s="177"/>
      <c r="H42" s="177"/>
      <c r="I42" s="177"/>
      <c r="J42" s="177"/>
      <c r="K42" s="177"/>
      <c r="L42" s="177"/>
      <c r="M42" s="177"/>
      <c r="N42" s="177"/>
      <c r="O42" s="177"/>
    </row>
    <row r="43" spans="2:15" s="175" customFormat="1" ht="12.75" x14ac:dyDescent="0.2">
      <c r="B43" s="176" t="s">
        <v>260</v>
      </c>
      <c r="C43" s="178">
        <v>0.02</v>
      </c>
      <c r="D43" s="180">
        <f>'Fatores de Emissão'!$E$10</f>
        <v>4.4243290960451981E-3</v>
      </c>
      <c r="E43" s="181">
        <f t="shared" si="1"/>
        <v>8.8486581920903967E-5</v>
      </c>
      <c r="F43" s="177"/>
      <c r="G43" s="188" t="s">
        <v>263</v>
      </c>
      <c r="H43" s="186" t="s">
        <v>9</v>
      </c>
      <c r="I43" s="177"/>
      <c r="J43" s="177"/>
      <c r="K43" s="177"/>
      <c r="L43" s="177"/>
      <c r="M43" s="177"/>
      <c r="N43" s="177"/>
      <c r="O43" s="177"/>
    </row>
    <row r="44" spans="2:15" s="175" customFormat="1" ht="12.75" x14ac:dyDescent="0.2">
      <c r="B44" s="182" t="s">
        <v>246</v>
      </c>
      <c r="C44" s="183"/>
      <c r="D44" s="184"/>
      <c r="E44" s="185">
        <f>SUM(E38:E43)</f>
        <v>0.11733764407344634</v>
      </c>
      <c r="F44" s="177"/>
      <c r="G44" s="187" t="s">
        <v>205</v>
      </c>
      <c r="H44" s="177" t="e">
        <f>VLOOKUP($C$13,FAListas!$C$20:$D$28,2,FALSE)</f>
        <v>#N/A</v>
      </c>
      <c r="I44" s="177"/>
      <c r="J44" s="177"/>
      <c r="K44" s="177"/>
      <c r="L44" s="177"/>
      <c r="M44" s="177"/>
      <c r="N44" s="177"/>
      <c r="O44" s="177"/>
    </row>
    <row r="45" spans="2:15" s="175" customFormat="1" ht="12.75" x14ac:dyDescent="0.2">
      <c r="D45" s="177"/>
      <c r="E45" s="177"/>
      <c r="F45" s="177"/>
      <c r="G45" s="204"/>
      <c r="H45" s="205"/>
      <c r="I45" s="177"/>
      <c r="J45" s="177"/>
      <c r="K45" s="177"/>
      <c r="L45" s="177"/>
      <c r="M45" s="177"/>
      <c r="N45" s="177"/>
      <c r="O45" s="177"/>
    </row>
    <row r="46" spans="2:15" s="175" customFormat="1" ht="12.75" x14ac:dyDescent="0.2">
      <c r="D46" s="177"/>
      <c r="E46" s="177"/>
      <c r="F46" s="177"/>
      <c r="G46" s="187" t="s">
        <v>154</v>
      </c>
      <c r="H46" s="177">
        <f>'Fatores de Emissão'!$E$47</f>
        <v>8.9999999999999993E-3</v>
      </c>
      <c r="I46" s="177"/>
      <c r="J46" s="177"/>
      <c r="K46" s="177"/>
      <c r="L46" s="177"/>
      <c r="M46" s="177"/>
      <c r="N46" s="177"/>
      <c r="O46" s="177"/>
    </row>
    <row r="47" spans="2:15" s="175" customFormat="1" ht="12.75" x14ac:dyDescent="0.2">
      <c r="D47" s="177"/>
      <c r="E47" s="177"/>
      <c r="F47" s="177"/>
      <c r="G47" s="187" t="s">
        <v>110</v>
      </c>
      <c r="H47" s="177">
        <v>0</v>
      </c>
      <c r="I47" s="177"/>
      <c r="J47" s="177"/>
      <c r="K47" s="177"/>
      <c r="L47" s="177"/>
      <c r="M47" s="177"/>
      <c r="N47" s="177"/>
      <c r="O47" s="177"/>
    </row>
    <row r="48" spans="2:15" s="175" customFormat="1" ht="12.75" x14ac:dyDescent="0.2">
      <c r="D48" s="177"/>
      <c r="E48" s="177"/>
      <c r="F48" s="177"/>
      <c r="G48" s="187" t="s">
        <v>266</v>
      </c>
      <c r="H48" s="177">
        <v>0</v>
      </c>
      <c r="I48" s="177"/>
      <c r="J48" s="177"/>
      <c r="K48" s="177"/>
      <c r="L48" s="177"/>
      <c r="M48" s="177"/>
      <c r="N48" s="177"/>
      <c r="O48" s="177"/>
    </row>
    <row r="49" spans="1:23" s="175" customFormat="1" ht="12.75" x14ac:dyDescent="0.2">
      <c r="D49" s="177"/>
      <c r="E49" s="177"/>
      <c r="F49" s="177"/>
      <c r="G49" s="187" t="s">
        <v>109</v>
      </c>
      <c r="H49" s="177">
        <f>'Fatores de Emissão'!$E$14</f>
        <v>5.6709999999999998E-3</v>
      </c>
      <c r="I49" s="177"/>
      <c r="J49" s="177"/>
      <c r="K49" s="177"/>
      <c r="L49" s="177"/>
      <c r="M49" s="177"/>
      <c r="N49" s="177"/>
      <c r="O49" s="177"/>
    </row>
    <row r="50" spans="1:23" s="175" customFormat="1" ht="12.75" x14ac:dyDescent="0.2">
      <c r="D50" s="177"/>
      <c r="E50" s="177"/>
      <c r="F50" s="177"/>
      <c r="G50" s="187" t="s">
        <v>267</v>
      </c>
      <c r="H50" s="177">
        <f>'Fatores de Emissão'!F13</f>
        <v>4.1099999999999998E-2</v>
      </c>
      <c r="I50" s="177"/>
      <c r="J50" s="177"/>
      <c r="K50" s="177"/>
      <c r="L50" s="177"/>
      <c r="M50" s="177"/>
      <c r="N50" s="177"/>
      <c r="O50" s="177"/>
    </row>
    <row r="51" spans="1:23" s="175" customFormat="1" ht="12.75" x14ac:dyDescent="0.2">
      <c r="D51" s="177"/>
      <c r="E51" s="177" t="s">
        <v>859</v>
      </c>
      <c r="F51" s="177"/>
      <c r="G51" s="187" t="s">
        <v>268</v>
      </c>
      <c r="H51" s="177">
        <f>'Fatores de Emissão'!E11</f>
        <v>3.10086E-3</v>
      </c>
      <c r="I51" s="177"/>
      <c r="J51" s="177"/>
      <c r="K51" s="177"/>
      <c r="L51" s="177"/>
      <c r="M51" s="177"/>
      <c r="N51" s="177"/>
      <c r="O51" s="177"/>
    </row>
    <row r="52" spans="1:23" s="175" customFormat="1" ht="12.75" x14ac:dyDescent="0.2">
      <c r="D52" s="177"/>
      <c r="E52" s="177"/>
      <c r="F52" s="177"/>
      <c r="G52" s="187"/>
      <c r="H52" s="177"/>
      <c r="I52" s="177"/>
      <c r="J52" s="177"/>
      <c r="K52" s="177"/>
      <c r="L52" s="177"/>
      <c r="M52" s="177"/>
      <c r="N52" s="177"/>
      <c r="O52" s="177"/>
    </row>
    <row r="53" spans="1:23" s="175" customFormat="1" ht="31.5" x14ac:dyDescent="0.5">
      <c r="B53" s="249"/>
      <c r="D53" s="177"/>
      <c r="E53" s="177"/>
      <c r="F53" s="249"/>
      <c r="I53" s="249" t="s">
        <v>969</v>
      </c>
      <c r="J53" s="177"/>
      <c r="L53" s="177"/>
      <c r="M53" s="177"/>
      <c r="N53" s="177"/>
      <c r="O53" s="249"/>
      <c r="T53" s="249"/>
    </row>
    <row r="54" spans="1:23" s="123" customFormat="1" ht="12.75" x14ac:dyDescent="0.2">
      <c r="D54" s="209"/>
      <c r="E54" s="124"/>
      <c r="F54" s="124"/>
      <c r="G54" s="124"/>
      <c r="H54" s="124"/>
      <c r="I54" s="209"/>
      <c r="J54" s="124"/>
      <c r="K54" s="124"/>
      <c r="L54" s="124"/>
      <c r="M54" s="124"/>
      <c r="N54" s="124"/>
      <c r="O54" s="124"/>
    </row>
    <row r="55" spans="1:23" s="123" customFormat="1" ht="40.15" customHeight="1" x14ac:dyDescent="0.2">
      <c r="A55" s="108" t="s">
        <v>300</v>
      </c>
      <c r="B55" s="108" t="s">
        <v>264</v>
      </c>
      <c r="C55" s="151" t="s">
        <v>287</v>
      </c>
      <c r="D55" s="108" t="s">
        <v>207</v>
      </c>
      <c r="E55" s="108" t="s">
        <v>206</v>
      </c>
      <c r="F55" s="108" t="s">
        <v>208</v>
      </c>
      <c r="G55" s="108" t="s">
        <v>305</v>
      </c>
      <c r="H55" s="108" t="s">
        <v>306</v>
      </c>
      <c r="I55" s="147" t="s">
        <v>209</v>
      </c>
      <c r="J55" s="147" t="s">
        <v>210</v>
      </c>
      <c r="K55" s="147" t="s">
        <v>211</v>
      </c>
      <c r="L55" s="147" t="s">
        <v>302</v>
      </c>
      <c r="M55" s="147" t="s">
        <v>301</v>
      </c>
      <c r="N55" s="101"/>
      <c r="O55" s="101"/>
      <c r="P55" s="101"/>
      <c r="Q55" s="101"/>
      <c r="R55" s="101"/>
      <c r="S55" s="101"/>
      <c r="T55" s="101"/>
      <c r="U55" s="101"/>
      <c r="V55" s="101"/>
      <c r="W55" s="101"/>
    </row>
    <row r="56" spans="1:23" s="123" customFormat="1" ht="40.15" customHeight="1" x14ac:dyDescent="0.2">
      <c r="A56" s="267"/>
      <c r="B56" s="264" t="s">
        <v>204</v>
      </c>
      <c r="C56" s="152">
        <v>0.45900000000000002</v>
      </c>
      <c r="D56" s="145"/>
      <c r="E56" s="145"/>
      <c r="F56" s="145"/>
      <c r="G56" s="145"/>
      <c r="H56" s="164"/>
      <c r="I56" s="143"/>
      <c r="J56" s="142"/>
      <c r="K56" s="142"/>
      <c r="L56" s="142"/>
      <c r="M56" s="142"/>
      <c r="N56" s="124"/>
      <c r="O56" s="124"/>
      <c r="S56" s="389"/>
      <c r="T56" s="124"/>
      <c r="U56" s="124"/>
      <c r="V56" s="124"/>
      <c r="W56" s="124"/>
    </row>
    <row r="57" spans="1:23" s="123" customFormat="1" ht="40.15" customHeight="1" x14ac:dyDescent="0.2">
      <c r="A57" s="265">
        <f>C57/$B$62</f>
        <v>0.31901294182718681</v>
      </c>
      <c r="B57" s="266" t="s">
        <v>262</v>
      </c>
      <c r="C57" s="153">
        <v>0.13900000000000001</v>
      </c>
      <c r="D57" s="148">
        <f>IFERROR(IF('TM1_micromobilidade '!$E$73=FAListas!$C$60,0,'TM1_micromobilidade '!$E$84/100),"0")</f>
        <v>0</v>
      </c>
      <c r="E57" s="148">
        <f>IFERROR(IF('TM1_micromobilidade '!$E$73=FAListas!$C$60,0,'TM1_micromobilidade '!E91/100),"0")</f>
        <v>0</v>
      </c>
      <c r="F57" s="148">
        <f>IFERROR(IF('TM1_micromobilidade '!$E$73=FAListas!$C$60,0,'TM1_micromobilidade '!E98/100),"0")</f>
        <v>0</v>
      </c>
      <c r="G57" s="148">
        <f>IFERROR(IF('TM1_micromobilidade '!$E$73=FAListas!$C$60,0,'TM1_micromobilidade '!E105/100),"0")</f>
        <v>0</v>
      </c>
      <c r="H57" s="148">
        <f>IFERROR(IF('TM1_micromobilidade '!$E$73=FAListas!$C$60,0,'TM1_micromobilidade '!E106/100),"0")</f>
        <v>0</v>
      </c>
      <c r="I57" s="263">
        <f>IF('TM1_micromobilidade '!$E$73=FAListas!$C$59,0,$A$57)</f>
        <v>0</v>
      </c>
      <c r="J57" s="263">
        <f>IF('TM1_micromobilidade '!$E$73=FAListas!$C$59,0,$A$57)</f>
        <v>0</v>
      </c>
      <c r="K57" s="263">
        <f>IF('TM1_micromobilidade '!$E$73=FAListas!$C$59,0,$A$57)</f>
        <v>0</v>
      </c>
      <c r="L57" s="263">
        <f>IF('TM1_micromobilidade '!$E$73=FAListas!$C$59,0,$A$57)</f>
        <v>0</v>
      </c>
      <c r="M57" s="454">
        <f>IF('TM1_micromobilidade '!$E$73=FAListas!$C$59,0,$A$57)</f>
        <v>0</v>
      </c>
      <c r="N57" s="157"/>
      <c r="O57" s="157"/>
      <c r="P57" s="157"/>
      <c r="Q57" s="157"/>
      <c r="R57" s="157"/>
      <c r="S57" s="349"/>
      <c r="T57" s="349"/>
      <c r="U57" s="349"/>
      <c r="V57" s="349"/>
      <c r="W57" s="349"/>
    </row>
    <row r="58" spans="1:23" s="123" customFormat="1" ht="40.15" customHeight="1" x14ac:dyDescent="0.2">
      <c r="A58" s="265">
        <f>C58/$B$62</f>
        <v>8.216763556328735E-2</v>
      </c>
      <c r="B58" s="266" t="s">
        <v>261</v>
      </c>
      <c r="C58" s="153">
        <f>(0.078*C56)</f>
        <v>3.5802E-2</v>
      </c>
      <c r="D58" s="148">
        <f>IFERROR(IF('TM1_micromobilidade '!$E$73=FAListas!$C$60,0,'TM1_micromobilidade '!$E$85/100),"0")</f>
        <v>0</v>
      </c>
      <c r="E58" s="148">
        <f>IFERROR(IF('TM1_micromobilidade '!$E$73=FAListas!$C$60,0,'TM1_micromobilidade '!E92/100),"0")</f>
        <v>0</v>
      </c>
      <c r="F58" s="148">
        <f>IFERROR(IF('TM1_micromobilidade '!$E$73=FAListas!$C$60,0,'TM1_micromobilidade '!E99/100),"0")</f>
        <v>0</v>
      </c>
      <c r="G58" s="148">
        <f>IFERROR(IF('TM1_micromobilidade '!$E$73=FAListas!$C$60,0,'TM1_micromobilidade '!E107/100),"0")</f>
        <v>0</v>
      </c>
      <c r="H58" s="148">
        <f>IFERROR(IF('TM1_micromobilidade '!$E$73=FAListas!$C$60,0,'TM1_micromobilidade '!E108/100),"0")</f>
        <v>0</v>
      </c>
      <c r="I58" s="263">
        <f>IF('TM1_micromobilidade '!$E$73=FAListas!$C$59,0,$A$58)</f>
        <v>0</v>
      </c>
      <c r="J58" s="263">
        <f>IF('TM1_micromobilidade '!$E$73=FAListas!$C$59,0,$A$58)</f>
        <v>0</v>
      </c>
      <c r="K58" s="263">
        <f>IF('TM1_micromobilidade '!$E$73=FAListas!$C$59,0,$A$58)</f>
        <v>0</v>
      </c>
      <c r="L58" s="263">
        <f>IF('TM1_micromobilidade '!$E$73=FAListas!$C$59,0,$A$58)</f>
        <v>0</v>
      </c>
      <c r="M58" s="454">
        <f>IF('TM1_micromobilidade '!$E$73=FAListas!$C$59,0,$A$58)</f>
        <v>0</v>
      </c>
      <c r="N58" s="157"/>
      <c r="O58" s="157"/>
      <c r="P58" s="157"/>
      <c r="Q58" s="157"/>
      <c r="R58" s="157"/>
      <c r="S58" s="349"/>
      <c r="T58" s="349"/>
      <c r="U58" s="349"/>
      <c r="V58" s="349"/>
      <c r="W58" s="349"/>
    </row>
    <row r="59" spans="1:23" s="123" customFormat="1" ht="40.15" customHeight="1" x14ac:dyDescent="0.2">
      <c r="A59" s="265">
        <f>C59/$B$62</f>
        <v>3.2656367980280869E-2</v>
      </c>
      <c r="B59" s="266" t="s">
        <v>205</v>
      </c>
      <c r="C59" s="153">
        <f>C56*0.031</f>
        <v>1.4229E-2</v>
      </c>
      <c r="D59" s="148">
        <f>IFERROR(IF('TM1_micromobilidade '!$E$73=FAListas!$C$60,0,'TM1_micromobilidade '!E86/100),"0")</f>
        <v>0</v>
      </c>
      <c r="E59" s="148">
        <f>IFERROR(IF('TM1_micromobilidade '!$E$73=FAListas!$C$60,0,'TM1_micromobilidade '!E93/100),"0")</f>
        <v>0</v>
      </c>
      <c r="F59" s="148">
        <f>IFERROR(IF('TM1_micromobilidade '!$E$73=FAListas!$C$60,0,'TM1_micromobilidade '!E100/100),"0")</f>
        <v>0</v>
      </c>
      <c r="G59" s="148">
        <f>IFERROR(IF('TM1_micromobilidade '!$E$73=FAListas!$C$60,0,'TM1_micromobilidade '!E109/100),"0")</f>
        <v>0</v>
      </c>
      <c r="H59" s="148">
        <f>IFERROR(IF('TM1_micromobilidade '!$E$73=FAListas!$C$60,0,'TM1_micromobilidade '!E110/100),"0")</f>
        <v>0</v>
      </c>
      <c r="I59" s="263">
        <f>IF('TM1_micromobilidade '!$E$73=FAListas!$C$59,0,$A$59)</f>
        <v>0</v>
      </c>
      <c r="J59" s="263">
        <f>IF('TM1_micromobilidade '!$E$73=FAListas!$C$59,0,$A$59)</f>
        <v>0</v>
      </c>
      <c r="K59" s="263">
        <f>IF('TM1_micromobilidade '!$E$73=FAListas!$C$59,0,$A$59)</f>
        <v>0</v>
      </c>
      <c r="L59" s="263">
        <f>IF('TM1_micromobilidade '!$E$73=FAListas!$C$59,0,$A$59)</f>
        <v>0</v>
      </c>
      <c r="M59" s="454">
        <f>IF('TM1_micromobilidade '!$E$73=FAListas!$C$59,0,$A$59)</f>
        <v>0</v>
      </c>
      <c r="N59" s="157"/>
      <c r="O59" s="157"/>
      <c r="P59" s="157"/>
      <c r="Q59" s="157"/>
      <c r="R59" s="157"/>
      <c r="S59" s="349"/>
      <c r="T59" s="349"/>
      <c r="U59" s="349"/>
      <c r="V59" s="349"/>
      <c r="W59" s="349"/>
    </row>
    <row r="60" spans="1:23" s="123" customFormat="1" ht="40.15" customHeight="1" x14ac:dyDescent="0.2">
      <c r="A60" s="265">
        <f>C60/$B$62</f>
        <v>3.3709799205451224E-2</v>
      </c>
      <c r="B60" s="266" t="s">
        <v>154</v>
      </c>
      <c r="C60" s="153">
        <f>C56*0.032</f>
        <v>1.4688000000000001E-2</v>
      </c>
      <c r="D60" s="148">
        <f>IFERROR(IF('TM1_micromobilidade '!$E$73=FAListas!$C$60,0,'TM1_micromobilidade '!E87/100),"0")</f>
        <v>0</v>
      </c>
      <c r="E60" s="148">
        <f>IFERROR(IF('TM1_micromobilidade '!$E$73=FAListas!$C$60,0,'TM1_micromobilidade '!E94/100),"0")</f>
        <v>0</v>
      </c>
      <c r="F60" s="148">
        <f>IFERROR(IF('TM1_micromobilidade '!$E$73=FAListas!$C$60,0,'TM1_micromobilidade '!E101/100),"0")</f>
        <v>0</v>
      </c>
      <c r="G60" s="148">
        <f>IFERROR(IF('TM1_micromobilidade '!$E$73=FAListas!$C$60,0,'TM1_micromobilidade '!E111/100),"0")</f>
        <v>0</v>
      </c>
      <c r="H60" s="148">
        <f>IFERROR(IF('TM1_micromobilidade '!$E$73=FAListas!$C$60,0,'TM1_micromobilidade '!E112/100),"0")</f>
        <v>0</v>
      </c>
      <c r="I60" s="263">
        <f>IF('TM1_micromobilidade '!$E$73=FAListas!$C$59,0,$A$60)</f>
        <v>0</v>
      </c>
      <c r="J60" s="263">
        <f>IF('TM1_micromobilidade '!$E$73=FAListas!$C$59,0,$A$60)</f>
        <v>0</v>
      </c>
      <c r="K60" s="263">
        <f>IF('TM1_micromobilidade '!$E$73=FAListas!$C$59,0,$A$60)</f>
        <v>0</v>
      </c>
      <c r="L60" s="263">
        <f>IF('TM1_micromobilidade '!$E$73=FAListas!$C$59,0,$A$60)</f>
        <v>0</v>
      </c>
      <c r="M60" s="454">
        <f>IF('TM1_micromobilidade '!$E$73=FAListas!$C$59,0,$A$60)</f>
        <v>0</v>
      </c>
      <c r="N60" s="157"/>
      <c r="O60" s="157"/>
      <c r="P60" s="157"/>
      <c r="Q60" s="157"/>
      <c r="R60" s="157"/>
      <c r="S60" s="349"/>
      <c r="T60" s="349"/>
      <c r="U60" s="349"/>
      <c r="V60" s="349"/>
      <c r="W60" s="349"/>
    </row>
    <row r="61" spans="1:23" s="123" customFormat="1" ht="40.15" customHeight="1" x14ac:dyDescent="0.2">
      <c r="A61" s="265">
        <f>C61/$B$62</f>
        <v>0.53245325542379374</v>
      </c>
      <c r="B61" s="266" t="s">
        <v>110</v>
      </c>
      <c r="C61" s="153">
        <v>0.23200000000000001</v>
      </c>
      <c r="D61" s="148">
        <f>IFERROR(IF('TM1_micromobilidade '!$E$73=FAListas!$C$60,0,'TM1_micromobilidade '!E88/100),"0")</f>
        <v>0</v>
      </c>
      <c r="E61" s="148">
        <f>IFERROR(IF('TM1_micromobilidade '!$E$73=FAListas!$C$60,0,'TM1_micromobilidade '!E95/100),"0")</f>
        <v>0</v>
      </c>
      <c r="F61" s="148">
        <f>IFERROR(IF('TM1_micromobilidade '!$E$73=FAListas!$C$60,0,'TM1_micromobilidade '!E102/100),"0")</f>
        <v>0</v>
      </c>
      <c r="G61" s="148">
        <f>IFERROR(IF('TM1_micromobilidade '!$E$73=FAListas!$C$60,0,'TM1_micromobilidade '!E114/100),"0")</f>
        <v>0</v>
      </c>
      <c r="H61" s="148" t="str">
        <f>IFERROR(IF('TM1_micromobilidade '!$E$73=FAListas!$C$60,0,'TM1_micromobilidade '!E115/100),"0")</f>
        <v>0</v>
      </c>
      <c r="I61" s="263">
        <f>IF('TM1_micromobilidade '!$E$73=FAListas!$C$59,0,$A$61)</f>
        <v>0</v>
      </c>
      <c r="J61" s="263">
        <f>IF('TM1_micromobilidade '!$E$73=FAListas!$C$59,0,$A$61)</f>
        <v>0</v>
      </c>
      <c r="K61" s="263">
        <f>IF('TM1_micromobilidade '!$E$73=FAListas!$C$59,0,$A$61)</f>
        <v>0</v>
      </c>
      <c r="L61" s="263">
        <f>IF('TM1_micromobilidade '!$E$73=FAListas!$C$59,0,$A$61)</f>
        <v>0</v>
      </c>
      <c r="M61" s="454">
        <f>IF('TM1_micromobilidade '!$E$73=FAListas!$C$59,0,$A$61)</f>
        <v>0</v>
      </c>
      <c r="N61" s="157"/>
      <c r="O61" s="157"/>
      <c r="P61" s="157"/>
      <c r="Q61" s="157"/>
      <c r="R61" s="157"/>
      <c r="S61" s="349"/>
      <c r="T61" s="349"/>
      <c r="U61" s="349"/>
      <c r="V61" s="349"/>
      <c r="W61" s="349"/>
    </row>
    <row r="62" spans="1:23" s="123" customFormat="1" ht="40.15" customHeight="1" x14ac:dyDescent="0.2">
      <c r="B62" s="454">
        <f>SUM(C57:C61)</f>
        <v>0.43571900000000002</v>
      </c>
      <c r="C62" s="153"/>
      <c r="D62" s="253"/>
      <c r="E62" s="253"/>
      <c r="F62" s="253"/>
      <c r="G62" s="253"/>
      <c r="H62" s="253"/>
      <c r="I62" s="252"/>
      <c r="J62" s="252"/>
      <c r="K62" s="252"/>
      <c r="L62" s="252"/>
      <c r="M62" s="141"/>
      <c r="N62" s="124"/>
      <c r="O62" s="124"/>
      <c r="S62" s="141"/>
      <c r="T62" s="141"/>
      <c r="U62" s="141"/>
      <c r="V62" s="141"/>
      <c r="W62" s="141"/>
    </row>
    <row r="63" spans="1:23" s="123" customFormat="1" ht="40.15" customHeight="1" x14ac:dyDescent="0.2">
      <c r="B63" s="171" t="s">
        <v>265</v>
      </c>
      <c r="C63" s="172"/>
      <c r="D63" s="108" t="s">
        <v>269</v>
      </c>
      <c r="E63" s="108" t="s">
        <v>109</v>
      </c>
      <c r="F63" s="108" t="s">
        <v>270</v>
      </c>
      <c r="G63" s="108" t="s">
        <v>304</v>
      </c>
      <c r="H63" s="108" t="s">
        <v>303</v>
      </c>
      <c r="I63" s="147" t="s">
        <v>269</v>
      </c>
      <c r="J63" s="147" t="s">
        <v>109</v>
      </c>
      <c r="K63" s="147" t="s">
        <v>267</v>
      </c>
      <c r="L63" s="147" t="s">
        <v>304</v>
      </c>
      <c r="M63" s="147" t="s">
        <v>303</v>
      </c>
      <c r="N63" s="101"/>
      <c r="O63" s="101"/>
      <c r="P63" s="101"/>
      <c r="Q63" s="101"/>
      <c r="R63" s="101"/>
      <c r="S63" s="101"/>
      <c r="T63" s="101"/>
      <c r="U63" s="101"/>
      <c r="V63" s="101"/>
      <c r="W63" s="101"/>
    </row>
    <row r="64" spans="1:23" s="123" customFormat="1" ht="40.15" customHeight="1" x14ac:dyDescent="0.2">
      <c r="B64" s="144" t="s">
        <v>262</v>
      </c>
      <c r="C64" s="146"/>
      <c r="D64" s="144">
        <f>IFERROR($G$13*D57,"0")</f>
        <v>0</v>
      </c>
      <c r="E64" s="144">
        <f>IFERROR($G$14*E57,"0")</f>
        <v>0</v>
      </c>
      <c r="F64" s="144">
        <f>IFERROR($G$15*F57,"0")</f>
        <v>0</v>
      </c>
      <c r="G64" s="144">
        <f>IFERROR($G$16*G57,"0")</f>
        <v>0</v>
      </c>
      <c r="H64" s="144">
        <f>IFERROR($G$17*H57,"0")</f>
        <v>0</v>
      </c>
      <c r="I64" s="148">
        <f>IFERROR($G$13*I57,"0")</f>
        <v>0</v>
      </c>
      <c r="J64" s="148">
        <f>IFERROR($G$14*J57,"0")</f>
        <v>0</v>
      </c>
      <c r="K64" s="144">
        <f>IFERROR($G$15*K57,"0")</f>
        <v>0</v>
      </c>
      <c r="L64" s="144">
        <f>IFERROR($G$16*L57,"0")</f>
        <v>0</v>
      </c>
      <c r="M64" s="252">
        <f>IFERROR($G$17*M57,"0")</f>
        <v>0</v>
      </c>
      <c r="N64" s="141"/>
      <c r="O64" s="141"/>
      <c r="P64" s="141"/>
      <c r="Q64" s="141"/>
      <c r="R64" s="141"/>
      <c r="S64" s="157"/>
      <c r="T64" s="157"/>
      <c r="U64" s="157"/>
      <c r="V64" s="157"/>
      <c r="W64" s="157"/>
    </row>
    <row r="65" spans="1:23" s="123" customFormat="1" ht="40.15" customHeight="1" x14ac:dyDescent="0.2">
      <c r="B65" s="144" t="s">
        <v>261</v>
      </c>
      <c r="C65" s="146"/>
      <c r="D65" s="144">
        <f>IFERROR($G$13*D58,"0")</f>
        <v>0</v>
      </c>
      <c r="E65" s="144">
        <f>IFERROR($G$14*E58,"0")</f>
        <v>0</v>
      </c>
      <c r="F65" s="144">
        <f>IFERROR($G$15*F58,"0")</f>
        <v>0</v>
      </c>
      <c r="G65" s="144">
        <f>IFERROR($G$16*G58,"0")</f>
        <v>0</v>
      </c>
      <c r="H65" s="144">
        <f>IFERROR($G$17*H58,"0")</f>
        <v>0</v>
      </c>
      <c r="I65" s="148">
        <f>IFERROR($G$13*I58,"0")</f>
        <v>0</v>
      </c>
      <c r="J65" s="148">
        <f>IFERROR($G$14*J58,"0")</f>
        <v>0</v>
      </c>
      <c r="K65" s="144">
        <f>IFERROR($G$15*K58,"0")</f>
        <v>0</v>
      </c>
      <c r="L65" s="144">
        <f>IFERROR($G$16*L58,"0")</f>
        <v>0</v>
      </c>
      <c r="M65" s="252">
        <f>IFERROR($G$17*M58,"0")</f>
        <v>0</v>
      </c>
      <c r="N65" s="141"/>
      <c r="O65" s="141"/>
      <c r="P65" s="141"/>
      <c r="Q65" s="141"/>
      <c r="R65" s="141"/>
      <c r="S65" s="157"/>
      <c r="T65" s="157"/>
      <c r="U65" s="157"/>
      <c r="V65" s="157"/>
      <c r="W65" s="157"/>
    </row>
    <row r="66" spans="1:23" s="123" customFormat="1" ht="40.15" customHeight="1" x14ac:dyDescent="0.2">
      <c r="B66" s="144" t="s">
        <v>205</v>
      </c>
      <c r="C66" s="149"/>
      <c r="D66" s="144">
        <f>IFERROR($G$13*D59,"0")</f>
        <v>0</v>
      </c>
      <c r="E66" s="144">
        <f>IFERROR($G$14*E59,"0")</f>
        <v>0</v>
      </c>
      <c r="F66" s="144">
        <f>IFERROR($G$15*F59,"0")</f>
        <v>0</v>
      </c>
      <c r="G66" s="144">
        <f>IFERROR($G$16*G59,"0")</f>
        <v>0</v>
      </c>
      <c r="H66" s="144">
        <f>IFERROR($G$17*H59,"0")</f>
        <v>0</v>
      </c>
      <c r="I66" s="148">
        <f>IFERROR($G$13*I59,"0")</f>
        <v>0</v>
      </c>
      <c r="J66" s="148">
        <f>IFERROR($G$14*J59,"0")</f>
        <v>0</v>
      </c>
      <c r="K66" s="144">
        <f>IFERROR($G$15*K59,"0")</f>
        <v>0</v>
      </c>
      <c r="L66" s="144">
        <f>IFERROR($G$16*L59,"0")</f>
        <v>0</v>
      </c>
      <c r="M66" s="252">
        <f>IFERROR($G$17*M59,"0")</f>
        <v>0</v>
      </c>
      <c r="N66" s="141"/>
      <c r="O66" s="141"/>
      <c r="P66" s="141"/>
      <c r="Q66" s="141"/>
      <c r="R66" s="141"/>
      <c r="S66" s="157"/>
      <c r="T66" s="157"/>
      <c r="U66" s="157"/>
      <c r="V66" s="157"/>
      <c r="W66" s="157"/>
    </row>
    <row r="67" spans="1:23" s="123" customFormat="1" ht="40.15" customHeight="1" x14ac:dyDescent="0.2">
      <c r="B67" s="144" t="s">
        <v>154</v>
      </c>
      <c r="C67" s="149"/>
      <c r="D67" s="144">
        <f>IFERROR($G$13*D60,"0")</f>
        <v>0</v>
      </c>
      <c r="E67" s="144">
        <f>IFERROR($G$14*E60,"0")</f>
        <v>0</v>
      </c>
      <c r="F67" s="144">
        <f>IFERROR($G$15*F60,"0")</f>
        <v>0</v>
      </c>
      <c r="G67" s="144">
        <f>IFERROR($G$16*G60,"0")</f>
        <v>0</v>
      </c>
      <c r="H67" s="144">
        <f>IFERROR($G$17*H60,"0")</f>
        <v>0</v>
      </c>
      <c r="I67" s="148">
        <f>IFERROR($G$13*I60,"0")</f>
        <v>0</v>
      </c>
      <c r="J67" s="148">
        <f>IFERROR($G$14*J60,"0")</f>
        <v>0</v>
      </c>
      <c r="K67" s="144">
        <f>IFERROR($G$15*K60,"0")</f>
        <v>0</v>
      </c>
      <c r="L67" s="144">
        <f>IFERROR($G$16*L60,"0")</f>
        <v>0</v>
      </c>
      <c r="M67" s="252">
        <f>IFERROR($G$17*M60,"0")</f>
        <v>0</v>
      </c>
      <c r="N67" s="141"/>
      <c r="O67" s="141"/>
      <c r="P67" s="141"/>
      <c r="Q67" s="141"/>
      <c r="R67" s="141"/>
      <c r="S67" s="157"/>
      <c r="T67" s="157"/>
      <c r="U67" s="157"/>
      <c r="V67" s="157"/>
      <c r="W67" s="157"/>
    </row>
    <row r="68" spans="1:23" s="123" customFormat="1" ht="40.15" customHeight="1" x14ac:dyDescent="0.2">
      <c r="B68" s="156" t="s">
        <v>176</v>
      </c>
      <c r="C68" s="149"/>
      <c r="D68" s="144">
        <f>IFERROR($H$47*D61,"0")</f>
        <v>0</v>
      </c>
      <c r="E68" s="144">
        <f>IFERROR($G$14*E61,"0")</f>
        <v>0</v>
      </c>
      <c r="F68" s="144">
        <f>IFERROR($G$15*F61,"0")</f>
        <v>0</v>
      </c>
      <c r="G68" s="144">
        <f>IFERROR($G$16*G61,"0")</f>
        <v>0</v>
      </c>
      <c r="H68" s="144">
        <f>IFERROR($G$17*H61,"0")</f>
        <v>0</v>
      </c>
      <c r="I68" s="148">
        <f>IFERROR($G$13*I61,"0")</f>
        <v>0</v>
      </c>
      <c r="J68" s="148">
        <f>IFERROR($G$14*J61,"0")</f>
        <v>0</v>
      </c>
      <c r="K68" s="144">
        <f>IFERROR($G$15*K61,"0")</f>
        <v>0</v>
      </c>
      <c r="L68" s="144">
        <f>IFERROR($G$16*L61,"0")</f>
        <v>0</v>
      </c>
      <c r="M68" s="252">
        <f>IFERROR($G$17*M61,"0")</f>
        <v>0</v>
      </c>
      <c r="N68" s="141"/>
      <c r="O68" s="141"/>
      <c r="P68" s="141"/>
      <c r="Q68" s="141"/>
      <c r="R68" s="141"/>
      <c r="S68" s="157"/>
      <c r="T68" s="157"/>
      <c r="U68" s="157"/>
      <c r="V68" s="157"/>
      <c r="W68" s="157"/>
    </row>
    <row r="69" spans="1:23" s="123" customFormat="1" ht="20.45" customHeight="1" x14ac:dyDescent="0.2">
      <c r="B69" s="156"/>
      <c r="C69" s="149"/>
      <c r="D69" s="124"/>
      <c r="E69" s="124"/>
      <c r="F69" s="124"/>
      <c r="G69" s="124"/>
      <c r="H69" s="124"/>
      <c r="I69" s="124"/>
      <c r="J69" s="124"/>
      <c r="K69" s="124"/>
      <c r="L69" s="124"/>
      <c r="M69" s="124"/>
      <c r="N69" s="124"/>
      <c r="O69" s="124"/>
      <c r="S69" s="124"/>
      <c r="T69" s="124"/>
      <c r="U69" s="124"/>
      <c r="V69" s="124"/>
      <c r="W69" s="124"/>
    </row>
    <row r="70" spans="1:23" s="123" customFormat="1" ht="40.15" customHeight="1" x14ac:dyDescent="0.2">
      <c r="B70" s="154" t="s">
        <v>292</v>
      </c>
      <c r="C70" s="155"/>
      <c r="D70" s="108" t="s">
        <v>269</v>
      </c>
      <c r="E70" s="108" t="s">
        <v>109</v>
      </c>
      <c r="F70" s="108" t="s">
        <v>270</v>
      </c>
      <c r="G70" s="108" t="s">
        <v>304</v>
      </c>
      <c r="H70" s="108" t="s">
        <v>303</v>
      </c>
      <c r="I70" s="147" t="s">
        <v>269</v>
      </c>
      <c r="J70" s="147" t="s">
        <v>109</v>
      </c>
      <c r="K70" s="147" t="s">
        <v>267</v>
      </c>
      <c r="L70" s="147" t="s">
        <v>304</v>
      </c>
      <c r="M70" s="147" t="s">
        <v>303</v>
      </c>
      <c r="N70" s="101"/>
      <c r="O70" s="101"/>
      <c r="P70" s="101"/>
      <c r="Q70" s="101"/>
      <c r="R70" s="101"/>
      <c r="S70" s="101"/>
      <c r="T70" s="101"/>
      <c r="U70" s="101"/>
      <c r="V70" s="101"/>
      <c r="W70" s="101"/>
    </row>
    <row r="71" spans="1:23" s="123" customFormat="1" ht="40.15" customHeight="1" x14ac:dyDescent="0.2">
      <c r="B71" s="144" t="s">
        <v>262</v>
      </c>
      <c r="C71" s="150"/>
      <c r="D71" s="157">
        <f>((D64*$E$44)/1000)</f>
        <v>0</v>
      </c>
      <c r="E71" s="157">
        <f t="shared" ref="E71:M71" si="2">(E64*$E$44/1000)</f>
        <v>0</v>
      </c>
      <c r="F71" s="157">
        <f t="shared" si="2"/>
        <v>0</v>
      </c>
      <c r="G71" s="157">
        <f t="shared" si="2"/>
        <v>0</v>
      </c>
      <c r="H71" s="157">
        <f t="shared" si="2"/>
        <v>0</v>
      </c>
      <c r="I71" s="157">
        <f t="shared" si="2"/>
        <v>0</v>
      </c>
      <c r="J71" s="157">
        <f t="shared" si="2"/>
        <v>0</v>
      </c>
      <c r="K71" s="157">
        <f t="shared" si="2"/>
        <v>0</v>
      </c>
      <c r="L71" s="157">
        <f t="shared" si="2"/>
        <v>0</v>
      </c>
      <c r="M71" s="157">
        <f t="shared" si="2"/>
        <v>0</v>
      </c>
      <c r="N71" s="157"/>
      <c r="O71" s="157"/>
      <c r="P71" s="157"/>
      <c r="Q71" s="157"/>
      <c r="R71" s="157"/>
      <c r="S71" s="157"/>
      <c r="T71" s="157"/>
      <c r="U71" s="157"/>
      <c r="V71" s="157"/>
      <c r="W71" s="157"/>
    </row>
    <row r="72" spans="1:23" s="123" customFormat="1" ht="40.15" customHeight="1" x14ac:dyDescent="0.2">
      <c r="B72" s="144" t="s">
        <v>261</v>
      </c>
      <c r="C72" s="150"/>
      <c r="D72" s="157">
        <f t="shared" ref="D72:M72" si="3">(D65*$J$40/1000)</f>
        <v>0</v>
      </c>
      <c r="E72" s="157">
        <f t="shared" si="3"/>
        <v>0</v>
      </c>
      <c r="F72" s="157">
        <f t="shared" si="3"/>
        <v>0</v>
      </c>
      <c r="G72" s="157">
        <f t="shared" si="3"/>
        <v>0</v>
      </c>
      <c r="H72" s="157">
        <f t="shared" si="3"/>
        <v>0</v>
      </c>
      <c r="I72" s="157">
        <f t="shared" si="3"/>
        <v>0</v>
      </c>
      <c r="J72" s="157">
        <f t="shared" si="3"/>
        <v>0</v>
      </c>
      <c r="K72" s="157">
        <f t="shared" si="3"/>
        <v>0</v>
      </c>
      <c r="L72" s="157">
        <f t="shared" si="3"/>
        <v>0</v>
      </c>
      <c r="M72" s="157">
        <f t="shared" si="3"/>
        <v>0</v>
      </c>
      <c r="N72" s="157"/>
      <c r="O72" s="157"/>
      <c r="P72" s="157"/>
      <c r="Q72" s="157"/>
      <c r="R72" s="157"/>
      <c r="S72" s="157"/>
      <c r="T72" s="157"/>
      <c r="U72" s="157"/>
      <c r="V72" s="157"/>
      <c r="W72" s="157"/>
    </row>
    <row r="73" spans="1:23" s="123" customFormat="1" ht="40.15" customHeight="1" x14ac:dyDescent="0.2">
      <c r="A73" s="158"/>
      <c r="B73" s="144" t="s">
        <v>205</v>
      </c>
      <c r="C73" s="150"/>
      <c r="D73" s="157" t="e">
        <f t="shared" ref="D73:M73" si="4">(D66*$H$44/1000)</f>
        <v>#N/A</v>
      </c>
      <c r="E73" s="157" t="e">
        <f t="shared" si="4"/>
        <v>#N/A</v>
      </c>
      <c r="F73" s="157" t="e">
        <f t="shared" si="4"/>
        <v>#N/A</v>
      </c>
      <c r="G73" s="157" t="e">
        <f t="shared" si="4"/>
        <v>#N/A</v>
      </c>
      <c r="H73" s="157" t="e">
        <f t="shared" si="4"/>
        <v>#N/A</v>
      </c>
      <c r="I73" s="157" t="e">
        <f t="shared" si="4"/>
        <v>#N/A</v>
      </c>
      <c r="J73" s="157" t="e">
        <f t="shared" si="4"/>
        <v>#N/A</v>
      </c>
      <c r="K73" s="157" t="e">
        <f t="shared" si="4"/>
        <v>#N/A</v>
      </c>
      <c r="L73" s="157" t="e">
        <f t="shared" si="4"/>
        <v>#N/A</v>
      </c>
      <c r="M73" s="157" t="e">
        <f t="shared" si="4"/>
        <v>#N/A</v>
      </c>
      <c r="N73" s="157"/>
      <c r="O73" s="157"/>
      <c r="P73" s="157"/>
      <c r="Q73" s="157"/>
      <c r="R73" s="157"/>
      <c r="S73" s="157"/>
      <c r="T73" s="157"/>
      <c r="U73" s="157"/>
      <c r="V73" s="157"/>
      <c r="W73" s="157"/>
    </row>
    <row r="74" spans="1:23" s="123" customFormat="1" ht="40.15" customHeight="1" x14ac:dyDescent="0.2">
      <c r="B74" s="144" t="s">
        <v>154</v>
      </c>
      <c r="C74" s="150"/>
      <c r="D74" s="157">
        <f t="shared" ref="D74:M74" si="5">(D67*$H$46/1000)</f>
        <v>0</v>
      </c>
      <c r="E74" s="157">
        <f t="shared" si="5"/>
        <v>0</v>
      </c>
      <c r="F74" s="157">
        <f t="shared" si="5"/>
        <v>0</v>
      </c>
      <c r="G74" s="157">
        <f t="shared" si="5"/>
        <v>0</v>
      </c>
      <c r="H74" s="157">
        <f t="shared" si="5"/>
        <v>0</v>
      </c>
      <c r="I74" s="157">
        <f t="shared" si="5"/>
        <v>0</v>
      </c>
      <c r="J74" s="157">
        <f t="shared" si="5"/>
        <v>0</v>
      </c>
      <c r="K74" s="157">
        <f t="shared" si="5"/>
        <v>0</v>
      </c>
      <c r="L74" s="157">
        <f t="shared" si="5"/>
        <v>0</v>
      </c>
      <c r="M74" s="157">
        <f t="shared" si="5"/>
        <v>0</v>
      </c>
      <c r="N74" s="157"/>
      <c r="O74" s="157"/>
      <c r="P74" s="157"/>
      <c r="Q74" s="157"/>
      <c r="R74" s="157"/>
      <c r="S74" s="157"/>
      <c r="T74" s="157"/>
      <c r="U74" s="157"/>
      <c r="V74" s="157"/>
      <c r="W74" s="157"/>
    </row>
    <row r="75" spans="1:23" s="123" customFormat="1" ht="40.15" customHeight="1" x14ac:dyDescent="0.2">
      <c r="B75" s="156" t="s">
        <v>307</v>
      </c>
      <c r="C75" s="150"/>
      <c r="D75" s="157">
        <f>(D68*$H$47/1000)</f>
        <v>0</v>
      </c>
      <c r="E75" s="157">
        <f>(E68*$H$47/1000)</f>
        <v>0</v>
      </c>
      <c r="F75" s="157">
        <f t="shared" ref="F75" si="6">(F68*$H$47/1000)</f>
        <v>0</v>
      </c>
      <c r="G75" s="157">
        <f t="shared" ref="G75:M75" si="7">(G68*$H$47/1000)</f>
        <v>0</v>
      </c>
      <c r="H75" s="157">
        <f t="shared" si="7"/>
        <v>0</v>
      </c>
      <c r="I75" s="157">
        <f t="shared" si="7"/>
        <v>0</v>
      </c>
      <c r="J75" s="157">
        <f t="shared" si="7"/>
        <v>0</v>
      </c>
      <c r="K75" s="157">
        <f t="shared" si="7"/>
        <v>0</v>
      </c>
      <c r="L75" s="157">
        <f t="shared" si="7"/>
        <v>0</v>
      </c>
      <c r="M75" s="157">
        <f t="shared" si="7"/>
        <v>0</v>
      </c>
      <c r="N75" s="157"/>
      <c r="O75" s="157"/>
      <c r="P75" s="157"/>
      <c r="Q75" s="157"/>
      <c r="R75" s="157"/>
      <c r="S75" s="157"/>
      <c r="T75" s="157"/>
      <c r="U75" s="157"/>
      <c r="V75" s="157"/>
      <c r="W75" s="157"/>
    </row>
    <row r="76" spans="1:23" ht="40.15" customHeight="1" x14ac:dyDescent="0.25">
      <c r="B76" s="250" t="s">
        <v>5</v>
      </c>
      <c r="C76" s="173"/>
      <c r="D76" s="456" t="e">
        <f>SUM(D71:D75)</f>
        <v>#N/A</v>
      </c>
      <c r="E76" s="456" t="e">
        <f t="shared" ref="E76:L76" si="8">SUM(E71:E75)</f>
        <v>#N/A</v>
      </c>
      <c r="F76" s="456" t="e">
        <f t="shared" si="8"/>
        <v>#N/A</v>
      </c>
      <c r="G76" s="456" t="e">
        <f>SUM(G71:G75)</f>
        <v>#N/A</v>
      </c>
      <c r="H76" s="456" t="e">
        <f>SUM(H71:H75)</f>
        <v>#N/A</v>
      </c>
      <c r="I76" s="455" t="e">
        <f>SUM(I71:I75)</f>
        <v>#N/A</v>
      </c>
      <c r="J76" s="455" t="e">
        <f>SUM(J71:J75)</f>
        <v>#N/A</v>
      </c>
      <c r="K76" s="455" t="e">
        <f>SUM(K71:K75)</f>
        <v>#N/A</v>
      </c>
      <c r="L76" s="455" t="e">
        <f t="shared" si="8"/>
        <v>#N/A</v>
      </c>
      <c r="M76" s="455" t="e">
        <f>SUM(M71:M75)</f>
        <v>#N/A</v>
      </c>
      <c r="N76" s="189"/>
      <c r="O76" s="189"/>
      <c r="P76" s="189"/>
      <c r="Q76" s="189"/>
      <c r="R76" s="189"/>
      <c r="S76" s="189"/>
      <c r="T76" s="189"/>
      <c r="U76" s="189"/>
      <c r="V76" s="189"/>
      <c r="W76" s="189"/>
    </row>
    <row r="77" spans="1:23" ht="40.15" customHeight="1" x14ac:dyDescent="0.25">
      <c r="B77" s="3"/>
      <c r="C77" s="3"/>
      <c r="D77" s="189"/>
      <c r="E77" s="189"/>
      <c r="F77" s="268" t="s">
        <v>877</v>
      </c>
      <c r="G77" s="269" t="e">
        <f>SUM(D76:H76)</f>
        <v>#N/A</v>
      </c>
      <c r="H77" s="124"/>
      <c r="I77" s="189"/>
      <c r="J77" s="189"/>
      <c r="K77" s="189"/>
      <c r="L77" s="268" t="s">
        <v>878</v>
      </c>
      <c r="M77" s="269" t="e">
        <f>SUM(I76:M76)</f>
        <v>#N/A</v>
      </c>
      <c r="N77" s="189"/>
      <c r="O77" s="189"/>
      <c r="P77" s="360"/>
      <c r="Q77" s="361"/>
      <c r="R77" s="124"/>
      <c r="S77" s="189"/>
      <c r="T77" s="189"/>
      <c r="U77" s="189"/>
      <c r="V77" s="360"/>
      <c r="W77" s="361"/>
    </row>
    <row r="78" spans="1:23" ht="40.15" customHeight="1" x14ac:dyDescent="0.25">
      <c r="B78" s="3"/>
      <c r="C78" s="3"/>
      <c r="D78" s="189"/>
      <c r="E78" s="189"/>
      <c r="F78" s="189"/>
      <c r="G78" s="189"/>
      <c r="H78" s="124"/>
      <c r="I78" s="189"/>
      <c r="J78" s="189"/>
      <c r="K78" s="189"/>
      <c r="L78" s="189"/>
      <c r="M78" s="189"/>
    </row>
    <row r="79" spans="1:23" ht="40.15" customHeight="1" x14ac:dyDescent="0.25">
      <c r="B79" s="3"/>
      <c r="C79" s="3"/>
      <c r="D79" s="189"/>
      <c r="E79" s="189"/>
      <c r="F79" s="189"/>
      <c r="G79" s="189"/>
      <c r="H79" s="124"/>
      <c r="I79" s="189"/>
      <c r="J79" s="189"/>
      <c r="K79" s="189"/>
      <c r="L79" s="189"/>
      <c r="M79" s="189"/>
    </row>
    <row r="80" spans="1:23" s="190" customFormat="1" ht="75" customHeight="1" x14ac:dyDescent="0.35">
      <c r="B80" s="193" t="s">
        <v>882</v>
      </c>
      <c r="C80" s="725" t="e">
        <f>G77+M77</f>
        <v>#N/A</v>
      </c>
      <c r="D80" s="191"/>
      <c r="E80" s="457"/>
      <c r="F80" s="517"/>
      <c r="G80" s="191"/>
      <c r="H80" s="192"/>
      <c r="I80" s="191"/>
      <c r="J80" s="191"/>
      <c r="K80" s="191"/>
      <c r="L80" s="191"/>
      <c r="M80" s="191"/>
      <c r="N80" s="192"/>
      <c r="O80" s="192"/>
    </row>
    <row r="81" spans="2:15" s="194" customFormat="1" ht="75" customHeight="1" x14ac:dyDescent="0.35">
      <c r="B81" s="195"/>
      <c r="C81" s="196"/>
      <c r="D81" s="196"/>
      <c r="E81" s="196"/>
      <c r="F81" s="196"/>
      <c r="G81" s="196"/>
      <c r="H81" s="197"/>
      <c r="I81" s="196"/>
      <c r="J81" s="196"/>
      <c r="K81" s="196"/>
      <c r="L81" s="196"/>
      <c r="M81" s="196"/>
      <c r="N81" s="197"/>
      <c r="O81" s="197"/>
    </row>
    <row r="82" spans="2:15" s="198" customFormat="1" ht="40.15" customHeight="1" x14ac:dyDescent="0.25">
      <c r="B82" s="202" t="s">
        <v>881</v>
      </c>
      <c r="C82" s="199"/>
      <c r="D82" s="200"/>
      <c r="E82" s="200"/>
      <c r="F82" s="200"/>
      <c r="G82" s="200"/>
      <c r="H82" s="201"/>
      <c r="I82" s="200"/>
      <c r="J82" s="200"/>
      <c r="K82" s="200"/>
      <c r="L82" s="200"/>
      <c r="M82" s="200"/>
      <c r="N82" s="201"/>
      <c r="O82" s="201"/>
    </row>
    <row r="83" spans="2:15" ht="40.15" customHeight="1" x14ac:dyDescent="0.25">
      <c r="B83" s="3"/>
      <c r="C83" s="3"/>
      <c r="D83" s="189"/>
      <c r="E83" s="189"/>
      <c r="F83" s="189"/>
      <c r="G83" s="189"/>
      <c r="I83" s="189"/>
      <c r="J83" s="189"/>
      <c r="K83" s="189"/>
      <c r="L83" s="189"/>
      <c r="M83" s="189"/>
    </row>
    <row r="84" spans="2:15" ht="19.899999999999999" customHeight="1" x14ac:dyDescent="0.25">
      <c r="B84" s="176" t="s">
        <v>252</v>
      </c>
      <c r="C84" s="175"/>
      <c r="D84" s="177"/>
      <c r="E84" s="177"/>
      <c r="F84" s="177"/>
      <c r="G84" s="177"/>
      <c r="H84" s="177"/>
      <c r="I84" s="177"/>
      <c r="J84" s="177"/>
      <c r="K84" s="189"/>
      <c r="L84" s="189"/>
      <c r="M84" s="189"/>
    </row>
    <row r="85" spans="2:15" ht="19.899999999999999" customHeight="1" x14ac:dyDescent="0.25">
      <c r="B85" s="176"/>
      <c r="C85" s="175"/>
      <c r="D85" s="177"/>
      <c r="E85" s="177"/>
      <c r="F85" s="177"/>
      <c r="G85" s="177"/>
      <c r="H85" s="177"/>
      <c r="I85" s="177"/>
      <c r="J85" s="177"/>
      <c r="K85" s="189"/>
      <c r="L85" s="189"/>
      <c r="M85" s="189"/>
    </row>
    <row r="86" spans="2:15" ht="19.899999999999999" customHeight="1" x14ac:dyDescent="0.25">
      <c r="B86" s="120" t="s">
        <v>253</v>
      </c>
      <c r="C86" s="179" t="s">
        <v>77</v>
      </c>
      <c r="D86" s="122" t="s">
        <v>879</v>
      </c>
      <c r="E86" s="122" t="s">
        <v>256</v>
      </c>
      <c r="F86" s="177"/>
      <c r="G86" s="120" t="s">
        <v>258</v>
      </c>
      <c r="H86" s="179" t="s">
        <v>77</v>
      </c>
      <c r="I86" s="122" t="s">
        <v>880</v>
      </c>
      <c r="J86" s="122" t="s">
        <v>256</v>
      </c>
      <c r="K86" s="189"/>
      <c r="L86" s="189"/>
      <c r="M86" s="189"/>
    </row>
    <row r="87" spans="2:15" ht="19.899999999999999" customHeight="1" x14ac:dyDescent="0.25">
      <c r="B87" s="176" t="s">
        <v>125</v>
      </c>
      <c r="C87" s="178">
        <v>0.55000000000000004</v>
      </c>
      <c r="D87" s="180">
        <f>'Fatores de Emissão'!I99</f>
        <v>3.0562499999999999E-2</v>
      </c>
      <c r="E87" s="181">
        <f t="shared" ref="E87:E92" si="9">C87*D87</f>
        <v>1.6809375000000001E-2</v>
      </c>
      <c r="F87" s="177"/>
      <c r="G87" s="176" t="s">
        <v>125</v>
      </c>
      <c r="H87" s="178">
        <v>0.84</v>
      </c>
      <c r="I87" s="177">
        <f>'Fatores de Emissão'!I63</f>
        <v>6.4276816608996538E-3</v>
      </c>
      <c r="J87" s="181">
        <f>H87*I87</f>
        <v>5.3992525951557088E-3</v>
      </c>
      <c r="K87" s="189"/>
      <c r="L87" s="189"/>
      <c r="M87" s="189"/>
    </row>
    <row r="88" spans="2:15" ht="19.899999999999999" customHeight="1" x14ac:dyDescent="0.25">
      <c r="B88" s="176" t="s">
        <v>227</v>
      </c>
      <c r="C88" s="178">
        <v>0.38</v>
      </c>
      <c r="D88" s="180">
        <f>'Fatores de Emissão'!I93</f>
        <v>3.0562499999999999E-2</v>
      </c>
      <c r="E88" s="181">
        <f t="shared" si="9"/>
        <v>1.1613749999999999E-2</v>
      </c>
      <c r="F88" s="177"/>
      <c r="G88" s="176" t="s">
        <v>89</v>
      </c>
      <c r="H88" s="178">
        <v>0.16</v>
      </c>
      <c r="I88" s="177">
        <f>'Fatores de Emissão'!I68</f>
        <v>6.2449826989619374E-3</v>
      </c>
      <c r="J88" s="181">
        <f>H88*I88</f>
        <v>9.9919723183390999E-4</v>
      </c>
      <c r="K88" s="189"/>
      <c r="L88" s="189"/>
      <c r="M88" s="189"/>
    </row>
    <row r="89" spans="2:15" ht="19.899999999999999" customHeight="1" x14ac:dyDescent="0.25">
      <c r="B89" s="176" t="s">
        <v>230</v>
      </c>
      <c r="C89" s="178">
        <v>0.01</v>
      </c>
      <c r="D89" s="180">
        <f>'Fatores de Emissão'!I102</f>
        <v>3.0562499999999999E-2</v>
      </c>
      <c r="E89" s="181">
        <f t="shared" si="9"/>
        <v>3.0562500000000002E-4</v>
      </c>
      <c r="F89" s="177"/>
      <c r="G89" s="182" t="s">
        <v>246</v>
      </c>
      <c r="H89" s="183"/>
      <c r="I89" s="184"/>
      <c r="J89" s="185">
        <f>SUM(J83:J88)</f>
        <v>6.3984498269896188E-3</v>
      </c>
      <c r="K89" s="189"/>
      <c r="L89" s="189"/>
      <c r="M89" s="189"/>
    </row>
    <row r="90" spans="2:15" ht="19.899999999999999" customHeight="1" x14ac:dyDescent="0.25">
      <c r="B90" s="176" t="s">
        <v>255</v>
      </c>
      <c r="C90" s="178">
        <v>0.02</v>
      </c>
      <c r="D90" s="180">
        <f>'Fatores de Emissão'!G9</f>
        <v>8.712499999999998E-2</v>
      </c>
      <c r="E90" s="181">
        <f t="shared" si="9"/>
        <v>1.7424999999999997E-3</v>
      </c>
      <c r="F90" s="177"/>
      <c r="G90" s="177"/>
      <c r="H90" s="177"/>
      <c r="I90" s="177"/>
      <c r="J90" s="177"/>
      <c r="K90" s="189"/>
      <c r="L90" s="189"/>
      <c r="M90" s="189"/>
    </row>
    <row r="91" spans="2:15" ht="19.899999999999999" customHeight="1" x14ac:dyDescent="0.25">
      <c r="B91" s="176" t="s">
        <v>254</v>
      </c>
      <c r="C91" s="178">
        <v>0.02</v>
      </c>
      <c r="D91" s="180">
        <f>'Fatores de Emissão'!I96</f>
        <v>3.0562499999999999E-2</v>
      </c>
      <c r="E91" s="181">
        <f t="shared" si="9"/>
        <v>6.1125000000000003E-4</v>
      </c>
      <c r="F91" s="177"/>
      <c r="G91" s="177"/>
      <c r="H91" s="177"/>
      <c r="I91" s="177"/>
      <c r="J91" s="177"/>
      <c r="K91" s="189"/>
      <c r="L91" s="189"/>
      <c r="M91" s="189"/>
    </row>
    <row r="92" spans="2:15" ht="19.899999999999999" customHeight="1" x14ac:dyDescent="0.25">
      <c r="B92" s="176" t="s">
        <v>260</v>
      </c>
      <c r="C92" s="178">
        <v>0.02</v>
      </c>
      <c r="D92" s="180">
        <f>'Fatores de Emissão'!G10</f>
        <v>4.5937499999999992E-2</v>
      </c>
      <c r="E92" s="181">
        <f t="shared" si="9"/>
        <v>9.1874999999999986E-4</v>
      </c>
      <c r="F92" s="177"/>
      <c r="G92" s="188" t="s">
        <v>263</v>
      </c>
      <c r="H92" s="186" t="s">
        <v>9</v>
      </c>
      <c r="I92" s="177"/>
      <c r="J92" s="177"/>
      <c r="K92" s="189"/>
      <c r="L92" s="189"/>
      <c r="M92" s="189"/>
    </row>
    <row r="93" spans="2:15" ht="19.899999999999999" customHeight="1" x14ac:dyDescent="0.25">
      <c r="B93" s="182" t="s">
        <v>246</v>
      </c>
      <c r="C93" s="183"/>
      <c r="D93" s="184"/>
      <c r="E93" s="185">
        <f>SUM(E87:E92)</f>
        <v>3.2001250000000002E-2</v>
      </c>
      <c r="F93" s="177"/>
      <c r="G93" s="187" t="s">
        <v>275</v>
      </c>
      <c r="H93" s="177">
        <f>'Fatores de Emissão'!G50</f>
        <v>2E-3</v>
      </c>
      <c r="I93" s="177"/>
      <c r="J93" s="177"/>
      <c r="K93" s="189"/>
      <c r="L93" s="189"/>
      <c r="M93" s="189"/>
    </row>
    <row r="94" spans="2:15" ht="19.899999999999999" customHeight="1" x14ac:dyDescent="0.25">
      <c r="B94" s="175"/>
      <c r="C94" s="175"/>
      <c r="D94" s="177"/>
      <c r="E94" s="177"/>
      <c r="F94" s="177"/>
      <c r="G94" s="204"/>
      <c r="H94" s="270"/>
      <c r="I94" s="177"/>
      <c r="J94" s="177"/>
      <c r="K94" s="189"/>
      <c r="L94" s="189"/>
      <c r="M94" s="189"/>
    </row>
    <row r="95" spans="2:15" ht="19.899999999999999" customHeight="1" x14ac:dyDescent="0.25">
      <c r="B95" s="175"/>
      <c r="C95" s="175"/>
      <c r="D95" s="177"/>
      <c r="E95" s="177"/>
      <c r="F95" s="177"/>
      <c r="G95" s="187" t="s">
        <v>154</v>
      </c>
      <c r="H95" s="177">
        <f>'Fatores de Emissão'!G47</f>
        <v>2E-3</v>
      </c>
      <c r="I95" s="177"/>
      <c r="J95" s="177"/>
      <c r="K95" s="189"/>
      <c r="L95" s="189"/>
      <c r="M95" s="189"/>
    </row>
    <row r="96" spans="2:15" ht="19.899999999999999" customHeight="1" x14ac:dyDescent="0.25">
      <c r="B96" s="175"/>
      <c r="C96" s="175"/>
      <c r="D96" s="177"/>
      <c r="E96" s="177"/>
      <c r="F96" s="177"/>
      <c r="G96" s="187" t="s">
        <v>110</v>
      </c>
      <c r="H96" s="177">
        <v>0</v>
      </c>
      <c r="I96" s="177"/>
      <c r="J96" s="177"/>
      <c r="K96" s="189"/>
      <c r="L96" s="189"/>
      <c r="M96" s="189"/>
    </row>
    <row r="97" spans="1:23" ht="19.899999999999999" customHeight="1" x14ac:dyDescent="0.25">
      <c r="B97" s="175"/>
      <c r="C97" s="175"/>
      <c r="D97" s="177"/>
      <c r="E97" s="177"/>
      <c r="F97" s="177"/>
      <c r="G97" s="187" t="s">
        <v>266</v>
      </c>
      <c r="H97" s="177">
        <f>'Fatores de Emissão'!C54</f>
        <v>2.3E-2</v>
      </c>
      <c r="I97" s="177"/>
      <c r="J97" s="177"/>
      <c r="K97" s="189"/>
      <c r="L97" s="189"/>
      <c r="M97" s="189"/>
    </row>
    <row r="98" spans="1:23" ht="19.899999999999999" customHeight="1" x14ac:dyDescent="0.25">
      <c r="B98" s="175"/>
      <c r="C98" s="175"/>
      <c r="D98" s="177"/>
      <c r="E98" s="177"/>
      <c r="F98" s="177"/>
      <c r="G98" s="187" t="s">
        <v>109</v>
      </c>
      <c r="H98" s="177">
        <f>'Fatores de Emissão'!G14</f>
        <v>3.6999999999999998E-2</v>
      </c>
      <c r="I98" s="177"/>
      <c r="J98" s="177"/>
      <c r="K98" s="189"/>
      <c r="L98" s="189"/>
      <c r="M98" s="189"/>
    </row>
    <row r="99" spans="1:23" ht="19.899999999999999" customHeight="1" x14ac:dyDescent="0.25">
      <c r="B99" s="175"/>
      <c r="C99" s="175"/>
      <c r="D99" s="177"/>
      <c r="E99" s="177"/>
      <c r="F99" s="177"/>
      <c r="G99" s="187" t="s">
        <v>267</v>
      </c>
      <c r="H99" s="177">
        <f>'Fatores de Emissão'!G13</f>
        <v>0.01</v>
      </c>
      <c r="I99" s="177"/>
      <c r="J99" s="177"/>
      <c r="K99" s="189"/>
      <c r="L99" s="189"/>
      <c r="M99" s="189"/>
    </row>
    <row r="100" spans="1:23" ht="19.899999999999999" customHeight="1" x14ac:dyDescent="0.25">
      <c r="B100" s="175"/>
      <c r="C100" s="175"/>
      <c r="D100" s="177"/>
      <c r="E100" s="177"/>
      <c r="F100" s="177"/>
      <c r="G100" s="187" t="s">
        <v>304</v>
      </c>
      <c r="H100" s="177">
        <f>'Fatores de Emissão'!G11</f>
        <v>0.94353999999999993</v>
      </c>
      <c r="I100" s="177"/>
      <c r="J100" s="177"/>
      <c r="K100" s="189"/>
      <c r="L100" s="189"/>
      <c r="M100" s="189"/>
    </row>
    <row r="101" spans="1:23" ht="40.15" customHeight="1" x14ac:dyDescent="0.25">
      <c r="B101" s="3"/>
      <c r="C101" s="3"/>
      <c r="D101" s="189"/>
      <c r="E101" s="189"/>
      <c r="F101" s="189"/>
      <c r="G101" s="187" t="s">
        <v>303</v>
      </c>
      <c r="H101" s="1">
        <f>'Fatores de Emissão'!G12</f>
        <v>2.5999999999999999E-2</v>
      </c>
      <c r="I101" s="189"/>
      <c r="J101" s="189"/>
      <c r="K101" s="189"/>
      <c r="L101" s="189"/>
      <c r="M101" s="189"/>
    </row>
    <row r="102" spans="1:23" ht="30" customHeight="1" x14ac:dyDescent="0.25">
      <c r="B102" s="176"/>
      <c r="C102" s="175"/>
      <c r="D102" s="177"/>
      <c r="E102" s="177"/>
      <c r="F102" s="177"/>
      <c r="G102" s="175"/>
      <c r="H102" s="175"/>
      <c r="I102" s="177"/>
      <c r="J102" s="177"/>
      <c r="K102" s="177"/>
      <c r="L102" s="177"/>
      <c r="M102" s="177"/>
    </row>
    <row r="103" spans="1:23" ht="30" customHeight="1" x14ac:dyDescent="0.4">
      <c r="B103" s="123"/>
      <c r="C103" s="123"/>
      <c r="D103" s="124"/>
      <c r="E103" s="124"/>
      <c r="F103" s="458" t="s">
        <v>875</v>
      </c>
      <c r="G103" s="124"/>
      <c r="H103" s="124"/>
      <c r="I103" s="124"/>
      <c r="J103" s="458" t="s">
        <v>876</v>
      </c>
      <c r="K103" s="124"/>
      <c r="L103" s="124"/>
      <c r="M103" s="124"/>
      <c r="P103" s="458"/>
      <c r="Q103" s="124"/>
      <c r="R103" s="124"/>
      <c r="S103" s="124"/>
      <c r="T103" s="458"/>
      <c r="U103" s="124"/>
    </row>
    <row r="104" spans="1:23" ht="49.9" customHeight="1" x14ac:dyDescent="0.25">
      <c r="A104" s="123"/>
      <c r="B104" s="154" t="s">
        <v>292</v>
      </c>
      <c r="C104" s="155"/>
      <c r="D104" s="108" t="s">
        <v>269</v>
      </c>
      <c r="E104" s="108" t="s">
        <v>109</v>
      </c>
      <c r="F104" s="108" t="s">
        <v>270</v>
      </c>
      <c r="G104" s="108" t="s">
        <v>304</v>
      </c>
      <c r="H104" s="108" t="s">
        <v>303</v>
      </c>
      <c r="I104" s="147" t="s">
        <v>269</v>
      </c>
      <c r="J104" s="147" t="s">
        <v>109</v>
      </c>
      <c r="K104" s="147" t="s">
        <v>267</v>
      </c>
      <c r="L104" s="147" t="s">
        <v>304</v>
      </c>
      <c r="M104" s="147" t="s">
        <v>303</v>
      </c>
      <c r="N104" s="348"/>
      <c r="O104" s="348"/>
      <c r="P104" s="348"/>
      <c r="Q104" s="348"/>
      <c r="R104" s="348"/>
      <c r="S104" s="348"/>
      <c r="T104" s="348"/>
      <c r="U104" s="348"/>
      <c r="V104" s="348"/>
      <c r="W104" s="348"/>
    </row>
    <row r="105" spans="1:23" ht="49.9" customHeight="1" x14ac:dyDescent="0.25">
      <c r="A105" s="123"/>
      <c r="B105" s="144" t="s">
        <v>262</v>
      </c>
      <c r="C105" s="150"/>
      <c r="D105" s="157">
        <f t="shared" ref="D105:M105" si="10">(D64*$E$93/1000)</f>
        <v>0</v>
      </c>
      <c r="E105" s="157">
        <f t="shared" si="10"/>
        <v>0</v>
      </c>
      <c r="F105" s="157">
        <f t="shared" si="10"/>
        <v>0</v>
      </c>
      <c r="G105" s="157">
        <f t="shared" si="10"/>
        <v>0</v>
      </c>
      <c r="H105" s="157">
        <f t="shared" si="10"/>
        <v>0</v>
      </c>
      <c r="I105" s="157">
        <f t="shared" si="10"/>
        <v>0</v>
      </c>
      <c r="J105" s="157">
        <f t="shared" si="10"/>
        <v>0</v>
      </c>
      <c r="K105" s="157">
        <f t="shared" si="10"/>
        <v>0</v>
      </c>
      <c r="L105" s="157">
        <f t="shared" si="10"/>
        <v>0</v>
      </c>
      <c r="M105" s="157">
        <f t="shared" si="10"/>
        <v>0</v>
      </c>
      <c r="N105" s="157"/>
      <c r="O105" s="157"/>
      <c r="P105" s="157"/>
      <c r="Q105" s="157"/>
      <c r="R105" s="157"/>
      <c r="S105" s="726"/>
      <c r="T105" s="726"/>
      <c r="U105" s="726"/>
      <c r="V105" s="726"/>
      <c r="W105" s="726"/>
    </row>
    <row r="106" spans="1:23" ht="49.9" customHeight="1" x14ac:dyDescent="0.25">
      <c r="A106" s="123"/>
      <c r="B106" s="144" t="s">
        <v>261</v>
      </c>
      <c r="C106" s="150"/>
      <c r="D106" s="157">
        <f t="shared" ref="D106:M106" si="11">(D65*$J$89/1000)</f>
        <v>0</v>
      </c>
      <c r="E106" s="157">
        <f t="shared" si="11"/>
        <v>0</v>
      </c>
      <c r="F106" s="157">
        <f t="shared" si="11"/>
        <v>0</v>
      </c>
      <c r="G106" s="157">
        <f t="shared" si="11"/>
        <v>0</v>
      </c>
      <c r="H106" s="157">
        <f t="shared" si="11"/>
        <v>0</v>
      </c>
      <c r="I106" s="157">
        <f t="shared" si="11"/>
        <v>0</v>
      </c>
      <c r="J106" s="157">
        <f t="shared" si="11"/>
        <v>0</v>
      </c>
      <c r="K106" s="157">
        <f t="shared" si="11"/>
        <v>0</v>
      </c>
      <c r="L106" s="157">
        <f t="shared" si="11"/>
        <v>0</v>
      </c>
      <c r="M106" s="157">
        <f t="shared" si="11"/>
        <v>0</v>
      </c>
      <c r="N106" s="157"/>
      <c r="O106" s="157"/>
      <c r="P106" s="157"/>
      <c r="Q106" s="157"/>
      <c r="R106" s="157"/>
      <c r="S106" s="726"/>
      <c r="T106" s="726"/>
      <c r="U106" s="726"/>
      <c r="V106" s="726"/>
      <c r="W106" s="726"/>
    </row>
    <row r="107" spans="1:23" ht="49.9" customHeight="1" x14ac:dyDescent="0.25">
      <c r="A107" s="158"/>
      <c r="B107" s="144" t="s">
        <v>205</v>
      </c>
      <c r="C107" s="150"/>
      <c r="D107" s="157">
        <f t="shared" ref="D107:M107" si="12">(D66*$H$93/1000)</f>
        <v>0</v>
      </c>
      <c r="E107" s="157">
        <f t="shared" si="12"/>
        <v>0</v>
      </c>
      <c r="F107" s="157">
        <f t="shared" si="12"/>
        <v>0</v>
      </c>
      <c r="G107" s="157">
        <f t="shared" si="12"/>
        <v>0</v>
      </c>
      <c r="H107" s="157">
        <f t="shared" si="12"/>
        <v>0</v>
      </c>
      <c r="I107" s="157">
        <f t="shared" si="12"/>
        <v>0</v>
      </c>
      <c r="J107" s="157">
        <f t="shared" si="12"/>
        <v>0</v>
      </c>
      <c r="K107" s="157">
        <f t="shared" si="12"/>
        <v>0</v>
      </c>
      <c r="L107" s="157">
        <f t="shared" si="12"/>
        <v>0</v>
      </c>
      <c r="M107" s="157">
        <f t="shared" si="12"/>
        <v>0</v>
      </c>
      <c r="N107" s="157"/>
      <c r="O107" s="157"/>
      <c r="P107" s="157"/>
      <c r="Q107" s="157"/>
      <c r="R107" s="157"/>
      <c r="S107" s="726"/>
      <c r="T107" s="726"/>
      <c r="U107" s="726"/>
      <c r="V107" s="726"/>
      <c r="W107" s="726"/>
    </row>
    <row r="108" spans="1:23" ht="49.9" customHeight="1" x14ac:dyDescent="0.25">
      <c r="A108" s="123"/>
      <c r="B108" s="144" t="s">
        <v>154</v>
      </c>
      <c r="C108" s="150"/>
      <c r="D108" s="157">
        <f t="shared" ref="D108" si="13">(D67*$H$95/1000)</f>
        <v>0</v>
      </c>
      <c r="E108" s="157">
        <f t="shared" ref="E108:M108" si="14">(E67*$H$95/1000)</f>
        <v>0</v>
      </c>
      <c r="F108" s="157">
        <f t="shared" si="14"/>
        <v>0</v>
      </c>
      <c r="G108" s="157">
        <f t="shared" si="14"/>
        <v>0</v>
      </c>
      <c r="H108" s="157">
        <f t="shared" si="14"/>
        <v>0</v>
      </c>
      <c r="I108" s="157">
        <f t="shared" si="14"/>
        <v>0</v>
      </c>
      <c r="J108" s="157">
        <f t="shared" si="14"/>
        <v>0</v>
      </c>
      <c r="K108" s="157">
        <f t="shared" si="14"/>
        <v>0</v>
      </c>
      <c r="L108" s="157">
        <f t="shared" si="14"/>
        <v>0</v>
      </c>
      <c r="M108" s="157">
        <f t="shared" si="14"/>
        <v>0</v>
      </c>
      <c r="N108" s="157"/>
      <c r="O108" s="157"/>
      <c r="P108" s="157"/>
      <c r="Q108" s="157"/>
      <c r="R108" s="157"/>
      <c r="S108" s="726"/>
      <c r="T108" s="726"/>
      <c r="U108" s="726"/>
      <c r="V108" s="726"/>
      <c r="W108" s="726"/>
    </row>
    <row r="109" spans="1:23" ht="40.9" customHeight="1" x14ac:dyDescent="0.25">
      <c r="A109" s="123"/>
      <c r="B109" s="156" t="s">
        <v>307</v>
      </c>
      <c r="C109" s="150"/>
      <c r="D109" s="157">
        <f t="shared" ref="D109:M109" si="15">(D68*$H$96/1000)</f>
        <v>0</v>
      </c>
      <c r="E109" s="157">
        <f t="shared" si="15"/>
        <v>0</v>
      </c>
      <c r="F109" s="157">
        <f t="shared" si="15"/>
        <v>0</v>
      </c>
      <c r="G109" s="157">
        <f t="shared" si="15"/>
        <v>0</v>
      </c>
      <c r="H109" s="157">
        <f t="shared" si="15"/>
        <v>0</v>
      </c>
      <c r="I109" s="157">
        <f t="shared" si="15"/>
        <v>0</v>
      </c>
      <c r="J109" s="157">
        <f t="shared" si="15"/>
        <v>0</v>
      </c>
      <c r="K109" s="157">
        <f t="shared" si="15"/>
        <v>0</v>
      </c>
      <c r="L109" s="157">
        <f t="shared" si="15"/>
        <v>0</v>
      </c>
      <c r="M109" s="157">
        <f t="shared" si="15"/>
        <v>0</v>
      </c>
      <c r="N109" s="157"/>
      <c r="O109" s="157"/>
      <c r="P109" s="157"/>
      <c r="Q109" s="157"/>
      <c r="R109" s="157"/>
      <c r="S109" s="726"/>
      <c r="T109" s="726"/>
      <c r="U109" s="726"/>
      <c r="V109" s="726"/>
      <c r="W109" s="726"/>
    </row>
    <row r="110" spans="1:23" ht="49.9" customHeight="1" x14ac:dyDescent="0.25">
      <c r="B110" s="250" t="s">
        <v>5</v>
      </c>
      <c r="C110" s="173"/>
      <c r="D110" s="174">
        <f t="shared" ref="D110:F110" si="16">SUM(D105:D109)</f>
        <v>0</v>
      </c>
      <c r="E110" s="174">
        <f t="shared" si="16"/>
        <v>0</v>
      </c>
      <c r="F110" s="174">
        <f t="shared" si="16"/>
        <v>0</v>
      </c>
      <c r="G110" s="174">
        <f t="shared" ref="G110:M110" si="17">SUM(G105:G109)</f>
        <v>0</v>
      </c>
      <c r="H110" s="174">
        <f t="shared" si="17"/>
        <v>0</v>
      </c>
      <c r="I110" s="174">
        <f t="shared" si="17"/>
        <v>0</v>
      </c>
      <c r="J110" s="174">
        <f t="shared" si="17"/>
        <v>0</v>
      </c>
      <c r="K110" s="174">
        <f t="shared" si="17"/>
        <v>0</v>
      </c>
      <c r="L110" s="174">
        <f t="shared" si="17"/>
        <v>0</v>
      </c>
      <c r="M110" s="174">
        <f t="shared" si="17"/>
        <v>0</v>
      </c>
      <c r="N110" s="189"/>
      <c r="O110" s="189"/>
      <c r="P110" s="189"/>
      <c r="Q110" s="189"/>
      <c r="R110" s="189"/>
      <c r="S110" s="189"/>
      <c r="T110" s="189"/>
      <c r="U110" s="189"/>
      <c r="V110" s="189"/>
      <c r="W110" s="189"/>
    </row>
    <row r="111" spans="1:23" ht="30" customHeight="1" x14ac:dyDescent="0.25">
      <c r="B111" s="3"/>
      <c r="C111" s="3"/>
      <c r="D111" s="189"/>
      <c r="E111" s="189"/>
      <c r="F111" s="268" t="s">
        <v>877</v>
      </c>
      <c r="G111" s="269">
        <f>SUM(D110:H110)</f>
        <v>0</v>
      </c>
      <c r="H111" s="124"/>
      <c r="I111" s="189"/>
      <c r="J111" s="189"/>
      <c r="K111" s="1487" t="s">
        <v>878</v>
      </c>
      <c r="L111" s="1487"/>
      <c r="M111" s="269">
        <f>SUM(I110:M110)</f>
        <v>0</v>
      </c>
      <c r="N111" s="189"/>
      <c r="O111" s="189"/>
      <c r="P111" s="360"/>
      <c r="Q111" s="727"/>
      <c r="R111" s="124"/>
      <c r="S111" s="189"/>
      <c r="T111" s="189"/>
      <c r="U111" s="189"/>
      <c r="V111" s="360"/>
      <c r="W111" s="728"/>
    </row>
    <row r="112" spans="1:23" ht="25.15" customHeight="1" x14ac:dyDescent="0.25"/>
    <row r="114" spans="2:13" ht="23.25" x14ac:dyDescent="0.25">
      <c r="B114" s="193" t="s">
        <v>883</v>
      </c>
      <c r="C114" s="725">
        <f>G111+M111</f>
        <v>0</v>
      </c>
      <c r="D114" s="191"/>
      <c r="E114" s="193"/>
      <c r="F114" s="191"/>
      <c r="G114" s="191"/>
      <c r="H114" s="192"/>
      <c r="I114" s="191"/>
      <c r="J114" s="191"/>
      <c r="K114" s="191"/>
      <c r="L114" s="191"/>
      <c r="M114" s="191"/>
    </row>
    <row r="116" spans="2:13" ht="46.5" x14ac:dyDescent="0.25">
      <c r="B116" s="193" t="s">
        <v>884</v>
      </c>
      <c r="C116" s="193" t="e">
        <f>C114+C80</f>
        <v>#N/A</v>
      </c>
    </row>
    <row r="119" spans="2:13" ht="23.25" x14ac:dyDescent="0.35">
      <c r="B119" s="729"/>
    </row>
    <row r="123" spans="2:13" ht="49.9" customHeight="1" x14ac:dyDescent="0.25">
      <c r="B123" s="533"/>
      <c r="C123" s="533"/>
      <c r="D123" s="533"/>
      <c r="E123" s="533"/>
      <c r="G123" s="1410" t="s">
        <v>282</v>
      </c>
      <c r="H123" s="1410"/>
      <c r="I123" s="1410"/>
      <c r="J123" s="1410"/>
    </row>
    <row r="124" spans="2:13" ht="49.9" customHeight="1" x14ac:dyDescent="0.25">
      <c r="B124" s="223"/>
      <c r="C124" s="211"/>
      <c r="D124" s="211"/>
      <c r="E124" s="211"/>
      <c r="G124" s="227" t="s">
        <v>212</v>
      </c>
      <c r="H124" s="228" t="s">
        <v>3</v>
      </c>
      <c r="I124" s="228" t="s">
        <v>756</v>
      </c>
      <c r="J124" s="228" t="s">
        <v>757</v>
      </c>
    </row>
    <row r="125" spans="2:13" ht="49.9" customHeight="1" x14ac:dyDescent="0.25">
      <c r="B125" s="291"/>
      <c r="C125" s="394"/>
      <c r="D125" s="503"/>
      <c r="E125" s="503"/>
      <c r="G125" s="304" t="s">
        <v>324</v>
      </c>
      <c r="H125" s="224"/>
      <c r="I125" s="230"/>
      <c r="J125" s="225"/>
    </row>
    <row r="126" spans="2:13" ht="49.9" customHeight="1" x14ac:dyDescent="0.25">
      <c r="B126" s="291"/>
      <c r="C126" s="394"/>
      <c r="D126" s="503"/>
      <c r="E126" s="503"/>
      <c r="G126" s="451" t="s">
        <v>467</v>
      </c>
      <c r="H126" s="330" t="s">
        <v>359</v>
      </c>
      <c r="I126" s="363" t="e">
        <f>I127-I128</f>
        <v>#N/A</v>
      </c>
      <c r="J126" s="364" t="e">
        <f>J127-J128</f>
        <v>#N/A</v>
      </c>
    </row>
    <row r="127" spans="2:13" ht="49.9" customHeight="1" x14ac:dyDescent="0.25">
      <c r="B127" s="291"/>
      <c r="C127" s="394"/>
      <c r="D127" s="650"/>
      <c r="E127" s="650"/>
      <c r="G127" s="452" t="s">
        <v>334</v>
      </c>
      <c r="H127" s="332" t="s">
        <v>359</v>
      </c>
      <c r="I127" s="449">
        <f>K13</f>
        <v>0</v>
      </c>
      <c r="J127" s="450">
        <f>N13</f>
        <v>0</v>
      </c>
    </row>
    <row r="128" spans="2:13" ht="49.9" customHeight="1" x14ac:dyDescent="0.25">
      <c r="B128" s="291"/>
      <c r="C128" s="394"/>
      <c r="D128" s="503"/>
      <c r="E128" s="730"/>
      <c r="G128" s="453" t="s">
        <v>468</v>
      </c>
      <c r="H128" s="334" t="s">
        <v>359</v>
      </c>
      <c r="I128" s="318" t="e">
        <f>D76+I76</f>
        <v>#N/A</v>
      </c>
      <c r="J128" s="319" t="e">
        <f>I128+(D110+I110)</f>
        <v>#N/A</v>
      </c>
    </row>
    <row r="129" spans="2:10" ht="49.9" customHeight="1" x14ac:dyDescent="0.25">
      <c r="B129" s="291"/>
      <c r="C129" s="394"/>
      <c r="D129" s="503"/>
      <c r="E129" s="730"/>
      <c r="G129" s="395" t="s">
        <v>320</v>
      </c>
      <c r="H129" s="246"/>
      <c r="I129" s="230"/>
      <c r="J129" s="225"/>
    </row>
    <row r="130" spans="2:10" ht="49.9" customHeight="1" x14ac:dyDescent="0.25">
      <c r="B130" s="291"/>
      <c r="C130" s="307"/>
      <c r="D130" s="653"/>
      <c r="E130" s="653"/>
      <c r="G130" s="451" t="s">
        <v>467</v>
      </c>
      <c r="H130" s="326" t="s">
        <v>353</v>
      </c>
      <c r="I130" s="363" t="e">
        <f>I131-I132</f>
        <v>#N/A</v>
      </c>
      <c r="J130" s="364" t="e">
        <f>J131-J132</f>
        <v>#N/A</v>
      </c>
    </row>
    <row r="131" spans="2:10" ht="49.9" customHeight="1" x14ac:dyDescent="0.25">
      <c r="B131" s="87"/>
      <c r="C131" s="88"/>
      <c r="D131" s="88"/>
      <c r="E131" s="88"/>
      <c r="G131" s="452" t="s">
        <v>334</v>
      </c>
      <c r="H131" s="327" t="s">
        <v>353</v>
      </c>
      <c r="I131" s="315">
        <f>K14</f>
        <v>0</v>
      </c>
      <c r="J131" s="324">
        <f>N14</f>
        <v>0</v>
      </c>
    </row>
    <row r="132" spans="2:10" ht="49.9" customHeight="1" x14ac:dyDescent="0.25">
      <c r="B132" s="486" t="s">
        <v>778</v>
      </c>
      <c r="C132" s="210"/>
      <c r="D132" s="210"/>
      <c r="E132" s="210"/>
      <c r="G132" s="453" t="s">
        <v>468</v>
      </c>
      <c r="H132" s="328" t="s">
        <v>353</v>
      </c>
      <c r="I132" s="318" t="e">
        <f>E76+J76</f>
        <v>#N/A</v>
      </c>
      <c r="J132" s="319" t="e">
        <f>I132+(E110+J110)</f>
        <v>#N/A</v>
      </c>
    </row>
    <row r="133" spans="2:10" ht="49.9" customHeight="1" x14ac:dyDescent="0.25">
      <c r="B133" s="231" t="s">
        <v>114</v>
      </c>
      <c r="C133" s="228" t="s">
        <v>3</v>
      </c>
      <c r="D133" s="228" t="s">
        <v>756</v>
      </c>
      <c r="E133" s="228" t="s">
        <v>757</v>
      </c>
      <c r="G133" s="395" t="s">
        <v>327</v>
      </c>
      <c r="H133" s="246"/>
      <c r="I133" s="230"/>
      <c r="J133" s="225"/>
    </row>
    <row r="134" spans="2:10" ht="49.9" customHeight="1" x14ac:dyDescent="0.25">
      <c r="B134" s="311" t="s">
        <v>488</v>
      </c>
      <c r="C134" s="312" t="s">
        <v>353</v>
      </c>
      <c r="D134" s="363" t="e">
        <f>D135-D136</f>
        <v>#N/A</v>
      </c>
      <c r="E134" s="364" t="e">
        <f>E135-E136</f>
        <v>#N/A</v>
      </c>
      <c r="G134" s="451" t="s">
        <v>467</v>
      </c>
      <c r="H134" s="326" t="s">
        <v>353</v>
      </c>
      <c r="I134" s="363" t="e">
        <f>I135-I136</f>
        <v>#N/A</v>
      </c>
      <c r="J134" s="363" t="e">
        <f>J135-J136</f>
        <v>#N/A</v>
      </c>
    </row>
    <row r="135" spans="2:10" ht="49.9" customHeight="1" x14ac:dyDescent="0.25">
      <c r="B135" s="313" t="s">
        <v>354</v>
      </c>
      <c r="C135" s="314" t="s">
        <v>353</v>
      </c>
      <c r="D135" s="315">
        <f>K20</f>
        <v>0</v>
      </c>
      <c r="E135" s="324">
        <f>N20</f>
        <v>0</v>
      </c>
      <c r="G135" s="452" t="s">
        <v>334</v>
      </c>
      <c r="H135" s="327" t="s">
        <v>353</v>
      </c>
      <c r="I135" s="315">
        <f>K15</f>
        <v>0</v>
      </c>
      <c r="J135" s="324">
        <f>N15</f>
        <v>0</v>
      </c>
    </row>
    <row r="136" spans="2:10" ht="49.9" customHeight="1" x14ac:dyDescent="0.25">
      <c r="B136" s="316" t="s">
        <v>355</v>
      </c>
      <c r="C136" s="317" t="s">
        <v>353</v>
      </c>
      <c r="D136" s="318" t="e">
        <f>C80</f>
        <v>#N/A</v>
      </c>
      <c r="E136" s="319" t="e">
        <f>C116</f>
        <v>#N/A</v>
      </c>
      <c r="G136" s="453" t="s">
        <v>468</v>
      </c>
      <c r="H136" s="328" t="s">
        <v>353</v>
      </c>
      <c r="I136" s="318" t="e">
        <f>F76+K76</f>
        <v>#N/A</v>
      </c>
      <c r="J136" s="319" t="e">
        <f>I136+(F110+K110)</f>
        <v>#N/A</v>
      </c>
    </row>
    <row r="137" spans="2:10" ht="49.9" customHeight="1" x14ac:dyDescent="0.25">
      <c r="B137" s="320" t="s">
        <v>475</v>
      </c>
      <c r="C137" s="321" t="s">
        <v>784</v>
      </c>
      <c r="D137" s="488" t="e">
        <f>(D138/$C$15)</f>
        <v>#DIV/0!</v>
      </c>
      <c r="E137" s="322" t="s">
        <v>107</v>
      </c>
      <c r="G137" s="395" t="s">
        <v>335</v>
      </c>
      <c r="H137" s="246"/>
      <c r="I137" s="230"/>
      <c r="J137" s="225"/>
    </row>
    <row r="138" spans="2:10" ht="49.9" customHeight="1" x14ac:dyDescent="0.25">
      <c r="B138" s="320" t="s">
        <v>402</v>
      </c>
      <c r="C138" s="321" t="s">
        <v>353</v>
      </c>
      <c r="D138" s="448">
        <f>SUM($K$13:$K$17)</f>
        <v>0</v>
      </c>
      <c r="E138" s="322" t="s">
        <v>107</v>
      </c>
      <c r="G138" s="451" t="s">
        <v>467</v>
      </c>
      <c r="H138" s="326" t="s">
        <v>353</v>
      </c>
      <c r="I138" s="363" t="str">
        <f>IFERROR(I139-I140,"")</f>
        <v/>
      </c>
      <c r="J138" s="363" t="e">
        <f>J139-J140</f>
        <v>#VALUE!</v>
      </c>
    </row>
    <row r="139" spans="2:10" ht="49.9" customHeight="1" x14ac:dyDescent="0.25">
      <c r="B139" s="320" t="s">
        <v>466</v>
      </c>
      <c r="C139" s="323" t="s">
        <v>357</v>
      </c>
      <c r="D139" s="325" t="e">
        <f>D134*$Y$13</f>
        <v>#N/A</v>
      </c>
      <c r="E139" s="338" t="e">
        <f>E134*$Y$13</f>
        <v>#N/A</v>
      </c>
      <c r="G139" s="452" t="s">
        <v>334</v>
      </c>
      <c r="H139" s="327" t="s">
        <v>353</v>
      </c>
      <c r="I139" s="315">
        <f>IFERROR(K16,"")</f>
        <v>0</v>
      </c>
      <c r="J139" s="324">
        <f>N16</f>
        <v>0</v>
      </c>
    </row>
    <row r="140" spans="2:10" ht="49.9" customHeight="1" x14ac:dyDescent="0.25">
      <c r="B140" s="87"/>
      <c r="C140" s="88"/>
      <c r="D140" s="244"/>
      <c r="E140" s="88"/>
      <c r="G140" s="453" t="s">
        <v>468</v>
      </c>
      <c r="H140" s="328" t="s">
        <v>353</v>
      </c>
      <c r="I140" s="318" t="str">
        <f>IFERROR(G76+L76,"")</f>
        <v/>
      </c>
      <c r="J140" s="319" t="str">
        <f>IFERROR(I140+G110+L110,"")</f>
        <v/>
      </c>
    </row>
    <row r="141" spans="2:10" ht="49.9" customHeight="1" x14ac:dyDescent="0.25">
      <c r="B141" s="533"/>
      <c r="C141" s="533"/>
      <c r="D141" s="533"/>
      <c r="E141" s="533"/>
      <c r="G141" s="395" t="s">
        <v>336</v>
      </c>
      <c r="H141" s="246"/>
      <c r="I141" s="230"/>
      <c r="J141" s="225"/>
    </row>
    <row r="142" spans="2:10" ht="49.9" customHeight="1" x14ac:dyDescent="0.25">
      <c r="B142" s="223"/>
      <c r="C142" s="211"/>
      <c r="D142" s="211"/>
      <c r="E142" s="211"/>
      <c r="G142" s="451" t="s">
        <v>467</v>
      </c>
      <c r="H142" s="241" t="s">
        <v>136</v>
      </c>
      <c r="I142" s="363" t="e">
        <f>I143-I144</f>
        <v>#N/A</v>
      </c>
      <c r="J142" s="363" t="e">
        <f>J143-J144</f>
        <v>#N/A</v>
      </c>
    </row>
    <row r="143" spans="2:10" ht="49.9" customHeight="1" x14ac:dyDescent="0.25">
      <c r="B143" s="291"/>
      <c r="C143" s="394"/>
      <c r="D143" s="731"/>
      <c r="E143" s="732"/>
      <c r="G143" s="452" t="s">
        <v>334</v>
      </c>
      <c r="H143" s="242" t="s">
        <v>136</v>
      </c>
      <c r="I143" s="237">
        <f>K17</f>
        <v>0</v>
      </c>
      <c r="J143" s="240">
        <f>N17</f>
        <v>0</v>
      </c>
    </row>
    <row r="144" spans="2:10" ht="49.9" customHeight="1" x14ac:dyDescent="0.25">
      <c r="B144" s="291"/>
      <c r="C144" s="394"/>
      <c r="D144" s="730"/>
      <c r="E144" s="733"/>
      <c r="G144" s="453" t="s">
        <v>468</v>
      </c>
      <c r="H144" s="243" t="s">
        <v>136</v>
      </c>
      <c r="I144" s="238" t="e">
        <f>H76+M76</f>
        <v>#N/A</v>
      </c>
      <c r="J144" s="239" t="e">
        <f>I144+H110+M110</f>
        <v>#N/A</v>
      </c>
    </row>
    <row r="145" spans="2:6" ht="49.9" customHeight="1" x14ac:dyDescent="0.25">
      <c r="B145" s="291"/>
      <c r="C145" s="394"/>
      <c r="D145" s="734"/>
      <c r="E145" s="735"/>
    </row>
    <row r="146" spans="2:6" ht="49.9" customHeight="1" x14ac:dyDescent="0.25">
      <c r="B146" s="291"/>
      <c r="C146" s="394"/>
      <c r="D146" s="503"/>
      <c r="E146" s="730"/>
    </row>
    <row r="147" spans="2:6" ht="49.9" customHeight="1" x14ac:dyDescent="0.25">
      <c r="B147" s="291"/>
      <c r="C147" s="394"/>
      <c r="D147" s="730"/>
      <c r="E147" s="730"/>
      <c r="F147" s="485"/>
    </row>
    <row r="148" spans="2:6" ht="49.9" customHeight="1" x14ac:dyDescent="0.25">
      <c r="B148" s="291"/>
      <c r="C148" s="307"/>
      <c r="D148" s="653"/>
      <c r="E148" s="653"/>
    </row>
  </sheetData>
  <mergeCells count="3">
    <mergeCell ref="K111:L111"/>
    <mergeCell ref="Z8:AD8"/>
    <mergeCell ref="G123:J123"/>
  </mergeCell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770" id="{BFDA6CB0-563A-45B0-AB20-42E88E3BAEDB}">
            <xm:f>IF($E$42=FAListas!$C$6,TRUE, IF($E$42=FAListas!#REF!, TRUE,""))</xm:f>
            <x14:dxf>
              <fill>
                <patternFill>
                  <bgColor theme="1"/>
                </patternFill>
              </fill>
            </x14:dxf>
          </x14:cfRule>
          <xm:sqref>D125:E125 I126:J126 I130:J130 D134:E134 I134:J134 I138:J138 I142:J142 D143:E143</xm:sqref>
        </x14:conditionalFormatting>
        <x14:conditionalFormatting xmlns:xm="http://schemas.microsoft.com/office/excel/2006/main">
          <x14:cfRule type="expression" priority="771" id="{77DCB6FD-89CA-4819-9493-A7914684FDF1}">
            <xm:f>IF($F$57=FAListas!$C$6,TRUE, IF($F$57=FAListas!#REF!, TRUE,""))</xm:f>
            <x14:dxf>
              <fill>
                <patternFill>
                  <bgColor theme="1"/>
                </patternFill>
              </fill>
            </x14:dxf>
          </x14:cfRule>
          <xm:sqref>D126:E130</xm:sqref>
        </x14:conditionalFormatting>
        <x14:conditionalFormatting xmlns:xm="http://schemas.microsoft.com/office/excel/2006/main">
          <x14:cfRule type="expression" priority="773" id="{AE1C4D13-7E22-4588-B7CA-7A7A7F3A8D45}">
            <xm:f>$F$57=FAListas!#REF!</xm:f>
            <x14:dxf>
              <fill>
                <patternFill>
                  <bgColor theme="1"/>
                </patternFill>
              </fill>
            </x14:dxf>
          </x14:cfRule>
          <xm:sqref>D135:E139 D146:E148</xm:sqref>
        </x14:conditionalFormatting>
        <x14:conditionalFormatting xmlns:xm="http://schemas.microsoft.com/office/excel/2006/main">
          <x14:cfRule type="expression" priority="18" id="{7672CB12-8A3C-4153-BA0C-EB66EAA9515C}">
            <xm:f>$F$57=FAListas!$C$6</xm:f>
            <x14:dxf>
              <fill>
                <patternFill>
                  <bgColor theme="1"/>
                </patternFill>
              </fill>
            </x14:dxf>
          </x14:cfRule>
          <xm:sqref>D144:E145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24</vt:i4>
      </vt:variant>
    </vt:vector>
  </HeadingPairs>
  <TitlesOfParts>
    <vt:vector size="24" baseType="lpstr">
      <vt:lpstr>Início</vt:lpstr>
      <vt:lpstr>Dados gerais</vt:lpstr>
      <vt:lpstr>Índice</vt:lpstr>
      <vt:lpstr>PFs_Instruções e PFs</vt:lpstr>
      <vt:lpstr>TR_Triagem</vt:lpstr>
      <vt:lpstr>ID_Identificação do projeto</vt:lpstr>
      <vt:lpstr>IC_todos os projetos</vt:lpstr>
      <vt:lpstr>TM1_micromobilidade </vt:lpstr>
      <vt:lpstr>FACalc_micromobilidade</vt:lpstr>
      <vt:lpstr>TM2_rodovia</vt:lpstr>
      <vt:lpstr>TM3_ferrovia e metro</vt:lpstr>
      <vt:lpstr>FACalc_rodovia</vt:lpstr>
      <vt:lpstr>FACalc_ferrovia</vt:lpstr>
      <vt:lpstr>TM4_vias navegáveis interiores</vt:lpstr>
      <vt:lpstr>FACalc_vias navegáveis int.</vt:lpstr>
      <vt:lpstr>TM5_parques de estacionamento</vt:lpstr>
      <vt:lpstr>FAListas</vt:lpstr>
      <vt:lpstr>FACalc_parquesestacionamento</vt:lpstr>
      <vt:lpstr>RE_resultados</vt:lpstr>
      <vt:lpstr>Cálculos adicionais_utilizador</vt:lpstr>
      <vt:lpstr>Glossário</vt:lpstr>
      <vt:lpstr>Fatores de Emissão</vt:lpstr>
      <vt:lpstr>Fatores de Conversão</vt:lpstr>
      <vt:lpstr>Ficha técnica+ atualizações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dc:creator>
  <cp:lastModifiedBy>Carla Santos</cp:lastModifiedBy>
  <dcterms:created xsi:type="dcterms:W3CDTF">2023-04-30T14:56:45Z</dcterms:created>
  <dcterms:modified xsi:type="dcterms:W3CDTF">2026-05-26T11:43:38Z</dcterms:modified>
</cp:coreProperties>
</file>