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2.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3.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ccdralg-my.sharepoint.com/personal/cpsantos_ccdr-alg_pt/Documents/Ambiente de Trabalho/DOCUMENTOS/Calculadoras de emissões de GEE/"/>
    </mc:Choice>
  </mc:AlternateContent>
  <xr:revisionPtr revIDLastSave="0" documentId="8_{0CD6EA4D-E5A8-46BA-B8AB-3F123912A96C}" xr6:coauthVersionLast="47" xr6:coauthVersionMax="47" xr10:uidLastSave="{00000000-0000-0000-0000-000000000000}"/>
  <workbookProtection workbookAlgorithmName="SHA-512" workbookHashValue="b0BfFYx40HhAVJ4Y1K8OYTModpFyX78AvZCAHpHLILs3Rr0kBOr/Rry1d3/oG9DNXBJ9LBHDVf5NzEgakrcGHw==" workbookSaltValue="sdYMtTl3wefSe5+gGVxN7A==" workbookSpinCount="100000" lockStructure="1"/>
  <bookViews>
    <workbookView xWindow="28680" yWindow="-60" windowWidth="29040" windowHeight="15720" tabRatio="882" xr2:uid="{BA83CB33-3910-46A1-AAAA-691A41DA43AD}"/>
  </bookViews>
  <sheets>
    <sheet name="Introdução" sheetId="55" r:id="rId1"/>
    <sheet name="Instruções" sheetId="35" r:id="rId2"/>
    <sheet name="Verificação Preliminar" sheetId="61" r:id="rId3"/>
    <sheet name="Triagem" sheetId="36" r:id="rId4"/>
    <sheet name="Índice" sheetId="7" r:id="rId5"/>
    <sheet name="Identificação" sheetId="2" r:id="rId6"/>
    <sheet name="Combustão Estacionária" sheetId="3" r:id="rId7"/>
    <sheet name="CE" sheetId="13" state="hidden" r:id="rId8"/>
    <sheet name="Combustão Móvel" sheetId="19" r:id="rId9"/>
    <sheet name="FACM" sheetId="20" state="hidden" r:id="rId10"/>
    <sheet name="Energia Elétrica e térmica" sheetId="25" r:id="rId11"/>
    <sheet name="EET" sheetId="26" state="hidden" r:id="rId12"/>
    <sheet name="Emissões Fugitivas" sheetId="17" r:id="rId13"/>
    <sheet name="Processos Industriais" sheetId="15" r:id="rId14"/>
    <sheet name="FAEI" sheetId="16" state="hidden" r:id="rId15"/>
    <sheet name="Outras emissões de processo" sheetId="56" r:id="rId16"/>
    <sheet name="Resultados" sheetId="12" r:id="rId17"/>
    <sheet name="Fatores de Emissão" sheetId="27" r:id="rId18"/>
    <sheet name="Fatores de Conversão" sheetId="30" r:id="rId19"/>
    <sheet name="Ficha técnica" sheetId="59" r:id="rId20"/>
    <sheet name="Listas" sheetId="60" state="hidden" r:id="rId21"/>
    <sheet name="FAOEP" sheetId="57" state="hidden" r:id="rId22"/>
    <sheet name="FAAS" sheetId="32" state="hidden" r:id="rId23"/>
    <sheet name="Categoria 3" sheetId="54" state="hidden" r:id="rId24"/>
    <sheet name="FAEF" sheetId="18" state="hidden" r:id="rId25"/>
    <sheet name="Emissões Evitadas" sheetId="41" state="hidden" r:id="rId26"/>
    <sheet name="FAEV" sheetId="42" state="hidden" r:id="rId27"/>
    <sheet name="Aquisição de bens e serviços" sheetId="46" state="hidden" r:id="rId28"/>
    <sheet name="FABCC" sheetId="49" state="hidden" r:id="rId29"/>
    <sheet name="Uso dos produtos do projeto" sheetId="58" state="hidden" r:id="rId30"/>
    <sheet name="FAPr" sheetId="50" state="hidden" r:id="rId31"/>
    <sheet name="FAPCT" sheetId="53" state="hidden" r:id="rId32"/>
  </sheets>
  <externalReferences>
    <externalReference r:id="rId33"/>
    <externalReference r:id="rId34"/>
    <externalReference r:id="rId35"/>
  </externalReferences>
  <definedNames>
    <definedName name="_Toc149321167" localSheetId="1">Instruções!#REF!</definedName>
    <definedName name="Ano">[1]Introdução!$E$25</definedName>
    <definedName name="Antracite">CE!#REF!</definedName>
    <definedName name="Fugitivas_otros">[2]Datos!$C$710:$C$720</definedName>
    <definedName name="gwp_CH4">'[3]Fatores de Emissão'!$E$236</definedName>
    <definedName name="gwp_CO2">'[3]Fatores de Emissão'!$E$235</definedName>
    <definedName name="gwp_N2O">'[3]Fatores de Emissão'!$E$237</definedName>
    <definedName name="lista_setor">[3]Listas!$D$2:$D$6</definedName>
    <definedName name="total_TeD_up_CO2bio">'[3]Transp.&amp; Distribuição(Upstream)'!$F$350</definedName>
    <definedName name="versao_ferramenta">[1]Atualizações!$B$11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13" l="1"/>
  <c r="C41" i="13"/>
  <c r="D41" i="13" s="1"/>
  <c r="B39" i="13"/>
  <c r="C39" i="13"/>
  <c r="D39" i="13" s="1"/>
  <c r="B7" i="7"/>
  <c r="B9" i="17"/>
  <c r="E30" i="15"/>
  <c r="G154" i="25"/>
  <c r="G155" i="25"/>
  <c r="G156" i="25"/>
  <c r="G157" i="25"/>
  <c r="G158" i="25"/>
  <c r="G159" i="25"/>
  <c r="G160" i="25"/>
  <c r="G161" i="25"/>
  <c r="C152" i="25" s="1"/>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33" i="25"/>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273"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151" i="19"/>
  <c r="N31" i="19"/>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K130" i="17"/>
  <c r="K131" i="17"/>
  <c r="K132" i="17"/>
  <c r="K133" i="17"/>
  <c r="K134" i="17"/>
  <c r="K135" i="17"/>
  <c r="K136" i="17"/>
  <c r="K137" i="17"/>
  <c r="K138" i="17"/>
  <c r="K139" i="17"/>
  <c r="K140" i="17"/>
  <c r="K141" i="17"/>
  <c r="K142" i="17"/>
  <c r="K143" i="17"/>
  <c r="K144" i="17"/>
  <c r="K145" i="17"/>
  <c r="K146" i="17"/>
  <c r="K147" i="17"/>
  <c r="K148" i="17"/>
  <c r="K149" i="17"/>
  <c r="K150" i="17"/>
  <c r="K151" i="17"/>
  <c r="K152" i="17"/>
  <c r="K153" i="17"/>
  <c r="K154" i="17"/>
  <c r="K155" i="17"/>
  <c r="K156" i="17"/>
  <c r="K157" i="17"/>
  <c r="K158" i="17"/>
  <c r="K159" i="17"/>
  <c r="K160" i="17"/>
  <c r="K161" i="17"/>
  <c r="K162" i="17"/>
  <c r="K163" i="17"/>
  <c r="K164" i="17"/>
  <c r="K165" i="17"/>
  <c r="K166" i="17"/>
  <c r="K167" i="17"/>
  <c r="K168" i="17"/>
  <c r="K169" i="17"/>
  <c r="K170" i="17"/>
  <c r="K171" i="17"/>
  <c r="K172" i="17"/>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B155" i="13"/>
  <c r="C155" i="13" s="1"/>
  <c r="B153" i="13"/>
  <c r="C153" i="13" s="1"/>
  <c r="F100" i="13"/>
  <c r="F155" i="13" s="1"/>
  <c r="C100" i="13"/>
  <c r="L100" i="13" s="1"/>
  <c r="D100" i="13"/>
  <c r="D155" i="13" s="1"/>
  <c r="E100" i="13"/>
  <c r="I68" i="27"/>
  <c r="I72" i="27" s="1"/>
  <c r="F97" i="13" s="1"/>
  <c r="F94" i="13" s="1"/>
  <c r="D97" i="13"/>
  <c r="D153" i="13" s="1"/>
  <c r="B97" i="13"/>
  <c r="C97" i="13" s="1"/>
  <c r="L97" i="13" s="1"/>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184"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M151" i="19"/>
  <c r="L151" i="19"/>
  <c r="K151" i="19"/>
  <c r="H151" i="19"/>
  <c r="G32" i="19"/>
  <c r="J32" i="19" s="1"/>
  <c r="H32" i="19"/>
  <c r="K32" i="19" s="1"/>
  <c r="I32" i="19"/>
  <c r="L32" i="19" s="1"/>
  <c r="G33" i="19"/>
  <c r="J33" i="19" s="1"/>
  <c r="H33" i="19"/>
  <c r="K33" i="19" s="1"/>
  <c r="I33" i="19"/>
  <c r="L33" i="19" s="1"/>
  <c r="G34" i="19"/>
  <c r="J34" i="19" s="1"/>
  <c r="H34" i="19"/>
  <c r="K34" i="19" s="1"/>
  <c r="I34" i="19"/>
  <c r="L34" i="19" s="1"/>
  <c r="G35" i="19"/>
  <c r="J35" i="19" s="1"/>
  <c r="H35" i="19"/>
  <c r="K35" i="19" s="1"/>
  <c r="I35" i="19"/>
  <c r="L35" i="19" s="1"/>
  <c r="G36" i="19"/>
  <c r="J36" i="19" s="1"/>
  <c r="H36" i="19"/>
  <c r="K36" i="19" s="1"/>
  <c r="I36" i="19"/>
  <c r="L36" i="19" s="1"/>
  <c r="G37" i="19"/>
  <c r="J37" i="19" s="1"/>
  <c r="H37" i="19"/>
  <c r="K37" i="19" s="1"/>
  <c r="I37" i="19"/>
  <c r="L37" i="19" s="1"/>
  <c r="G38" i="19"/>
  <c r="J38" i="19" s="1"/>
  <c r="H38" i="19"/>
  <c r="K38" i="19" s="1"/>
  <c r="I38" i="19"/>
  <c r="L38" i="19" s="1"/>
  <c r="G39" i="19"/>
  <c r="J39" i="19" s="1"/>
  <c r="H39" i="19"/>
  <c r="K39" i="19" s="1"/>
  <c r="I39" i="19"/>
  <c r="L39" i="19" s="1"/>
  <c r="G40" i="19"/>
  <c r="J40" i="19" s="1"/>
  <c r="H40" i="19"/>
  <c r="K40" i="19" s="1"/>
  <c r="I40" i="19"/>
  <c r="L40" i="19" s="1"/>
  <c r="G41" i="19"/>
  <c r="J41" i="19" s="1"/>
  <c r="H41" i="19"/>
  <c r="K41" i="19" s="1"/>
  <c r="I41" i="19"/>
  <c r="L41" i="19" s="1"/>
  <c r="G42" i="19"/>
  <c r="J42" i="19" s="1"/>
  <c r="H42" i="19"/>
  <c r="K42" i="19" s="1"/>
  <c r="I42" i="19"/>
  <c r="L42" i="19" s="1"/>
  <c r="G43" i="19"/>
  <c r="J43" i="19" s="1"/>
  <c r="H43" i="19"/>
  <c r="K43" i="19" s="1"/>
  <c r="I43" i="19"/>
  <c r="L43" i="19" s="1"/>
  <c r="G44" i="19"/>
  <c r="J44" i="19" s="1"/>
  <c r="H44" i="19"/>
  <c r="K44" i="19" s="1"/>
  <c r="I44" i="19"/>
  <c r="L44" i="19" s="1"/>
  <c r="G45" i="19"/>
  <c r="J45" i="19" s="1"/>
  <c r="H45" i="19"/>
  <c r="K45" i="19" s="1"/>
  <c r="I45" i="19"/>
  <c r="L45" i="19" s="1"/>
  <c r="G46" i="19"/>
  <c r="J46" i="19" s="1"/>
  <c r="H46" i="19"/>
  <c r="K46" i="19" s="1"/>
  <c r="I46" i="19"/>
  <c r="L46" i="19" s="1"/>
  <c r="G47" i="19"/>
  <c r="J47" i="19" s="1"/>
  <c r="H47" i="19"/>
  <c r="K47" i="19" s="1"/>
  <c r="I47" i="19"/>
  <c r="L47" i="19" s="1"/>
  <c r="G48" i="19"/>
  <c r="J48" i="19" s="1"/>
  <c r="H48" i="19"/>
  <c r="K48" i="19" s="1"/>
  <c r="I48" i="19"/>
  <c r="L48" i="19" s="1"/>
  <c r="G49" i="19"/>
  <c r="J49" i="19" s="1"/>
  <c r="H49" i="19"/>
  <c r="K49" i="19" s="1"/>
  <c r="I49" i="19"/>
  <c r="L49" i="19" s="1"/>
  <c r="G50" i="19"/>
  <c r="J50" i="19" s="1"/>
  <c r="H50" i="19"/>
  <c r="K50" i="19" s="1"/>
  <c r="I50" i="19"/>
  <c r="L50" i="19" s="1"/>
  <c r="G51" i="19"/>
  <c r="J51" i="19" s="1"/>
  <c r="H51" i="19"/>
  <c r="K51" i="19" s="1"/>
  <c r="I51" i="19"/>
  <c r="L51" i="19" s="1"/>
  <c r="G52" i="19"/>
  <c r="J52" i="19" s="1"/>
  <c r="H52" i="19"/>
  <c r="K52" i="19" s="1"/>
  <c r="I52" i="19"/>
  <c r="L52" i="19" s="1"/>
  <c r="G53" i="19"/>
  <c r="J53" i="19" s="1"/>
  <c r="H53" i="19"/>
  <c r="K53" i="19" s="1"/>
  <c r="I53" i="19"/>
  <c r="L53" i="19" s="1"/>
  <c r="G54" i="19"/>
  <c r="J54" i="19" s="1"/>
  <c r="H54" i="19"/>
  <c r="K54" i="19" s="1"/>
  <c r="I54" i="19"/>
  <c r="L54" i="19" s="1"/>
  <c r="G55" i="19"/>
  <c r="J55" i="19" s="1"/>
  <c r="H55" i="19"/>
  <c r="K55" i="19" s="1"/>
  <c r="I55" i="19"/>
  <c r="L55" i="19" s="1"/>
  <c r="G56" i="19"/>
  <c r="J56" i="19" s="1"/>
  <c r="H56" i="19"/>
  <c r="K56" i="19" s="1"/>
  <c r="I56" i="19"/>
  <c r="L56" i="19" s="1"/>
  <c r="G57" i="19"/>
  <c r="J57" i="19" s="1"/>
  <c r="H57" i="19"/>
  <c r="K57" i="19" s="1"/>
  <c r="I57" i="19"/>
  <c r="L57" i="19" s="1"/>
  <c r="G58" i="19"/>
  <c r="J58" i="19" s="1"/>
  <c r="H58" i="19"/>
  <c r="K58" i="19" s="1"/>
  <c r="I58" i="19"/>
  <c r="L58" i="19" s="1"/>
  <c r="G59" i="19"/>
  <c r="J59" i="19" s="1"/>
  <c r="H59" i="19"/>
  <c r="K59" i="19" s="1"/>
  <c r="I59" i="19"/>
  <c r="L59" i="19" s="1"/>
  <c r="G60" i="19"/>
  <c r="J60" i="19" s="1"/>
  <c r="H60" i="19"/>
  <c r="K60" i="19" s="1"/>
  <c r="I60" i="19"/>
  <c r="L60" i="19" s="1"/>
  <c r="G61" i="19"/>
  <c r="J61" i="19" s="1"/>
  <c r="H61" i="19"/>
  <c r="K61" i="19" s="1"/>
  <c r="I61" i="19"/>
  <c r="L61" i="19" s="1"/>
  <c r="G62" i="19"/>
  <c r="J62" i="19" s="1"/>
  <c r="H62" i="19"/>
  <c r="K62" i="19" s="1"/>
  <c r="I62" i="19"/>
  <c r="L62" i="19" s="1"/>
  <c r="G63" i="19"/>
  <c r="J63" i="19" s="1"/>
  <c r="H63" i="19"/>
  <c r="K63" i="19" s="1"/>
  <c r="I63" i="19"/>
  <c r="L63" i="19" s="1"/>
  <c r="G64" i="19"/>
  <c r="J64" i="19" s="1"/>
  <c r="H64" i="19"/>
  <c r="K64" i="19" s="1"/>
  <c r="I64" i="19"/>
  <c r="L64" i="19" s="1"/>
  <c r="G65" i="19"/>
  <c r="J65" i="19" s="1"/>
  <c r="H65" i="19"/>
  <c r="K65" i="19" s="1"/>
  <c r="I65" i="19"/>
  <c r="L65" i="19" s="1"/>
  <c r="G66" i="19"/>
  <c r="J66" i="19" s="1"/>
  <c r="H66" i="19"/>
  <c r="K66" i="19" s="1"/>
  <c r="I66" i="19"/>
  <c r="L66" i="19" s="1"/>
  <c r="G67" i="19"/>
  <c r="J67" i="19" s="1"/>
  <c r="H67" i="19"/>
  <c r="K67" i="19" s="1"/>
  <c r="I67" i="19"/>
  <c r="L67" i="19" s="1"/>
  <c r="G68" i="19"/>
  <c r="J68" i="19" s="1"/>
  <c r="H68" i="19"/>
  <c r="K68" i="19" s="1"/>
  <c r="I68" i="19"/>
  <c r="L68" i="19" s="1"/>
  <c r="G69" i="19"/>
  <c r="J69" i="19" s="1"/>
  <c r="H69" i="19"/>
  <c r="K69" i="19" s="1"/>
  <c r="I69" i="19"/>
  <c r="L69" i="19" s="1"/>
  <c r="G70" i="19"/>
  <c r="J70" i="19" s="1"/>
  <c r="H70" i="19"/>
  <c r="K70" i="19" s="1"/>
  <c r="I70" i="19"/>
  <c r="L70" i="19" s="1"/>
  <c r="G71" i="19"/>
  <c r="J71" i="19" s="1"/>
  <c r="H71" i="19"/>
  <c r="K71" i="19" s="1"/>
  <c r="I71" i="19"/>
  <c r="L71" i="19" s="1"/>
  <c r="G72" i="19"/>
  <c r="J72" i="19" s="1"/>
  <c r="H72" i="19"/>
  <c r="K72" i="19" s="1"/>
  <c r="I72" i="19"/>
  <c r="L72" i="19" s="1"/>
  <c r="G73" i="19"/>
  <c r="J73" i="19" s="1"/>
  <c r="H73" i="19"/>
  <c r="K73" i="19" s="1"/>
  <c r="I73" i="19"/>
  <c r="L73" i="19" s="1"/>
  <c r="G74" i="19"/>
  <c r="J74" i="19" s="1"/>
  <c r="H74" i="19"/>
  <c r="K74" i="19" s="1"/>
  <c r="I74" i="19"/>
  <c r="L74" i="19" s="1"/>
  <c r="G75" i="19"/>
  <c r="J75" i="19" s="1"/>
  <c r="H75" i="19"/>
  <c r="K75" i="19" s="1"/>
  <c r="I75" i="19"/>
  <c r="L75" i="19" s="1"/>
  <c r="G76" i="19"/>
  <c r="J76" i="19" s="1"/>
  <c r="H76" i="19"/>
  <c r="K76" i="19" s="1"/>
  <c r="I76" i="19"/>
  <c r="L76" i="19" s="1"/>
  <c r="G77" i="19"/>
  <c r="J77" i="19" s="1"/>
  <c r="H77" i="19"/>
  <c r="K77" i="19" s="1"/>
  <c r="I77" i="19"/>
  <c r="L77" i="19" s="1"/>
  <c r="G78" i="19"/>
  <c r="J78" i="19" s="1"/>
  <c r="H78" i="19"/>
  <c r="K78" i="19" s="1"/>
  <c r="I78" i="19"/>
  <c r="L78" i="19" s="1"/>
  <c r="G79" i="19"/>
  <c r="J79" i="19" s="1"/>
  <c r="H79" i="19"/>
  <c r="K79" i="19" s="1"/>
  <c r="I79" i="19"/>
  <c r="L79" i="19" s="1"/>
  <c r="G80" i="19"/>
  <c r="J80" i="19" s="1"/>
  <c r="H80" i="19"/>
  <c r="K80" i="19" s="1"/>
  <c r="I80" i="19"/>
  <c r="L80" i="19" s="1"/>
  <c r="G81" i="19"/>
  <c r="J81" i="19" s="1"/>
  <c r="H81" i="19"/>
  <c r="K81" i="19" s="1"/>
  <c r="I81" i="19"/>
  <c r="L81" i="19" s="1"/>
  <c r="G82" i="19"/>
  <c r="J82" i="19" s="1"/>
  <c r="H82" i="19"/>
  <c r="K82" i="19" s="1"/>
  <c r="I82" i="19"/>
  <c r="L82" i="19" s="1"/>
  <c r="G83" i="19"/>
  <c r="J83" i="19" s="1"/>
  <c r="H83" i="19"/>
  <c r="K83" i="19" s="1"/>
  <c r="I83" i="19"/>
  <c r="L83" i="19" s="1"/>
  <c r="G84" i="19"/>
  <c r="J84" i="19" s="1"/>
  <c r="H84" i="19"/>
  <c r="K84" i="19" s="1"/>
  <c r="I84" i="19"/>
  <c r="L84" i="19" s="1"/>
  <c r="G85" i="19"/>
  <c r="J85" i="19" s="1"/>
  <c r="H85" i="19"/>
  <c r="K85" i="19" s="1"/>
  <c r="I85" i="19"/>
  <c r="L85" i="19" s="1"/>
  <c r="G86" i="19"/>
  <c r="J86" i="19" s="1"/>
  <c r="H86" i="19"/>
  <c r="K86" i="19" s="1"/>
  <c r="I86" i="19"/>
  <c r="L86" i="19" s="1"/>
  <c r="G87" i="19"/>
  <c r="J87" i="19" s="1"/>
  <c r="H87" i="19"/>
  <c r="K87" i="19" s="1"/>
  <c r="I87" i="19"/>
  <c r="L87" i="19" s="1"/>
  <c r="G88" i="19"/>
  <c r="J88" i="19" s="1"/>
  <c r="H88" i="19"/>
  <c r="K88" i="19" s="1"/>
  <c r="I88" i="19"/>
  <c r="L88" i="19" s="1"/>
  <c r="G89" i="19"/>
  <c r="J89" i="19" s="1"/>
  <c r="H89" i="19"/>
  <c r="K89" i="19" s="1"/>
  <c r="I89" i="19"/>
  <c r="L89" i="19" s="1"/>
  <c r="G90" i="19"/>
  <c r="J90" i="19" s="1"/>
  <c r="H90" i="19"/>
  <c r="K90" i="19" s="1"/>
  <c r="I90" i="19"/>
  <c r="L90" i="19" s="1"/>
  <c r="G91" i="19"/>
  <c r="J91" i="19" s="1"/>
  <c r="H91" i="19"/>
  <c r="K91" i="19" s="1"/>
  <c r="I91" i="19"/>
  <c r="L91" i="19" s="1"/>
  <c r="G92" i="19"/>
  <c r="J92" i="19" s="1"/>
  <c r="H92" i="19"/>
  <c r="K92" i="19" s="1"/>
  <c r="I92" i="19"/>
  <c r="L92" i="19" s="1"/>
  <c r="G93" i="19"/>
  <c r="J93" i="19" s="1"/>
  <c r="H93" i="19"/>
  <c r="K93" i="19" s="1"/>
  <c r="I93" i="19"/>
  <c r="L93" i="19" s="1"/>
  <c r="G94" i="19"/>
  <c r="J94" i="19" s="1"/>
  <c r="H94" i="19"/>
  <c r="K94" i="19" s="1"/>
  <c r="I94" i="19"/>
  <c r="L94" i="19" s="1"/>
  <c r="G95" i="19"/>
  <c r="J95" i="19" s="1"/>
  <c r="H95" i="19"/>
  <c r="K95" i="19" s="1"/>
  <c r="I95" i="19"/>
  <c r="L95" i="19" s="1"/>
  <c r="G96" i="19"/>
  <c r="J96" i="19" s="1"/>
  <c r="H96" i="19"/>
  <c r="K96" i="19" s="1"/>
  <c r="I96" i="19"/>
  <c r="L96" i="19" s="1"/>
  <c r="G97" i="19"/>
  <c r="J97" i="19" s="1"/>
  <c r="H97" i="19"/>
  <c r="K97" i="19" s="1"/>
  <c r="I97" i="19"/>
  <c r="L97" i="19" s="1"/>
  <c r="G98" i="19"/>
  <c r="J98" i="19" s="1"/>
  <c r="H98" i="19"/>
  <c r="K98" i="19" s="1"/>
  <c r="I98" i="19"/>
  <c r="L98" i="19" s="1"/>
  <c r="G99" i="19"/>
  <c r="J99" i="19" s="1"/>
  <c r="H99" i="19"/>
  <c r="K99" i="19" s="1"/>
  <c r="I99" i="19"/>
  <c r="L99" i="19" s="1"/>
  <c r="G100" i="19"/>
  <c r="J100" i="19" s="1"/>
  <c r="H100" i="19"/>
  <c r="K100" i="19" s="1"/>
  <c r="I100" i="19"/>
  <c r="L100" i="19" s="1"/>
  <c r="G101" i="19"/>
  <c r="J101" i="19" s="1"/>
  <c r="H101" i="19"/>
  <c r="K101" i="19" s="1"/>
  <c r="I101" i="19"/>
  <c r="L101" i="19" s="1"/>
  <c r="G102" i="19"/>
  <c r="J102" i="19" s="1"/>
  <c r="H102" i="19"/>
  <c r="K102" i="19" s="1"/>
  <c r="I102" i="19"/>
  <c r="L102" i="19" s="1"/>
  <c r="G103" i="19"/>
  <c r="J103" i="19" s="1"/>
  <c r="H103" i="19"/>
  <c r="K103" i="19" s="1"/>
  <c r="I103" i="19"/>
  <c r="L103" i="19" s="1"/>
  <c r="G104" i="19"/>
  <c r="J104" i="19" s="1"/>
  <c r="H104" i="19"/>
  <c r="K104" i="19" s="1"/>
  <c r="I104" i="19"/>
  <c r="L104" i="19" s="1"/>
  <c r="G105" i="19"/>
  <c r="J105" i="19" s="1"/>
  <c r="H105" i="19"/>
  <c r="K105" i="19" s="1"/>
  <c r="I105" i="19"/>
  <c r="L105" i="19" s="1"/>
  <c r="G106" i="19"/>
  <c r="J106" i="19" s="1"/>
  <c r="H106" i="19"/>
  <c r="K106" i="19" s="1"/>
  <c r="I106" i="19"/>
  <c r="L106" i="19" s="1"/>
  <c r="G107" i="19"/>
  <c r="J107" i="19" s="1"/>
  <c r="H107" i="19"/>
  <c r="K107" i="19" s="1"/>
  <c r="I107" i="19"/>
  <c r="L107" i="19" s="1"/>
  <c r="G108" i="19"/>
  <c r="J108" i="19" s="1"/>
  <c r="H108" i="19"/>
  <c r="K108" i="19" s="1"/>
  <c r="I108" i="19"/>
  <c r="L108" i="19" s="1"/>
  <c r="G109" i="19"/>
  <c r="J109" i="19" s="1"/>
  <c r="H109" i="19"/>
  <c r="K109" i="19" s="1"/>
  <c r="I109" i="19"/>
  <c r="L109" i="19" s="1"/>
  <c r="G110" i="19"/>
  <c r="J110" i="19" s="1"/>
  <c r="H110" i="19"/>
  <c r="K110" i="19" s="1"/>
  <c r="I110" i="19"/>
  <c r="L110" i="19" s="1"/>
  <c r="G111" i="19"/>
  <c r="J111" i="19" s="1"/>
  <c r="H111" i="19"/>
  <c r="K111" i="19" s="1"/>
  <c r="I111" i="19"/>
  <c r="L111" i="19" s="1"/>
  <c r="G112" i="19"/>
  <c r="J112" i="19" s="1"/>
  <c r="H112" i="19"/>
  <c r="K112" i="19" s="1"/>
  <c r="I112" i="19"/>
  <c r="L112" i="19" s="1"/>
  <c r="G113" i="19"/>
  <c r="J113" i="19" s="1"/>
  <c r="H113" i="19"/>
  <c r="K113" i="19" s="1"/>
  <c r="I113" i="19"/>
  <c r="L113" i="19" s="1"/>
  <c r="G114" i="19"/>
  <c r="J114" i="19" s="1"/>
  <c r="H114" i="19"/>
  <c r="K114" i="19" s="1"/>
  <c r="I114" i="19"/>
  <c r="L114" i="19" s="1"/>
  <c r="G115" i="19"/>
  <c r="J115" i="19" s="1"/>
  <c r="H115" i="19"/>
  <c r="K115" i="19" s="1"/>
  <c r="I115" i="19"/>
  <c r="L115" i="19" s="1"/>
  <c r="G116" i="19"/>
  <c r="J116" i="19" s="1"/>
  <c r="H116" i="19"/>
  <c r="K116" i="19" s="1"/>
  <c r="I116" i="19"/>
  <c r="L116" i="19" s="1"/>
  <c r="G117" i="19"/>
  <c r="J117" i="19" s="1"/>
  <c r="H117" i="19"/>
  <c r="K117" i="19" s="1"/>
  <c r="I117" i="19"/>
  <c r="L117" i="19" s="1"/>
  <c r="G118" i="19"/>
  <c r="J118" i="19" s="1"/>
  <c r="H118" i="19"/>
  <c r="K118" i="19" s="1"/>
  <c r="I118" i="19"/>
  <c r="L118" i="19" s="1"/>
  <c r="G119" i="19"/>
  <c r="J119" i="19" s="1"/>
  <c r="H119" i="19"/>
  <c r="K119" i="19" s="1"/>
  <c r="I119" i="19"/>
  <c r="L119" i="19" s="1"/>
  <c r="G120" i="19"/>
  <c r="J120" i="19" s="1"/>
  <c r="H120" i="19"/>
  <c r="K120" i="19" s="1"/>
  <c r="I120" i="19"/>
  <c r="L120" i="19" s="1"/>
  <c r="G121" i="19"/>
  <c r="J121" i="19" s="1"/>
  <c r="H121" i="19"/>
  <c r="K121" i="19" s="1"/>
  <c r="I121" i="19"/>
  <c r="L121" i="19" s="1"/>
  <c r="G122" i="19"/>
  <c r="J122" i="19" s="1"/>
  <c r="H122" i="19"/>
  <c r="K122" i="19" s="1"/>
  <c r="I122" i="19"/>
  <c r="L122" i="19" s="1"/>
  <c r="G123" i="19"/>
  <c r="J123" i="19" s="1"/>
  <c r="H123" i="19"/>
  <c r="K123" i="19" s="1"/>
  <c r="I123" i="19"/>
  <c r="L123" i="19" s="1"/>
  <c r="G124" i="19"/>
  <c r="J124" i="19" s="1"/>
  <c r="H124" i="19"/>
  <c r="K124" i="19" s="1"/>
  <c r="I124" i="19"/>
  <c r="L124" i="19" s="1"/>
  <c r="G125" i="19"/>
  <c r="J125" i="19" s="1"/>
  <c r="H125" i="19"/>
  <c r="K125" i="19" s="1"/>
  <c r="I125" i="19"/>
  <c r="L125" i="19" s="1"/>
  <c r="G126" i="19"/>
  <c r="J126" i="19" s="1"/>
  <c r="H126" i="19"/>
  <c r="K126" i="19" s="1"/>
  <c r="I126" i="19"/>
  <c r="L126" i="19" s="1"/>
  <c r="G127" i="19"/>
  <c r="J127" i="19" s="1"/>
  <c r="H127" i="19"/>
  <c r="K127" i="19" s="1"/>
  <c r="I127" i="19"/>
  <c r="L127" i="19" s="1"/>
  <c r="G128" i="19"/>
  <c r="J128" i="19" s="1"/>
  <c r="H128" i="19"/>
  <c r="K128" i="19" s="1"/>
  <c r="I128" i="19"/>
  <c r="L128" i="19" s="1"/>
  <c r="G129" i="19"/>
  <c r="J129" i="19" s="1"/>
  <c r="H129" i="19"/>
  <c r="K129" i="19" s="1"/>
  <c r="I129" i="19"/>
  <c r="L129" i="19" s="1"/>
  <c r="G130" i="19"/>
  <c r="J130" i="19" s="1"/>
  <c r="H130" i="19"/>
  <c r="K130" i="19" s="1"/>
  <c r="I130" i="19"/>
  <c r="L130" i="19" s="1"/>
  <c r="I31" i="19"/>
  <c r="L31" i="19" s="1"/>
  <c r="H31" i="19"/>
  <c r="K31" i="19" s="1"/>
  <c r="G31" i="19"/>
  <c r="J31" i="19" s="1"/>
  <c r="H152" i="19"/>
  <c r="J70" i="12"/>
  <c r="L155" i="19"/>
  <c r="M155" i="19"/>
  <c r="L156" i="19"/>
  <c r="M156" i="19"/>
  <c r="L157" i="19"/>
  <c r="M157" i="19"/>
  <c r="L158" i="19"/>
  <c r="M158" i="19"/>
  <c r="L159" i="19"/>
  <c r="M159" i="19"/>
  <c r="L160" i="19"/>
  <c r="M160" i="19"/>
  <c r="L161" i="19"/>
  <c r="M161" i="19"/>
  <c r="L162" i="19"/>
  <c r="M162" i="19"/>
  <c r="L163" i="19"/>
  <c r="M163" i="19"/>
  <c r="L164" i="19"/>
  <c r="M164" i="19"/>
  <c r="L165" i="19"/>
  <c r="M165" i="19"/>
  <c r="L166" i="19"/>
  <c r="M166" i="19"/>
  <c r="L167" i="19"/>
  <c r="M167" i="19"/>
  <c r="L168" i="19"/>
  <c r="M168" i="19"/>
  <c r="L169" i="19"/>
  <c r="M169" i="19"/>
  <c r="L170" i="19"/>
  <c r="M170" i="19"/>
  <c r="L171" i="19"/>
  <c r="M171" i="19"/>
  <c r="L172" i="19"/>
  <c r="M172" i="19"/>
  <c r="L173" i="19"/>
  <c r="M173" i="19"/>
  <c r="L174" i="19"/>
  <c r="M174" i="19"/>
  <c r="L175" i="19"/>
  <c r="M175" i="19"/>
  <c r="L176" i="19"/>
  <c r="M176" i="19"/>
  <c r="L177" i="19"/>
  <c r="M177" i="19"/>
  <c r="L178" i="19"/>
  <c r="M178" i="19"/>
  <c r="L179" i="19"/>
  <c r="M179" i="19"/>
  <c r="L180" i="19"/>
  <c r="M180" i="19"/>
  <c r="L181" i="19"/>
  <c r="M181" i="19"/>
  <c r="L182" i="19"/>
  <c r="M182" i="19"/>
  <c r="L183" i="19"/>
  <c r="M183" i="19"/>
  <c r="L184" i="19"/>
  <c r="M184" i="19"/>
  <c r="L185" i="19"/>
  <c r="M185" i="19"/>
  <c r="L186" i="19"/>
  <c r="M186" i="19"/>
  <c r="L187" i="19"/>
  <c r="M187" i="19"/>
  <c r="L188" i="19"/>
  <c r="M188" i="19"/>
  <c r="L189" i="19"/>
  <c r="M189" i="19"/>
  <c r="L190" i="19"/>
  <c r="M190" i="19"/>
  <c r="L191" i="19"/>
  <c r="M191" i="19"/>
  <c r="L192" i="19"/>
  <c r="M192" i="19"/>
  <c r="L193" i="19"/>
  <c r="M193" i="19"/>
  <c r="L194" i="19"/>
  <c r="M194" i="19"/>
  <c r="L195" i="19"/>
  <c r="M195" i="19"/>
  <c r="L196" i="19"/>
  <c r="M196" i="19"/>
  <c r="L197" i="19"/>
  <c r="M197" i="19"/>
  <c r="L198" i="19"/>
  <c r="M198" i="19"/>
  <c r="L199" i="19"/>
  <c r="M199" i="19"/>
  <c r="L200" i="19"/>
  <c r="M200" i="19"/>
  <c r="L201" i="19"/>
  <c r="M201" i="19"/>
  <c r="L202" i="19"/>
  <c r="M202" i="19"/>
  <c r="L203" i="19"/>
  <c r="M203" i="19"/>
  <c r="L204" i="19"/>
  <c r="M204" i="19"/>
  <c r="L205" i="19"/>
  <c r="M205" i="19"/>
  <c r="L206" i="19"/>
  <c r="M206" i="19"/>
  <c r="L207" i="19"/>
  <c r="M207" i="19"/>
  <c r="L208" i="19"/>
  <c r="M208" i="19"/>
  <c r="L209" i="19"/>
  <c r="M209" i="19"/>
  <c r="L210" i="19"/>
  <c r="M210" i="19"/>
  <c r="L211" i="19"/>
  <c r="M211" i="19"/>
  <c r="L212" i="19"/>
  <c r="M212" i="19"/>
  <c r="L213" i="19"/>
  <c r="M213" i="19"/>
  <c r="L214" i="19"/>
  <c r="M214" i="19"/>
  <c r="L215" i="19"/>
  <c r="M215" i="19"/>
  <c r="L216" i="19"/>
  <c r="M216" i="19"/>
  <c r="L217" i="19"/>
  <c r="M217" i="19"/>
  <c r="L218" i="19"/>
  <c r="M218" i="19"/>
  <c r="L219" i="19"/>
  <c r="M219" i="19"/>
  <c r="L220" i="19"/>
  <c r="M220" i="19"/>
  <c r="L221" i="19"/>
  <c r="M221" i="19"/>
  <c r="L222" i="19"/>
  <c r="M222" i="19"/>
  <c r="L223" i="19"/>
  <c r="M223" i="19"/>
  <c r="L224" i="19"/>
  <c r="M224" i="19"/>
  <c r="L225" i="19"/>
  <c r="M225" i="19"/>
  <c r="L226" i="19"/>
  <c r="M226" i="19"/>
  <c r="L227" i="19"/>
  <c r="M227" i="19"/>
  <c r="L228" i="19"/>
  <c r="M228" i="19"/>
  <c r="L229" i="19"/>
  <c r="M229" i="19"/>
  <c r="L230" i="19"/>
  <c r="M230" i="19"/>
  <c r="L231" i="19"/>
  <c r="M231" i="19"/>
  <c r="L232" i="19"/>
  <c r="M232" i="19"/>
  <c r="L233" i="19"/>
  <c r="M233" i="19"/>
  <c r="L234" i="19"/>
  <c r="M234" i="19"/>
  <c r="L235" i="19"/>
  <c r="M235" i="19"/>
  <c r="L236" i="19"/>
  <c r="M236" i="19"/>
  <c r="L237" i="19"/>
  <c r="M237" i="19"/>
  <c r="L238" i="19"/>
  <c r="M238" i="19"/>
  <c r="L239" i="19"/>
  <c r="M239" i="19"/>
  <c r="L240" i="19"/>
  <c r="M240" i="19"/>
  <c r="L241" i="19"/>
  <c r="M241" i="19"/>
  <c r="L242" i="19"/>
  <c r="M242" i="19"/>
  <c r="L243" i="19"/>
  <c r="M243" i="19"/>
  <c r="L244" i="19"/>
  <c r="M244" i="19"/>
  <c r="L245" i="19"/>
  <c r="M245" i="19"/>
  <c r="L246" i="19"/>
  <c r="M246" i="19"/>
  <c r="L247" i="19"/>
  <c r="M247" i="19"/>
  <c r="L248" i="19"/>
  <c r="M248" i="19"/>
  <c r="L249" i="19"/>
  <c r="M249" i="19"/>
  <c r="L250" i="19"/>
  <c r="M250" i="19"/>
  <c r="F31" i="19"/>
  <c r="G152" i="19"/>
  <c r="K152" i="19"/>
  <c r="I152" i="19"/>
  <c r="L152" i="19" s="1"/>
  <c r="J152" i="19"/>
  <c r="M152" i="19" s="1"/>
  <c r="G153" i="19"/>
  <c r="H153" i="19"/>
  <c r="K153" i="19" s="1"/>
  <c r="I153" i="19"/>
  <c r="L153" i="19" s="1"/>
  <c r="J153" i="19"/>
  <c r="M153" i="19" s="1"/>
  <c r="G154" i="19"/>
  <c r="H154" i="19"/>
  <c r="I154" i="19"/>
  <c r="L154" i="19" s="1"/>
  <c r="J154" i="19"/>
  <c r="M154" i="19" s="1"/>
  <c r="K154" i="19"/>
  <c r="G155" i="19"/>
  <c r="H155" i="19"/>
  <c r="I155" i="19"/>
  <c r="J155" i="19"/>
  <c r="K155" i="19"/>
  <c r="G156" i="19"/>
  <c r="H156" i="19"/>
  <c r="I156" i="19"/>
  <c r="J156" i="19"/>
  <c r="K156" i="19"/>
  <c r="G157" i="19"/>
  <c r="H157" i="19"/>
  <c r="I157" i="19"/>
  <c r="J157" i="19"/>
  <c r="K157" i="19"/>
  <c r="G158" i="19"/>
  <c r="H158" i="19"/>
  <c r="I158" i="19"/>
  <c r="J158" i="19"/>
  <c r="K158" i="19"/>
  <c r="G159" i="19"/>
  <c r="H159" i="19"/>
  <c r="I159" i="19"/>
  <c r="J159" i="19"/>
  <c r="K159" i="19"/>
  <c r="G160" i="19"/>
  <c r="H160" i="19"/>
  <c r="I160" i="19"/>
  <c r="J160" i="19"/>
  <c r="K160" i="19"/>
  <c r="G161" i="19"/>
  <c r="H161" i="19"/>
  <c r="I161" i="19"/>
  <c r="J161" i="19"/>
  <c r="K161" i="19"/>
  <c r="G162" i="19"/>
  <c r="H162" i="19"/>
  <c r="I162" i="19"/>
  <c r="J162" i="19"/>
  <c r="K162" i="19"/>
  <c r="G163" i="19"/>
  <c r="H163" i="19"/>
  <c r="I163" i="19"/>
  <c r="J163" i="19"/>
  <c r="K163" i="19"/>
  <c r="G164" i="19"/>
  <c r="H164" i="19"/>
  <c r="I164" i="19"/>
  <c r="J164" i="19"/>
  <c r="K164" i="19"/>
  <c r="G165" i="19"/>
  <c r="H165" i="19"/>
  <c r="I165" i="19"/>
  <c r="J165" i="19"/>
  <c r="K165" i="19"/>
  <c r="G166" i="19"/>
  <c r="H166" i="19"/>
  <c r="I166" i="19"/>
  <c r="J166" i="19"/>
  <c r="K166" i="19"/>
  <c r="G167" i="19"/>
  <c r="H167" i="19"/>
  <c r="I167" i="19"/>
  <c r="J167" i="19"/>
  <c r="K167" i="19"/>
  <c r="G168" i="19"/>
  <c r="H168" i="19"/>
  <c r="I168" i="19"/>
  <c r="J168" i="19"/>
  <c r="K168" i="19"/>
  <c r="G169" i="19"/>
  <c r="H169" i="19"/>
  <c r="I169" i="19"/>
  <c r="J169" i="19"/>
  <c r="K169" i="19"/>
  <c r="G170" i="19"/>
  <c r="H170" i="19"/>
  <c r="I170" i="19"/>
  <c r="J170" i="19"/>
  <c r="K170" i="19"/>
  <c r="G171" i="19"/>
  <c r="H171" i="19"/>
  <c r="I171" i="19"/>
  <c r="J171" i="19"/>
  <c r="K171" i="19"/>
  <c r="G172" i="19"/>
  <c r="H172" i="19"/>
  <c r="I172" i="19"/>
  <c r="J172" i="19"/>
  <c r="K172" i="19"/>
  <c r="G173" i="19"/>
  <c r="H173" i="19"/>
  <c r="I173" i="19"/>
  <c r="J173" i="19"/>
  <c r="K173" i="19"/>
  <c r="G174" i="19"/>
  <c r="H174" i="19"/>
  <c r="I174" i="19"/>
  <c r="J174" i="19"/>
  <c r="K174" i="19"/>
  <c r="G175" i="19"/>
  <c r="H175" i="19"/>
  <c r="I175" i="19"/>
  <c r="J175" i="19"/>
  <c r="K175" i="19"/>
  <c r="G176" i="19"/>
  <c r="H176" i="19"/>
  <c r="I176" i="19"/>
  <c r="J176" i="19"/>
  <c r="K176" i="19"/>
  <c r="G177" i="19"/>
  <c r="H177" i="19"/>
  <c r="I177" i="19"/>
  <c r="J177" i="19"/>
  <c r="K177" i="19"/>
  <c r="G178" i="19"/>
  <c r="H178" i="19"/>
  <c r="I178" i="19"/>
  <c r="J178" i="19"/>
  <c r="K178" i="19"/>
  <c r="G179" i="19"/>
  <c r="H179" i="19"/>
  <c r="I179" i="19"/>
  <c r="J179" i="19"/>
  <c r="K179" i="19"/>
  <c r="G180" i="19"/>
  <c r="H180" i="19"/>
  <c r="I180" i="19"/>
  <c r="J180" i="19"/>
  <c r="K180" i="19"/>
  <c r="G181" i="19"/>
  <c r="H181" i="19"/>
  <c r="I181" i="19"/>
  <c r="J181" i="19"/>
  <c r="K181" i="19"/>
  <c r="G182" i="19"/>
  <c r="H182" i="19"/>
  <c r="I182" i="19"/>
  <c r="J182" i="19"/>
  <c r="K182" i="19"/>
  <c r="G183" i="19"/>
  <c r="H183" i="19"/>
  <c r="I183" i="19"/>
  <c r="J183" i="19"/>
  <c r="K183" i="19"/>
  <c r="G184" i="19"/>
  <c r="H184" i="19"/>
  <c r="I184" i="19"/>
  <c r="J184" i="19"/>
  <c r="K184" i="19"/>
  <c r="G185" i="19"/>
  <c r="H185" i="19"/>
  <c r="I185" i="19"/>
  <c r="J185" i="19"/>
  <c r="K185" i="19"/>
  <c r="G186" i="19"/>
  <c r="H186" i="19"/>
  <c r="I186" i="19"/>
  <c r="J186" i="19"/>
  <c r="K186" i="19"/>
  <c r="G187" i="19"/>
  <c r="H187" i="19"/>
  <c r="I187" i="19"/>
  <c r="J187" i="19"/>
  <c r="K187" i="19"/>
  <c r="G188" i="19"/>
  <c r="H188" i="19"/>
  <c r="I188" i="19"/>
  <c r="J188" i="19"/>
  <c r="K188" i="19"/>
  <c r="G189" i="19"/>
  <c r="H189" i="19"/>
  <c r="I189" i="19"/>
  <c r="J189" i="19"/>
  <c r="K189" i="19"/>
  <c r="G190" i="19"/>
  <c r="H190" i="19"/>
  <c r="I190" i="19"/>
  <c r="J190" i="19"/>
  <c r="K190" i="19"/>
  <c r="G191" i="19"/>
  <c r="H191" i="19"/>
  <c r="I191" i="19"/>
  <c r="J191" i="19"/>
  <c r="K191" i="19"/>
  <c r="G192" i="19"/>
  <c r="H192" i="19"/>
  <c r="I192" i="19"/>
  <c r="J192" i="19"/>
  <c r="K192" i="19"/>
  <c r="G193" i="19"/>
  <c r="H193" i="19"/>
  <c r="I193" i="19"/>
  <c r="J193" i="19"/>
  <c r="K193" i="19"/>
  <c r="G194" i="19"/>
  <c r="H194" i="19"/>
  <c r="I194" i="19"/>
  <c r="J194" i="19"/>
  <c r="K194" i="19"/>
  <c r="G195" i="19"/>
  <c r="H195" i="19"/>
  <c r="I195" i="19"/>
  <c r="J195" i="19"/>
  <c r="K195" i="19"/>
  <c r="G196" i="19"/>
  <c r="H196" i="19"/>
  <c r="I196" i="19"/>
  <c r="J196" i="19"/>
  <c r="K196" i="19"/>
  <c r="G197" i="19"/>
  <c r="H197" i="19"/>
  <c r="I197" i="19"/>
  <c r="J197" i="19"/>
  <c r="K197" i="19"/>
  <c r="G198" i="19"/>
  <c r="H198" i="19"/>
  <c r="I198" i="19"/>
  <c r="J198" i="19"/>
  <c r="K198" i="19"/>
  <c r="G199" i="19"/>
  <c r="H199" i="19"/>
  <c r="I199" i="19"/>
  <c r="J199" i="19"/>
  <c r="K199" i="19"/>
  <c r="G200" i="19"/>
  <c r="H200" i="19"/>
  <c r="I200" i="19"/>
  <c r="J200" i="19"/>
  <c r="K200" i="19"/>
  <c r="G201" i="19"/>
  <c r="H201" i="19"/>
  <c r="I201" i="19"/>
  <c r="J201" i="19"/>
  <c r="K201" i="19"/>
  <c r="G202" i="19"/>
  <c r="H202" i="19"/>
  <c r="I202" i="19"/>
  <c r="J202" i="19"/>
  <c r="K202" i="19"/>
  <c r="G203" i="19"/>
  <c r="H203" i="19"/>
  <c r="I203" i="19"/>
  <c r="J203" i="19"/>
  <c r="K203" i="19"/>
  <c r="G204" i="19"/>
  <c r="H204" i="19"/>
  <c r="I204" i="19"/>
  <c r="J204" i="19"/>
  <c r="K204" i="19"/>
  <c r="G205" i="19"/>
  <c r="H205" i="19"/>
  <c r="I205" i="19"/>
  <c r="J205" i="19"/>
  <c r="K205" i="19"/>
  <c r="G206" i="19"/>
  <c r="H206" i="19"/>
  <c r="I206" i="19"/>
  <c r="J206" i="19"/>
  <c r="K206" i="19"/>
  <c r="G207" i="19"/>
  <c r="H207" i="19"/>
  <c r="I207" i="19"/>
  <c r="J207" i="19"/>
  <c r="K207" i="19"/>
  <c r="G208" i="19"/>
  <c r="H208" i="19"/>
  <c r="I208" i="19"/>
  <c r="J208" i="19"/>
  <c r="K208" i="19"/>
  <c r="G209" i="19"/>
  <c r="H209" i="19"/>
  <c r="I209" i="19"/>
  <c r="J209" i="19"/>
  <c r="K209" i="19"/>
  <c r="G210" i="19"/>
  <c r="H210" i="19"/>
  <c r="I210" i="19"/>
  <c r="J210" i="19"/>
  <c r="K210" i="19"/>
  <c r="G211" i="19"/>
  <c r="H211" i="19"/>
  <c r="I211" i="19"/>
  <c r="J211" i="19"/>
  <c r="K211" i="19"/>
  <c r="G212" i="19"/>
  <c r="H212" i="19"/>
  <c r="I212" i="19"/>
  <c r="J212" i="19"/>
  <c r="K212" i="19"/>
  <c r="G213" i="19"/>
  <c r="H213" i="19"/>
  <c r="I213" i="19"/>
  <c r="J213" i="19"/>
  <c r="K213" i="19"/>
  <c r="G214" i="19"/>
  <c r="H214" i="19"/>
  <c r="I214" i="19"/>
  <c r="J214" i="19"/>
  <c r="K214" i="19"/>
  <c r="G215" i="19"/>
  <c r="H215" i="19"/>
  <c r="I215" i="19"/>
  <c r="J215" i="19"/>
  <c r="K215" i="19"/>
  <c r="G216" i="19"/>
  <c r="H216" i="19"/>
  <c r="I216" i="19"/>
  <c r="J216" i="19"/>
  <c r="K216" i="19"/>
  <c r="G217" i="19"/>
  <c r="H217" i="19"/>
  <c r="I217" i="19"/>
  <c r="J217" i="19"/>
  <c r="K217" i="19"/>
  <c r="G218" i="19"/>
  <c r="H218" i="19"/>
  <c r="I218" i="19"/>
  <c r="J218" i="19"/>
  <c r="K218" i="19"/>
  <c r="G219" i="19"/>
  <c r="H219" i="19"/>
  <c r="I219" i="19"/>
  <c r="J219" i="19"/>
  <c r="K219" i="19"/>
  <c r="G220" i="19"/>
  <c r="H220" i="19"/>
  <c r="I220" i="19"/>
  <c r="J220" i="19"/>
  <c r="K220" i="19"/>
  <c r="G221" i="19"/>
  <c r="H221" i="19"/>
  <c r="I221" i="19"/>
  <c r="J221" i="19"/>
  <c r="K221" i="19"/>
  <c r="G222" i="19"/>
  <c r="H222" i="19"/>
  <c r="I222" i="19"/>
  <c r="J222" i="19"/>
  <c r="K222" i="19"/>
  <c r="G223" i="19"/>
  <c r="H223" i="19"/>
  <c r="I223" i="19"/>
  <c r="J223" i="19"/>
  <c r="K223" i="19"/>
  <c r="G224" i="19"/>
  <c r="H224" i="19"/>
  <c r="I224" i="19"/>
  <c r="J224" i="19"/>
  <c r="K224" i="19"/>
  <c r="G225" i="19"/>
  <c r="H225" i="19"/>
  <c r="I225" i="19"/>
  <c r="J225" i="19"/>
  <c r="K225" i="19"/>
  <c r="G226" i="19"/>
  <c r="H226" i="19"/>
  <c r="I226" i="19"/>
  <c r="J226" i="19"/>
  <c r="K226" i="19"/>
  <c r="G227" i="19"/>
  <c r="H227" i="19"/>
  <c r="I227" i="19"/>
  <c r="J227" i="19"/>
  <c r="K227" i="19"/>
  <c r="G228" i="19"/>
  <c r="H228" i="19"/>
  <c r="I228" i="19"/>
  <c r="J228" i="19"/>
  <c r="K228" i="19"/>
  <c r="G229" i="19"/>
  <c r="H229" i="19"/>
  <c r="I229" i="19"/>
  <c r="J229" i="19"/>
  <c r="K229" i="19"/>
  <c r="G230" i="19"/>
  <c r="H230" i="19"/>
  <c r="I230" i="19"/>
  <c r="J230" i="19"/>
  <c r="K230" i="19"/>
  <c r="G231" i="19"/>
  <c r="H231" i="19"/>
  <c r="I231" i="19"/>
  <c r="J231" i="19"/>
  <c r="K231" i="19"/>
  <c r="G232" i="19"/>
  <c r="H232" i="19"/>
  <c r="I232" i="19"/>
  <c r="J232" i="19"/>
  <c r="K232" i="19"/>
  <c r="G233" i="19"/>
  <c r="H233" i="19"/>
  <c r="I233" i="19"/>
  <c r="J233" i="19"/>
  <c r="K233" i="19"/>
  <c r="G234" i="19"/>
  <c r="H234" i="19"/>
  <c r="I234" i="19"/>
  <c r="J234" i="19"/>
  <c r="K234" i="19"/>
  <c r="G235" i="19"/>
  <c r="H235" i="19"/>
  <c r="I235" i="19"/>
  <c r="J235" i="19"/>
  <c r="K235" i="19"/>
  <c r="G236" i="19"/>
  <c r="H236" i="19"/>
  <c r="I236" i="19"/>
  <c r="J236" i="19"/>
  <c r="K236" i="19"/>
  <c r="G237" i="19"/>
  <c r="H237" i="19"/>
  <c r="I237" i="19"/>
  <c r="J237" i="19"/>
  <c r="K237" i="19"/>
  <c r="G238" i="19"/>
  <c r="H238" i="19"/>
  <c r="I238" i="19"/>
  <c r="J238" i="19"/>
  <c r="K238" i="19"/>
  <c r="G239" i="19"/>
  <c r="H239" i="19"/>
  <c r="I239" i="19"/>
  <c r="J239" i="19"/>
  <c r="K239" i="19"/>
  <c r="G240" i="19"/>
  <c r="H240" i="19"/>
  <c r="I240" i="19"/>
  <c r="J240" i="19"/>
  <c r="K240" i="19"/>
  <c r="G241" i="19"/>
  <c r="H241" i="19"/>
  <c r="I241" i="19"/>
  <c r="J241" i="19"/>
  <c r="K241" i="19"/>
  <c r="G242" i="19"/>
  <c r="H242" i="19"/>
  <c r="I242" i="19"/>
  <c r="J242" i="19"/>
  <c r="K242" i="19"/>
  <c r="G243" i="19"/>
  <c r="H243" i="19"/>
  <c r="I243" i="19"/>
  <c r="J243" i="19"/>
  <c r="K243" i="19"/>
  <c r="G244" i="19"/>
  <c r="H244" i="19"/>
  <c r="I244" i="19"/>
  <c r="J244" i="19"/>
  <c r="K244" i="19"/>
  <c r="G245" i="19"/>
  <c r="H245" i="19"/>
  <c r="I245" i="19"/>
  <c r="J245" i="19"/>
  <c r="K245" i="19"/>
  <c r="G246" i="19"/>
  <c r="H246" i="19"/>
  <c r="I246" i="19"/>
  <c r="J246" i="19"/>
  <c r="K246" i="19"/>
  <c r="G247" i="19"/>
  <c r="H247" i="19"/>
  <c r="I247" i="19"/>
  <c r="J247" i="19"/>
  <c r="K247" i="19"/>
  <c r="G248" i="19"/>
  <c r="H248" i="19"/>
  <c r="I248" i="19"/>
  <c r="J248" i="19"/>
  <c r="K248" i="19"/>
  <c r="G249" i="19"/>
  <c r="H249" i="19"/>
  <c r="I249" i="19"/>
  <c r="J249" i="19"/>
  <c r="K249" i="19"/>
  <c r="G250" i="19"/>
  <c r="H250" i="19"/>
  <c r="I250" i="19"/>
  <c r="J250" i="19"/>
  <c r="K250" i="19"/>
  <c r="J151" i="19"/>
  <c r="I151" i="19"/>
  <c r="G151" i="19"/>
  <c r="F32" i="19"/>
  <c r="F33" i="19"/>
  <c r="F34" i="19"/>
  <c r="F35" i="19"/>
  <c r="F36" i="19"/>
  <c r="F37" i="19"/>
  <c r="F38" i="19"/>
  <c r="F39" i="19"/>
  <c r="F40" i="19"/>
  <c r="F41"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42" i="19"/>
  <c r="D12" i="20"/>
  <c r="E13" i="20"/>
  <c r="E14" i="20"/>
  <c r="E15" i="20"/>
  <c r="E12" i="20"/>
  <c r="B13" i="20"/>
  <c r="B14" i="20"/>
  <c r="B15" i="20"/>
  <c r="B16" i="20"/>
  <c r="B17" i="20"/>
  <c r="B18" i="20"/>
  <c r="B12" i="20"/>
  <c r="G71" i="17" l="1"/>
  <c r="D29" i="19"/>
  <c r="C31" i="25"/>
  <c r="D149" i="19"/>
  <c r="N151" i="19"/>
  <c r="N160" i="19"/>
  <c r="M72" i="19"/>
  <c r="M46" i="19"/>
  <c r="M113" i="19"/>
  <c r="N152" i="19"/>
  <c r="M108" i="19"/>
  <c r="M44" i="19"/>
  <c r="M65" i="19"/>
  <c r="D182" i="3"/>
  <c r="F153" i="13"/>
  <c r="E97" i="13"/>
  <c r="D69" i="3"/>
  <c r="N159" i="19"/>
  <c r="N156" i="19"/>
  <c r="M92" i="19"/>
  <c r="M60" i="19"/>
  <c r="M76" i="19"/>
  <c r="M116" i="19"/>
  <c r="M118" i="19"/>
  <c r="M39" i="19"/>
  <c r="M41" i="19"/>
  <c r="M104" i="19"/>
  <c r="M56" i="19"/>
  <c r="M43" i="19"/>
  <c r="M125" i="19"/>
  <c r="M106" i="19"/>
  <c r="M51" i="19"/>
  <c r="M127" i="19"/>
  <c r="M58" i="19"/>
  <c r="M124" i="19"/>
  <c r="M99" i="19"/>
  <c r="M55" i="19"/>
  <c r="M77" i="19"/>
  <c r="M91" i="19"/>
  <c r="M68" i="19"/>
  <c r="N158" i="19"/>
  <c r="N157" i="19"/>
  <c r="N155" i="19"/>
  <c r="M94" i="19"/>
  <c r="N161" i="19"/>
  <c r="M87" i="19"/>
  <c r="M89" i="19"/>
  <c r="M70" i="19"/>
  <c r="M120" i="19"/>
  <c r="M79" i="19"/>
  <c r="M80" i="19"/>
  <c r="N236" i="19"/>
  <c r="N200" i="19"/>
  <c r="N164" i="19"/>
  <c r="M101" i="19"/>
  <c r="N153" i="19"/>
  <c r="M53" i="19"/>
  <c r="M93" i="19"/>
  <c r="M130" i="19"/>
  <c r="N154" i="19"/>
  <c r="M82" i="19"/>
  <c r="M33" i="19"/>
  <c r="M128" i="19"/>
  <c r="M86" i="19"/>
  <c r="M31" i="19"/>
  <c r="M96" i="19"/>
  <c r="M67" i="19"/>
  <c r="M102" i="19"/>
  <c r="M110" i="19"/>
  <c r="M48" i="19"/>
  <c r="M117" i="19"/>
  <c r="M75" i="19"/>
  <c r="M35" i="19"/>
  <c r="M109" i="19"/>
  <c r="M63" i="19"/>
  <c r="M123" i="19"/>
  <c r="M84" i="19"/>
  <c r="M50" i="19"/>
  <c r="M115" i="19"/>
  <c r="M98" i="19"/>
  <c r="M103" i="19"/>
  <c r="M69" i="19"/>
  <c r="M88" i="19"/>
  <c r="M61" i="19"/>
  <c r="M73" i="19"/>
  <c r="M111" i="19"/>
  <c r="M121" i="19"/>
  <c r="M83" i="19"/>
  <c r="M62" i="19"/>
  <c r="M54" i="19"/>
  <c r="M45" i="19"/>
  <c r="M34" i="19"/>
  <c r="M32" i="19"/>
  <c r="M85" i="19"/>
  <c r="M37" i="19"/>
  <c r="M122" i="19"/>
  <c r="M105" i="19"/>
  <c r="M74" i="19"/>
  <c r="M57" i="19"/>
  <c r="M97" i="19"/>
  <c r="M49" i="19"/>
  <c r="M40" i="19"/>
  <c r="M36" i="19"/>
  <c r="M38" i="19"/>
  <c r="M47" i="19"/>
  <c r="M126" i="19"/>
  <c r="M95" i="19"/>
  <c r="M100" i="19"/>
  <c r="M52" i="19"/>
  <c r="M114" i="19"/>
  <c r="M66" i="19"/>
  <c r="M107" i="19"/>
  <c r="M78" i="19"/>
  <c r="M59" i="19"/>
  <c r="M129" i="19"/>
  <c r="M119" i="19"/>
  <c r="M90" i="19"/>
  <c r="M81" i="19"/>
  <c r="M71" i="19"/>
  <c r="M42" i="19"/>
  <c r="M112" i="19"/>
  <c r="M64" i="19"/>
  <c r="N203" i="19"/>
  <c r="N167" i="19"/>
  <c r="N223" i="19"/>
  <c r="N226" i="19"/>
  <c r="N190" i="19"/>
  <c r="K131" i="19"/>
  <c r="N239" i="19"/>
  <c r="N178" i="19"/>
  <c r="N206" i="19"/>
  <c r="N187" i="19"/>
  <c r="N212" i="19"/>
  <c r="N247" i="19"/>
  <c r="N179" i="19"/>
  <c r="N248" i="19"/>
  <c r="N215" i="19"/>
  <c r="N175" i="19"/>
  <c r="N250" i="19"/>
  <c r="N245" i="19"/>
  <c r="N217" i="19"/>
  <c r="N191" i="19"/>
  <c r="N242" i="19"/>
  <c r="N214" i="19"/>
  <c r="N209" i="19"/>
  <c r="N181" i="19"/>
  <c r="N220" i="19"/>
  <c r="N170" i="19"/>
  <c r="N184" i="19"/>
  <c r="N176" i="19"/>
  <c r="N227" i="19"/>
  <c r="N173" i="19"/>
  <c r="N211" i="19"/>
  <c r="N194" i="19"/>
  <c r="N199" i="19"/>
  <c r="N163" i="19"/>
  <c r="N243" i="19"/>
  <c r="K251" i="19"/>
  <c r="N182" i="19"/>
  <c r="N166" i="19"/>
  <c r="N241" i="19"/>
  <c r="N221" i="19"/>
  <c r="N205" i="19"/>
  <c r="N185" i="19"/>
  <c r="N169" i="19"/>
  <c r="N230" i="19"/>
  <c r="N233" i="19"/>
  <c r="N232" i="19"/>
  <c r="N228" i="19"/>
  <c r="N238" i="19"/>
  <c r="N244" i="19"/>
  <c r="N229" i="19"/>
  <c r="N224" i="19"/>
  <c r="N208" i="19"/>
  <c r="N193" i="19"/>
  <c r="N188" i="19"/>
  <c r="N172" i="19"/>
  <c r="N196" i="19"/>
  <c r="N235" i="19"/>
  <c r="N207" i="19"/>
  <c r="N192" i="19"/>
  <c r="N171" i="19"/>
  <c r="N218" i="19"/>
  <c r="N202" i="19"/>
  <c r="N197" i="19"/>
  <c r="N222" i="19"/>
  <c r="N186" i="19"/>
  <c r="N225" i="19"/>
  <c r="N189" i="19"/>
  <c r="N210" i="19"/>
  <c r="N213" i="19"/>
  <c r="N177" i="19"/>
  <c r="N180" i="19"/>
  <c r="N219" i="19"/>
  <c r="N183" i="19"/>
  <c r="N231" i="19"/>
  <c r="N234" i="19"/>
  <c r="N198" i="19"/>
  <c r="N162" i="19"/>
  <c r="N249" i="19"/>
  <c r="N237" i="19"/>
  <c r="N201" i="19"/>
  <c r="N165" i="19"/>
  <c r="N246" i="19"/>
  <c r="N174" i="19"/>
  <c r="N216" i="19"/>
  <c r="N195" i="19"/>
  <c r="N240" i="19"/>
  <c r="N204" i="19"/>
  <c r="N168" i="19"/>
  <c r="J131" i="19" l="1"/>
  <c r="N251" i="19"/>
  <c r="E314" i="19" s="1"/>
  <c r="M131" i="19"/>
  <c r="M251" i="19"/>
  <c r="L251" i="19"/>
  <c r="E313" i="19" l="1"/>
  <c r="L131" i="19"/>
  <c r="J59" i="12" l="1"/>
  <c r="E21" i="61"/>
  <c r="C3" i="12"/>
  <c r="E69" i="12"/>
  <c r="E64" i="12"/>
  <c r="E57" i="12" s="1"/>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B9" i="19"/>
  <c r="D28" i="36"/>
  <c r="G72" i="27" l="1"/>
  <c r="Q23" i="27"/>
  <c r="B17" i="27"/>
  <c r="G220" i="57"/>
  <c r="G221" i="57" s="1"/>
  <c r="G222" i="57" s="1"/>
  <c r="G223" i="57" s="1"/>
  <c r="G224" i="57" s="1"/>
  <c r="G225" i="57" s="1"/>
  <c r="G226" i="57" s="1"/>
  <c r="G227" i="57" s="1"/>
  <c r="G228" i="57" s="1"/>
  <c r="G229" i="57" s="1"/>
  <c r="G230" i="57" s="1"/>
  <c r="G231" i="57" s="1"/>
  <c r="G232" i="57" s="1"/>
  <c r="G233" i="57" s="1"/>
  <c r="G234" i="57" s="1"/>
  <c r="G235" i="57" s="1"/>
  <c r="G236" i="57" s="1"/>
  <c r="G237" i="57" s="1"/>
  <c r="G238" i="57" s="1"/>
  <c r="G239" i="57" s="1"/>
  <c r="G180" i="3"/>
  <c r="D30" i="36"/>
  <c r="E20" i="61"/>
  <c r="J37" i="17"/>
  <c r="J38" i="17"/>
  <c r="J39" i="17"/>
  <c r="J40" i="17"/>
  <c r="J41" i="17"/>
  <c r="J42" i="17"/>
  <c r="J43" i="17"/>
  <c r="J44" i="17"/>
  <c r="J45" i="17"/>
  <c r="J46" i="17"/>
  <c r="J47" i="17"/>
  <c r="J48" i="17"/>
  <c r="J49" i="17"/>
  <c r="J50" i="17"/>
  <c r="J51" i="17"/>
  <c r="J52" i="17"/>
  <c r="J53" i="17"/>
  <c r="J54" i="17"/>
  <c r="J55" i="17"/>
  <c r="J56" i="17"/>
  <c r="J36" i="17"/>
  <c r="I220" i="57"/>
  <c r="I221" i="57"/>
  <c r="I222" i="57"/>
  <c r="I223" i="57"/>
  <c r="I224" i="57"/>
  <c r="I225" i="57"/>
  <c r="I226" i="57"/>
  <c r="I227" i="57"/>
  <c r="I228" i="57"/>
  <c r="I229" i="57"/>
  <c r="I230" i="57"/>
  <c r="I231" i="57"/>
  <c r="I232" i="57"/>
  <c r="I233" i="57"/>
  <c r="I234" i="57"/>
  <c r="I235" i="57"/>
  <c r="I236" i="57"/>
  <c r="I237" i="57"/>
  <c r="I238" i="57"/>
  <c r="I239" i="57"/>
  <c r="H220" i="57"/>
  <c r="H221" i="57"/>
  <c r="H222" i="57"/>
  <c r="H223" i="57"/>
  <c r="H224" i="57"/>
  <c r="H225" i="57"/>
  <c r="H226" i="57"/>
  <c r="H227" i="57"/>
  <c r="H228" i="57"/>
  <c r="H229" i="57"/>
  <c r="H230" i="57"/>
  <c r="H231" i="57"/>
  <c r="H232" i="57"/>
  <c r="H233" i="57"/>
  <c r="H234" i="57"/>
  <c r="H235" i="57"/>
  <c r="H236" i="57"/>
  <c r="H237" i="57"/>
  <c r="H238" i="57"/>
  <c r="H239" i="57"/>
  <c r="E220" i="57"/>
  <c r="F220" i="57" s="1"/>
  <c r="E221" i="57"/>
  <c r="F221" i="57" s="1"/>
  <c r="E222" i="57"/>
  <c r="F222" i="57" s="1"/>
  <c r="E223" i="57"/>
  <c r="F223" i="57" s="1"/>
  <c r="E224" i="57"/>
  <c r="F224" i="57" s="1"/>
  <c r="E225" i="57"/>
  <c r="F225" i="57" s="1"/>
  <c r="E226" i="57"/>
  <c r="F226" i="57" s="1"/>
  <c r="E227" i="57"/>
  <c r="F227" i="57" s="1"/>
  <c r="E228" i="57"/>
  <c r="F228" i="57" s="1"/>
  <c r="E229" i="57"/>
  <c r="F229" i="57" s="1"/>
  <c r="E230" i="57"/>
  <c r="F230" i="57" s="1"/>
  <c r="E231" i="57"/>
  <c r="F231" i="57" s="1"/>
  <c r="E232" i="57"/>
  <c r="F232" i="57" s="1"/>
  <c r="E233" i="57"/>
  <c r="F233" i="57" s="1"/>
  <c r="E234" i="57"/>
  <c r="F234" i="57" s="1"/>
  <c r="E235" i="57"/>
  <c r="F235" i="57" s="1"/>
  <c r="E236" i="57"/>
  <c r="F236" i="57" s="1"/>
  <c r="E237" i="57"/>
  <c r="F237" i="57" s="1"/>
  <c r="E238" i="57"/>
  <c r="F238" i="57" s="1"/>
  <c r="E239" i="57"/>
  <c r="F239" i="57" s="1"/>
  <c r="B220" i="57"/>
  <c r="C220" i="57"/>
  <c r="D220" i="57" s="1"/>
  <c r="B221" i="57"/>
  <c r="C221" i="57"/>
  <c r="D221" i="57" s="1"/>
  <c r="B222" i="57"/>
  <c r="C222" i="57"/>
  <c r="D222" i="57" s="1"/>
  <c r="B223" i="57"/>
  <c r="C223" i="57"/>
  <c r="J223" i="57" s="1"/>
  <c r="B224" i="57"/>
  <c r="C224" i="57"/>
  <c r="J224" i="57" s="1"/>
  <c r="B225" i="57"/>
  <c r="C225" i="57"/>
  <c r="D225" i="57" s="1"/>
  <c r="B226" i="57"/>
  <c r="C226" i="57"/>
  <c r="J226" i="57" s="1"/>
  <c r="B227" i="57"/>
  <c r="C227" i="57"/>
  <c r="J227" i="57" s="1"/>
  <c r="B228" i="57"/>
  <c r="C228" i="57"/>
  <c r="D228" i="57" s="1"/>
  <c r="B229" i="57"/>
  <c r="C229" i="57"/>
  <c r="D229" i="57" s="1"/>
  <c r="B230" i="57"/>
  <c r="C230" i="57"/>
  <c r="D230" i="57" s="1"/>
  <c r="B231" i="57"/>
  <c r="C231" i="57"/>
  <c r="D231" i="57" s="1"/>
  <c r="B232" i="57"/>
  <c r="C232" i="57"/>
  <c r="D232" i="57" s="1"/>
  <c r="B233" i="57"/>
  <c r="C233" i="57"/>
  <c r="D233" i="57" s="1"/>
  <c r="B234" i="57"/>
  <c r="C234" i="57"/>
  <c r="D234" i="57" s="1"/>
  <c r="B235" i="57"/>
  <c r="C235" i="57"/>
  <c r="J235" i="57" s="1"/>
  <c r="B236" i="57"/>
  <c r="C236" i="57"/>
  <c r="J236" i="57" s="1"/>
  <c r="B237" i="57"/>
  <c r="C237" i="57"/>
  <c r="D237" i="57" s="1"/>
  <c r="B238" i="57"/>
  <c r="C238" i="57"/>
  <c r="J238" i="57" s="1"/>
  <c r="B239" i="57"/>
  <c r="C239" i="57"/>
  <c r="J239" i="57" s="1"/>
  <c r="I219" i="57"/>
  <c r="H219" i="57"/>
  <c r="E219" i="57"/>
  <c r="F219" i="57" s="1"/>
  <c r="C219" i="57"/>
  <c r="D219" i="57" s="1"/>
  <c r="B219" i="57"/>
  <c r="F38" i="57"/>
  <c r="F39" i="57"/>
  <c r="F40" i="57"/>
  <c r="F41" i="57"/>
  <c r="F42" i="57"/>
  <c r="D236" i="27"/>
  <c r="G42" i="57" s="1"/>
  <c r="D235" i="27"/>
  <c r="G41" i="57" s="1"/>
  <c r="K41" i="57" s="1"/>
  <c r="C235" i="27"/>
  <c r="J41" i="57" s="1"/>
  <c r="D234" i="27"/>
  <c r="G40" i="57" s="1"/>
  <c r="K40" i="57" s="1"/>
  <c r="C234" i="27"/>
  <c r="J40" i="57" s="1"/>
  <c r="D233" i="27"/>
  <c r="G39" i="57" s="1"/>
  <c r="D232" i="27"/>
  <c r="G38" i="57" s="1"/>
  <c r="C232" i="27"/>
  <c r="H38" i="57" s="1"/>
  <c r="E41" i="5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74" i="17"/>
  <c r="H75" i="17"/>
  <c r="H76" i="17"/>
  <c r="H77" i="17"/>
  <c r="H78" i="17"/>
  <c r="H79" i="17"/>
  <c r="H80" i="17"/>
  <c r="H73" i="17"/>
  <c r="K221" i="57" l="1"/>
  <c r="K220" i="57"/>
  <c r="K225" i="57"/>
  <c r="K237" i="57"/>
  <c r="K230" i="57"/>
  <c r="K229" i="57"/>
  <c r="K234" i="57"/>
  <c r="K228" i="57"/>
  <c r="K222" i="57"/>
  <c r="K232" i="57"/>
  <c r="K231" i="57"/>
  <c r="K219" i="57"/>
  <c r="K233" i="57"/>
  <c r="D235" i="57"/>
  <c r="D239" i="57"/>
  <c r="D224" i="57"/>
  <c r="J221" i="57"/>
  <c r="D227" i="57"/>
  <c r="D223" i="57"/>
  <c r="J237" i="57"/>
  <c r="J233" i="57"/>
  <c r="J228" i="57"/>
  <c r="J229" i="57"/>
  <c r="J220" i="57"/>
  <c r="D236" i="57"/>
  <c r="J230" i="57"/>
  <c r="J232" i="57"/>
  <c r="J225" i="57"/>
  <c r="D238" i="57"/>
  <c r="J231" i="57"/>
  <c r="D226" i="57"/>
  <c r="J234" i="57"/>
  <c r="J222" i="57"/>
  <c r="J219" i="57"/>
  <c r="E204" i="27"/>
  <c r="D71" i="18" s="1"/>
  <c r="E203" i="27"/>
  <c r="D70" i="18" s="1"/>
  <c r="E207" i="27"/>
  <c r="D79" i="18" s="1"/>
  <c r="E206" i="27"/>
  <c r="D78" i="18" s="1"/>
  <c r="E205" i="27"/>
  <c r="D77" i="18" s="1"/>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185" i="3"/>
  <c r="N186" i="3"/>
  <c r="N187" i="3"/>
  <c r="N188" i="3"/>
  <c r="N189" i="3"/>
  <c r="N184" i="3"/>
  <c r="L289" i="3"/>
  <c r="L290" i="3" s="1"/>
  <c r="K289" i="3"/>
  <c r="J289" i="3"/>
  <c r="H173" i="3"/>
  <c r="K188" i="3"/>
  <c r="M188" i="3" s="1"/>
  <c r="J190" i="3"/>
  <c r="L190" i="3" s="1"/>
  <c r="J191" i="3"/>
  <c r="L191" i="3" s="1"/>
  <c r="J192" i="3"/>
  <c r="L192" i="3" s="1"/>
  <c r="K192" i="3"/>
  <c r="M192" i="3" s="1"/>
  <c r="J193" i="3"/>
  <c r="L193" i="3" s="1"/>
  <c r="K193" i="3"/>
  <c r="M193" i="3" s="1"/>
  <c r="E194" i="3"/>
  <c r="J194" i="3"/>
  <c r="L194" i="3" s="1"/>
  <c r="K194" i="3"/>
  <c r="M194" i="3" s="1"/>
  <c r="E195" i="3"/>
  <c r="J195" i="3"/>
  <c r="L195" i="3" s="1"/>
  <c r="K195" i="3"/>
  <c r="M195" i="3" s="1"/>
  <c r="E196" i="3"/>
  <c r="J196" i="3"/>
  <c r="L196" i="3" s="1"/>
  <c r="K196" i="3"/>
  <c r="M196" i="3" s="1"/>
  <c r="E197" i="3"/>
  <c r="J197" i="3"/>
  <c r="L197" i="3" s="1"/>
  <c r="K197" i="3"/>
  <c r="M197" i="3" s="1"/>
  <c r="E198" i="3"/>
  <c r="J198" i="3"/>
  <c r="L198" i="3" s="1"/>
  <c r="K198" i="3"/>
  <c r="M198" i="3" s="1"/>
  <c r="E199" i="3"/>
  <c r="J199" i="3"/>
  <c r="L199" i="3" s="1"/>
  <c r="K199" i="3"/>
  <c r="M199" i="3" s="1"/>
  <c r="E200" i="3"/>
  <c r="J200" i="3"/>
  <c r="L200" i="3" s="1"/>
  <c r="K200" i="3"/>
  <c r="M200" i="3" s="1"/>
  <c r="E201" i="3"/>
  <c r="J201" i="3"/>
  <c r="L201" i="3" s="1"/>
  <c r="K201" i="3"/>
  <c r="M201" i="3" s="1"/>
  <c r="E202" i="3"/>
  <c r="J202" i="3"/>
  <c r="L202" i="3" s="1"/>
  <c r="K202" i="3"/>
  <c r="M202" i="3" s="1"/>
  <c r="E203" i="3"/>
  <c r="J203" i="3"/>
  <c r="L203" i="3" s="1"/>
  <c r="K203" i="3"/>
  <c r="M203" i="3" s="1"/>
  <c r="E204" i="3"/>
  <c r="J204" i="3"/>
  <c r="L204" i="3" s="1"/>
  <c r="K204" i="3"/>
  <c r="M204" i="3" s="1"/>
  <c r="E205" i="3"/>
  <c r="J205" i="3"/>
  <c r="L205" i="3" s="1"/>
  <c r="K205" i="3"/>
  <c r="M205" i="3" s="1"/>
  <c r="E206" i="3"/>
  <c r="J206" i="3"/>
  <c r="L206" i="3" s="1"/>
  <c r="K206" i="3"/>
  <c r="M206" i="3" s="1"/>
  <c r="E207" i="3"/>
  <c r="J207" i="3"/>
  <c r="L207" i="3" s="1"/>
  <c r="K207" i="3"/>
  <c r="M207" i="3" s="1"/>
  <c r="E208" i="3"/>
  <c r="J208" i="3"/>
  <c r="L208" i="3" s="1"/>
  <c r="K208" i="3"/>
  <c r="M208" i="3" s="1"/>
  <c r="E209" i="3"/>
  <c r="J209" i="3"/>
  <c r="L209" i="3" s="1"/>
  <c r="K209" i="3"/>
  <c r="M209" i="3" s="1"/>
  <c r="E210" i="3"/>
  <c r="J210" i="3"/>
  <c r="L210" i="3" s="1"/>
  <c r="K210" i="3"/>
  <c r="M210" i="3" s="1"/>
  <c r="E211" i="3"/>
  <c r="J211" i="3"/>
  <c r="L211" i="3" s="1"/>
  <c r="K211" i="3"/>
  <c r="M211" i="3" s="1"/>
  <c r="E212" i="3"/>
  <c r="J212" i="3"/>
  <c r="L212" i="3" s="1"/>
  <c r="K212" i="3"/>
  <c r="M212" i="3" s="1"/>
  <c r="E213" i="3"/>
  <c r="J213" i="3"/>
  <c r="L213" i="3" s="1"/>
  <c r="K213" i="3"/>
  <c r="M213" i="3" s="1"/>
  <c r="E214" i="3"/>
  <c r="J214" i="3"/>
  <c r="L214" i="3" s="1"/>
  <c r="K214" i="3"/>
  <c r="M214" i="3" s="1"/>
  <c r="E215" i="3"/>
  <c r="J215" i="3"/>
  <c r="L215" i="3" s="1"/>
  <c r="K215" i="3"/>
  <c r="M215" i="3" s="1"/>
  <c r="E216" i="3"/>
  <c r="J216" i="3"/>
  <c r="L216" i="3" s="1"/>
  <c r="K216" i="3"/>
  <c r="M216" i="3" s="1"/>
  <c r="E217" i="3"/>
  <c r="J217" i="3"/>
  <c r="L217" i="3" s="1"/>
  <c r="K217" i="3"/>
  <c r="M217" i="3" s="1"/>
  <c r="E218" i="3"/>
  <c r="J218" i="3"/>
  <c r="L218" i="3" s="1"/>
  <c r="K218" i="3"/>
  <c r="M218" i="3" s="1"/>
  <c r="E219" i="3"/>
  <c r="J219" i="3"/>
  <c r="L219" i="3" s="1"/>
  <c r="K219" i="3"/>
  <c r="M219" i="3" s="1"/>
  <c r="E220" i="3"/>
  <c r="J220" i="3"/>
  <c r="L220" i="3" s="1"/>
  <c r="K220" i="3"/>
  <c r="M220" i="3" s="1"/>
  <c r="E221" i="3"/>
  <c r="J221" i="3"/>
  <c r="L221" i="3" s="1"/>
  <c r="K221" i="3"/>
  <c r="M221" i="3" s="1"/>
  <c r="E222" i="3"/>
  <c r="J222" i="3"/>
  <c r="L222" i="3" s="1"/>
  <c r="K222" i="3"/>
  <c r="M222" i="3" s="1"/>
  <c r="E223" i="3"/>
  <c r="J223" i="3"/>
  <c r="L223" i="3" s="1"/>
  <c r="K223" i="3"/>
  <c r="M223" i="3" s="1"/>
  <c r="E224" i="3"/>
  <c r="J224" i="3"/>
  <c r="L224" i="3" s="1"/>
  <c r="K224" i="3"/>
  <c r="M224" i="3" s="1"/>
  <c r="E225" i="3"/>
  <c r="J225" i="3"/>
  <c r="L225" i="3" s="1"/>
  <c r="K225" i="3"/>
  <c r="M225" i="3" s="1"/>
  <c r="E226" i="3"/>
  <c r="J226" i="3"/>
  <c r="L226" i="3" s="1"/>
  <c r="K226" i="3"/>
  <c r="M226" i="3" s="1"/>
  <c r="E227" i="3"/>
  <c r="J227" i="3"/>
  <c r="L227" i="3" s="1"/>
  <c r="K227" i="3"/>
  <c r="M227" i="3" s="1"/>
  <c r="E228" i="3"/>
  <c r="J228" i="3"/>
  <c r="L228" i="3" s="1"/>
  <c r="K228" i="3"/>
  <c r="M228" i="3" s="1"/>
  <c r="E229" i="3"/>
  <c r="J229" i="3"/>
  <c r="L229" i="3" s="1"/>
  <c r="K229" i="3"/>
  <c r="M229" i="3" s="1"/>
  <c r="E230" i="3"/>
  <c r="J230" i="3"/>
  <c r="L230" i="3" s="1"/>
  <c r="K230" i="3"/>
  <c r="M230" i="3" s="1"/>
  <c r="E231" i="3"/>
  <c r="J231" i="3"/>
  <c r="L231" i="3" s="1"/>
  <c r="K231" i="3"/>
  <c r="M231" i="3" s="1"/>
  <c r="E232" i="3"/>
  <c r="J232" i="3"/>
  <c r="L232" i="3" s="1"/>
  <c r="K232" i="3"/>
  <c r="M232" i="3" s="1"/>
  <c r="E233" i="3"/>
  <c r="J233" i="3"/>
  <c r="L233" i="3" s="1"/>
  <c r="K233" i="3"/>
  <c r="M233" i="3" s="1"/>
  <c r="E234" i="3"/>
  <c r="J234" i="3"/>
  <c r="L234" i="3" s="1"/>
  <c r="K234" i="3"/>
  <c r="M234" i="3" s="1"/>
  <c r="E235" i="3"/>
  <c r="J235" i="3"/>
  <c r="L235" i="3" s="1"/>
  <c r="K235" i="3"/>
  <c r="M235" i="3" s="1"/>
  <c r="E236" i="3"/>
  <c r="J236" i="3"/>
  <c r="L236" i="3" s="1"/>
  <c r="K236" i="3"/>
  <c r="M236" i="3" s="1"/>
  <c r="E237" i="3"/>
  <c r="J237" i="3"/>
  <c r="L237" i="3" s="1"/>
  <c r="K237" i="3"/>
  <c r="M237" i="3" s="1"/>
  <c r="E238" i="3"/>
  <c r="J238" i="3"/>
  <c r="L238" i="3" s="1"/>
  <c r="K238" i="3"/>
  <c r="M238" i="3" s="1"/>
  <c r="E239" i="3"/>
  <c r="J239" i="3"/>
  <c r="L239" i="3" s="1"/>
  <c r="K239" i="3"/>
  <c r="M239" i="3" s="1"/>
  <c r="E240" i="3"/>
  <c r="J240" i="3"/>
  <c r="L240" i="3" s="1"/>
  <c r="K240" i="3"/>
  <c r="M240" i="3" s="1"/>
  <c r="E241" i="3"/>
  <c r="J241" i="3"/>
  <c r="L241" i="3" s="1"/>
  <c r="K241" i="3"/>
  <c r="M241" i="3" s="1"/>
  <c r="E242" i="3"/>
  <c r="J242" i="3"/>
  <c r="L242" i="3" s="1"/>
  <c r="K242" i="3"/>
  <c r="M242" i="3" s="1"/>
  <c r="E243" i="3"/>
  <c r="J243" i="3"/>
  <c r="L243" i="3" s="1"/>
  <c r="K243" i="3"/>
  <c r="M243" i="3" s="1"/>
  <c r="E244" i="3"/>
  <c r="J244" i="3"/>
  <c r="L244" i="3" s="1"/>
  <c r="K244" i="3"/>
  <c r="M244" i="3" s="1"/>
  <c r="E245" i="3"/>
  <c r="J245" i="3"/>
  <c r="L245" i="3" s="1"/>
  <c r="K245" i="3"/>
  <c r="M245" i="3" s="1"/>
  <c r="E246" i="3"/>
  <c r="J246" i="3"/>
  <c r="L246" i="3" s="1"/>
  <c r="K246" i="3"/>
  <c r="M246" i="3" s="1"/>
  <c r="E247" i="3"/>
  <c r="J247" i="3"/>
  <c r="L247" i="3" s="1"/>
  <c r="K247" i="3"/>
  <c r="M247" i="3" s="1"/>
  <c r="E248" i="3"/>
  <c r="J248" i="3"/>
  <c r="L248" i="3" s="1"/>
  <c r="K248" i="3"/>
  <c r="M248" i="3" s="1"/>
  <c r="E249" i="3"/>
  <c r="J249" i="3"/>
  <c r="L249" i="3" s="1"/>
  <c r="K249" i="3"/>
  <c r="M249" i="3" s="1"/>
  <c r="E250" i="3"/>
  <c r="J250" i="3"/>
  <c r="L250" i="3" s="1"/>
  <c r="K250" i="3"/>
  <c r="M250" i="3" s="1"/>
  <c r="E251" i="3"/>
  <c r="J251" i="3"/>
  <c r="L251" i="3" s="1"/>
  <c r="K251" i="3"/>
  <c r="M251" i="3" s="1"/>
  <c r="E252" i="3"/>
  <c r="J252" i="3"/>
  <c r="L252" i="3" s="1"/>
  <c r="K252" i="3"/>
  <c r="M252" i="3" s="1"/>
  <c r="E253" i="3"/>
  <c r="J253" i="3"/>
  <c r="L253" i="3" s="1"/>
  <c r="K253" i="3"/>
  <c r="M253" i="3" s="1"/>
  <c r="E254" i="3"/>
  <c r="J254" i="3"/>
  <c r="L254" i="3" s="1"/>
  <c r="K254" i="3"/>
  <c r="M254" i="3" s="1"/>
  <c r="E255" i="3"/>
  <c r="J255" i="3"/>
  <c r="L255" i="3" s="1"/>
  <c r="K255" i="3"/>
  <c r="M255" i="3" s="1"/>
  <c r="E256" i="3"/>
  <c r="J256" i="3"/>
  <c r="L256" i="3" s="1"/>
  <c r="K256" i="3"/>
  <c r="M256" i="3" s="1"/>
  <c r="E257" i="3"/>
  <c r="J257" i="3"/>
  <c r="L257" i="3" s="1"/>
  <c r="K257" i="3"/>
  <c r="M257" i="3" s="1"/>
  <c r="E258" i="3"/>
  <c r="J258" i="3"/>
  <c r="L258" i="3" s="1"/>
  <c r="K258" i="3"/>
  <c r="M258" i="3" s="1"/>
  <c r="E259" i="3"/>
  <c r="J259" i="3"/>
  <c r="L259" i="3" s="1"/>
  <c r="K259" i="3"/>
  <c r="M259" i="3" s="1"/>
  <c r="E260" i="3"/>
  <c r="J260" i="3"/>
  <c r="L260" i="3" s="1"/>
  <c r="K260" i="3"/>
  <c r="M260" i="3" s="1"/>
  <c r="E261" i="3"/>
  <c r="J261" i="3"/>
  <c r="L261" i="3" s="1"/>
  <c r="K261" i="3"/>
  <c r="M261" i="3" s="1"/>
  <c r="E262" i="3"/>
  <c r="J262" i="3"/>
  <c r="L262" i="3" s="1"/>
  <c r="K262" i="3"/>
  <c r="M262" i="3" s="1"/>
  <c r="E263" i="3"/>
  <c r="J263" i="3"/>
  <c r="L263" i="3" s="1"/>
  <c r="K263" i="3"/>
  <c r="M263" i="3" s="1"/>
  <c r="E264" i="3"/>
  <c r="J264" i="3"/>
  <c r="L264" i="3" s="1"/>
  <c r="K264" i="3"/>
  <c r="M264" i="3" s="1"/>
  <c r="E265" i="3"/>
  <c r="J265" i="3"/>
  <c r="L265" i="3" s="1"/>
  <c r="K265" i="3"/>
  <c r="M265" i="3" s="1"/>
  <c r="E266" i="3"/>
  <c r="J266" i="3"/>
  <c r="L266" i="3" s="1"/>
  <c r="K266" i="3"/>
  <c r="M266" i="3" s="1"/>
  <c r="E267" i="3"/>
  <c r="J267" i="3"/>
  <c r="L267" i="3" s="1"/>
  <c r="K267" i="3"/>
  <c r="M267" i="3" s="1"/>
  <c r="E268" i="3"/>
  <c r="J268" i="3"/>
  <c r="L268" i="3" s="1"/>
  <c r="K268" i="3"/>
  <c r="M268" i="3" s="1"/>
  <c r="E269" i="3"/>
  <c r="J269" i="3"/>
  <c r="L269" i="3" s="1"/>
  <c r="K269" i="3"/>
  <c r="M269" i="3" s="1"/>
  <c r="E270" i="3"/>
  <c r="J270" i="3"/>
  <c r="L270" i="3" s="1"/>
  <c r="K270" i="3"/>
  <c r="M270" i="3" s="1"/>
  <c r="E271" i="3"/>
  <c r="J271" i="3"/>
  <c r="L271" i="3" s="1"/>
  <c r="K271" i="3"/>
  <c r="M271" i="3" s="1"/>
  <c r="E272" i="3"/>
  <c r="J272" i="3"/>
  <c r="L272" i="3" s="1"/>
  <c r="K272" i="3"/>
  <c r="M272" i="3" s="1"/>
  <c r="E273" i="3"/>
  <c r="J273" i="3"/>
  <c r="L273" i="3" s="1"/>
  <c r="K273" i="3"/>
  <c r="M273" i="3" s="1"/>
  <c r="E274" i="3"/>
  <c r="J274" i="3"/>
  <c r="L274" i="3" s="1"/>
  <c r="K274" i="3"/>
  <c r="M274" i="3" s="1"/>
  <c r="E275" i="3"/>
  <c r="J275" i="3"/>
  <c r="L275" i="3" s="1"/>
  <c r="K275" i="3"/>
  <c r="M275" i="3" s="1"/>
  <c r="E276" i="3"/>
  <c r="J276" i="3"/>
  <c r="L276" i="3" s="1"/>
  <c r="K276" i="3"/>
  <c r="M276" i="3" s="1"/>
  <c r="E277" i="3"/>
  <c r="J277" i="3"/>
  <c r="L277" i="3" s="1"/>
  <c r="K277" i="3"/>
  <c r="M277" i="3" s="1"/>
  <c r="E278" i="3"/>
  <c r="J278" i="3"/>
  <c r="L278" i="3" s="1"/>
  <c r="K278" i="3"/>
  <c r="M278" i="3" s="1"/>
  <c r="E279" i="3"/>
  <c r="J279" i="3"/>
  <c r="L279" i="3" s="1"/>
  <c r="K279" i="3"/>
  <c r="M279" i="3" s="1"/>
  <c r="E280" i="3"/>
  <c r="J280" i="3"/>
  <c r="L280" i="3" s="1"/>
  <c r="K280" i="3"/>
  <c r="M280" i="3" s="1"/>
  <c r="E281" i="3"/>
  <c r="J281" i="3"/>
  <c r="L281" i="3" s="1"/>
  <c r="K281" i="3"/>
  <c r="M281" i="3" s="1"/>
  <c r="E282" i="3"/>
  <c r="J282" i="3"/>
  <c r="L282" i="3" s="1"/>
  <c r="K282" i="3"/>
  <c r="M282" i="3" s="1"/>
  <c r="E283" i="3"/>
  <c r="J283" i="3"/>
  <c r="L283" i="3" s="1"/>
  <c r="K283" i="3"/>
  <c r="M283" i="3" s="1"/>
  <c r="H133" i="25"/>
  <c r="E269" i="25" s="1"/>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D76" i="18"/>
  <c r="I119" i="18"/>
  <c r="I120" i="18"/>
  <c r="I121" i="18"/>
  <c r="I122" i="18"/>
  <c r="F76" i="18"/>
  <c r="K178" i="57"/>
  <c r="K179" i="57"/>
  <c r="K180" i="57"/>
  <c r="K181" i="57"/>
  <c r="K182" i="57"/>
  <c r="J39" i="57"/>
  <c r="J38" i="57"/>
  <c r="E136" i="57"/>
  <c r="X136" i="57" s="1"/>
  <c r="E137" i="57"/>
  <c r="X137" i="57" s="1"/>
  <c r="E138" i="57"/>
  <c r="X138" i="57" s="1"/>
  <c r="E139" i="57"/>
  <c r="X139" i="57" s="1"/>
  <c r="E140" i="57"/>
  <c r="X140" i="57" s="1"/>
  <c r="E141" i="57"/>
  <c r="X141" i="57" s="1"/>
  <c r="E142" i="57"/>
  <c r="E143" i="57"/>
  <c r="E144" i="57"/>
  <c r="E145" i="57"/>
  <c r="E146" i="57"/>
  <c r="E147" i="57"/>
  <c r="X147" i="57" s="1"/>
  <c r="E148" i="57"/>
  <c r="X148" i="57" s="1"/>
  <c r="E149" i="57"/>
  <c r="X149" i="57" s="1"/>
  <c r="E150" i="57"/>
  <c r="X150" i="57" s="1"/>
  <c r="E151" i="57"/>
  <c r="X151" i="57" s="1"/>
  <c r="E152" i="57"/>
  <c r="X152" i="57" s="1"/>
  <c r="E153" i="57"/>
  <c r="X153" i="57" s="1"/>
  <c r="E154" i="57"/>
  <c r="E155" i="57"/>
  <c r="E156" i="57"/>
  <c r="E157" i="57"/>
  <c r="E158" i="57"/>
  <c r="X158" i="57" s="1"/>
  <c r="E159" i="57"/>
  <c r="X159" i="57" s="1"/>
  <c r="E160" i="57"/>
  <c r="X160" i="57" s="1"/>
  <c r="E161" i="57"/>
  <c r="X161" i="57" s="1"/>
  <c r="E162" i="57"/>
  <c r="X162" i="57" s="1"/>
  <c r="E163" i="57"/>
  <c r="X163" i="57" s="1"/>
  <c r="E164" i="57"/>
  <c r="X164" i="57" s="1"/>
  <c r="E165" i="57"/>
  <c r="X165" i="57" s="1"/>
  <c r="E166" i="57"/>
  <c r="X166" i="57" s="1"/>
  <c r="E167" i="57"/>
  <c r="X167" i="57" s="1"/>
  <c r="E168" i="57"/>
  <c r="E169" i="57"/>
  <c r="E170" i="57"/>
  <c r="X170" i="57" s="1"/>
  <c r="E171" i="57"/>
  <c r="X171" i="57" s="1"/>
  <c r="E172" i="57"/>
  <c r="X172" i="57" s="1"/>
  <c r="E173" i="57"/>
  <c r="X173" i="57" s="1"/>
  <c r="E174" i="57"/>
  <c r="X174" i="57" s="1"/>
  <c r="E175" i="57"/>
  <c r="E176" i="57"/>
  <c r="E177" i="57"/>
  <c r="X177" i="57" s="1"/>
  <c r="E178" i="57"/>
  <c r="X178" i="57" s="1"/>
  <c r="E179" i="57"/>
  <c r="X179" i="57" s="1"/>
  <c r="E180" i="57"/>
  <c r="E181" i="57"/>
  <c r="E182" i="57"/>
  <c r="E183" i="57"/>
  <c r="X183" i="57" s="1"/>
  <c r="E184" i="57"/>
  <c r="X184" i="57" s="1"/>
  <c r="E185" i="57"/>
  <c r="X185" i="57" s="1"/>
  <c r="E186" i="57"/>
  <c r="X186" i="57" s="1"/>
  <c r="E187" i="57"/>
  <c r="E188" i="57"/>
  <c r="X188" i="57" s="1"/>
  <c r="E189" i="57"/>
  <c r="X189" i="57" s="1"/>
  <c r="E190" i="57"/>
  <c r="X190" i="57" s="1"/>
  <c r="E191" i="57"/>
  <c r="E192" i="57"/>
  <c r="E193" i="57"/>
  <c r="E194" i="57"/>
  <c r="E195" i="57"/>
  <c r="X195" i="57" s="1"/>
  <c r="E196" i="57"/>
  <c r="X196" i="57" s="1"/>
  <c r="E197" i="57"/>
  <c r="X197" i="57" s="1"/>
  <c r="E198" i="57"/>
  <c r="X198" i="57" s="1"/>
  <c r="E199" i="57"/>
  <c r="X199" i="57" s="1"/>
  <c r="E200" i="57"/>
  <c r="X200" i="57" s="1"/>
  <c r="E201" i="57"/>
  <c r="X201" i="57" s="1"/>
  <c r="E202" i="57"/>
  <c r="X202" i="57" s="1"/>
  <c r="E203" i="57"/>
  <c r="X203" i="57" s="1"/>
  <c r="E204" i="57"/>
  <c r="E205" i="57"/>
  <c r="E206" i="57"/>
  <c r="E207" i="57"/>
  <c r="X207" i="57" s="1"/>
  <c r="E109" i="57"/>
  <c r="X109" i="57" s="1"/>
  <c r="E110" i="57"/>
  <c r="X110" i="57" s="1"/>
  <c r="E111" i="57"/>
  <c r="X111" i="57" s="1"/>
  <c r="E112" i="57"/>
  <c r="X112" i="57" s="1"/>
  <c r="E113" i="57"/>
  <c r="X113" i="57" s="1"/>
  <c r="E114" i="57"/>
  <c r="X114" i="57" s="1"/>
  <c r="E115" i="57"/>
  <c r="X115" i="57" s="1"/>
  <c r="E116" i="57"/>
  <c r="E117" i="57"/>
  <c r="E118" i="57"/>
  <c r="X118" i="57" s="1"/>
  <c r="E119" i="57"/>
  <c r="X119" i="57" s="1"/>
  <c r="E120" i="57"/>
  <c r="E121" i="57"/>
  <c r="X121" i="57" s="1"/>
  <c r="E122" i="57"/>
  <c r="X122" i="57" s="1"/>
  <c r="E123" i="57"/>
  <c r="E124" i="57"/>
  <c r="E125" i="57"/>
  <c r="E126" i="57"/>
  <c r="E127" i="57"/>
  <c r="E128" i="57"/>
  <c r="E129" i="57"/>
  <c r="X129" i="57" s="1"/>
  <c r="E130" i="57"/>
  <c r="X130" i="57" s="1"/>
  <c r="E131" i="57"/>
  <c r="E132" i="57"/>
  <c r="X132" i="57" s="1"/>
  <c r="E133" i="57"/>
  <c r="X133" i="57" s="1"/>
  <c r="E134" i="57"/>
  <c r="E135" i="57"/>
  <c r="E108" i="57"/>
  <c r="X108" i="57" s="1"/>
  <c r="G55" i="57"/>
  <c r="G59" i="57" s="1"/>
  <c r="G56" i="57"/>
  <c r="G57" i="57"/>
  <c r="G54" i="57"/>
  <c r="H54" i="57" s="1"/>
  <c r="H51" i="57"/>
  <c r="H52" i="57"/>
  <c r="H53" i="57"/>
  <c r="H50" i="57"/>
  <c r="B199" i="57"/>
  <c r="C199" i="57"/>
  <c r="D199" i="57"/>
  <c r="F199" i="57"/>
  <c r="H199" i="57"/>
  <c r="I199" i="57"/>
  <c r="K199" i="57"/>
  <c r="L199" i="57"/>
  <c r="M199" i="57"/>
  <c r="N199" i="57"/>
  <c r="O199" i="57"/>
  <c r="B200" i="57"/>
  <c r="C200" i="57"/>
  <c r="D200" i="57"/>
  <c r="F200" i="57"/>
  <c r="H200" i="57"/>
  <c r="I200" i="57"/>
  <c r="K200" i="57"/>
  <c r="L200" i="57"/>
  <c r="M200" i="57"/>
  <c r="N200" i="57"/>
  <c r="O200" i="57"/>
  <c r="B201" i="57"/>
  <c r="C201" i="57"/>
  <c r="D201" i="57"/>
  <c r="F201" i="57"/>
  <c r="H201" i="57"/>
  <c r="I201" i="57"/>
  <c r="K201" i="57"/>
  <c r="L201" i="57"/>
  <c r="M201" i="57"/>
  <c r="N201" i="57"/>
  <c r="O201" i="57"/>
  <c r="B202" i="57"/>
  <c r="C202" i="57"/>
  <c r="D202" i="57"/>
  <c r="F202" i="57"/>
  <c r="H202" i="57"/>
  <c r="I202" i="57"/>
  <c r="K202" i="57"/>
  <c r="L202" i="57"/>
  <c r="M202" i="57"/>
  <c r="N202" i="57"/>
  <c r="O202" i="57"/>
  <c r="B203" i="57"/>
  <c r="C203" i="57"/>
  <c r="D203" i="57"/>
  <c r="F203" i="57"/>
  <c r="H203" i="57"/>
  <c r="I203" i="57"/>
  <c r="K203" i="57"/>
  <c r="L203" i="57"/>
  <c r="M203" i="57"/>
  <c r="N203" i="57"/>
  <c r="O203" i="57"/>
  <c r="B204" i="57"/>
  <c r="C204" i="57"/>
  <c r="D204" i="57"/>
  <c r="F204" i="57"/>
  <c r="H204" i="57"/>
  <c r="I204" i="57"/>
  <c r="K204" i="57"/>
  <c r="L204" i="57"/>
  <c r="M204" i="57"/>
  <c r="N204" i="57"/>
  <c r="O204" i="57"/>
  <c r="B205" i="57"/>
  <c r="C205" i="57"/>
  <c r="D205" i="57"/>
  <c r="F205" i="57"/>
  <c r="H205" i="57"/>
  <c r="I205" i="57"/>
  <c r="K205" i="57"/>
  <c r="L205" i="57"/>
  <c r="M205" i="57"/>
  <c r="N205" i="57"/>
  <c r="O205" i="57"/>
  <c r="B206" i="57"/>
  <c r="C206" i="57"/>
  <c r="D206" i="57"/>
  <c r="F206" i="57"/>
  <c r="H206" i="57"/>
  <c r="I206" i="57"/>
  <c r="K206" i="57"/>
  <c r="L206" i="57"/>
  <c r="M206" i="57"/>
  <c r="N206" i="57"/>
  <c r="O206" i="57"/>
  <c r="B207" i="57"/>
  <c r="C207" i="57"/>
  <c r="D207" i="57"/>
  <c r="F207" i="57"/>
  <c r="H207" i="57"/>
  <c r="I207" i="57"/>
  <c r="K207" i="57"/>
  <c r="L207" i="57"/>
  <c r="M207" i="57"/>
  <c r="N207" i="57"/>
  <c r="O207" i="57"/>
  <c r="B153" i="57"/>
  <c r="C153" i="57"/>
  <c r="D153" i="57"/>
  <c r="F153" i="57"/>
  <c r="H153" i="57"/>
  <c r="I153" i="57"/>
  <c r="K153" i="57"/>
  <c r="L153" i="57"/>
  <c r="M153" i="57"/>
  <c r="N153" i="57"/>
  <c r="O153" i="57"/>
  <c r="B154" i="57"/>
  <c r="C154" i="57"/>
  <c r="D154" i="57"/>
  <c r="F154" i="57"/>
  <c r="H154" i="57"/>
  <c r="I154" i="57"/>
  <c r="K154" i="57"/>
  <c r="L154" i="57"/>
  <c r="M154" i="57"/>
  <c r="N154" i="57"/>
  <c r="O154" i="57"/>
  <c r="B155" i="57"/>
  <c r="C155" i="57"/>
  <c r="D155" i="57"/>
  <c r="F155" i="57"/>
  <c r="H155" i="57"/>
  <c r="I155" i="57"/>
  <c r="K155" i="57"/>
  <c r="L155" i="57"/>
  <c r="M155" i="57"/>
  <c r="N155" i="57"/>
  <c r="O155" i="57"/>
  <c r="B156" i="57"/>
  <c r="C156" i="57"/>
  <c r="D156" i="57"/>
  <c r="F156" i="57"/>
  <c r="H156" i="57"/>
  <c r="I156" i="57"/>
  <c r="K156" i="57"/>
  <c r="L156" i="57"/>
  <c r="M156" i="57"/>
  <c r="N156" i="57"/>
  <c r="O156" i="57"/>
  <c r="B157" i="57"/>
  <c r="C157" i="57"/>
  <c r="D157" i="57"/>
  <c r="F157" i="57"/>
  <c r="H157" i="57"/>
  <c r="I157" i="57"/>
  <c r="K157" i="57"/>
  <c r="L157" i="57"/>
  <c r="M157" i="57"/>
  <c r="N157" i="57"/>
  <c r="O157" i="57"/>
  <c r="B158" i="57"/>
  <c r="C158" i="57"/>
  <c r="D158" i="57"/>
  <c r="F158" i="57"/>
  <c r="H158" i="57"/>
  <c r="I158" i="57"/>
  <c r="K158" i="57"/>
  <c r="L158" i="57"/>
  <c r="M158" i="57"/>
  <c r="N158" i="57"/>
  <c r="O158" i="57"/>
  <c r="B159" i="57"/>
  <c r="C159" i="57"/>
  <c r="D159" i="57"/>
  <c r="F159" i="57"/>
  <c r="H159" i="57"/>
  <c r="I159" i="57"/>
  <c r="K159" i="57"/>
  <c r="L159" i="57"/>
  <c r="M159" i="57"/>
  <c r="N159" i="57"/>
  <c r="O159" i="57"/>
  <c r="B160" i="57"/>
  <c r="C160" i="57"/>
  <c r="D160" i="57"/>
  <c r="F160" i="57"/>
  <c r="H160" i="57"/>
  <c r="I160" i="57"/>
  <c r="K160" i="57"/>
  <c r="L160" i="57"/>
  <c r="M160" i="57"/>
  <c r="N160" i="57"/>
  <c r="O160" i="57"/>
  <c r="B161" i="57"/>
  <c r="C161" i="57"/>
  <c r="D161" i="57"/>
  <c r="F161" i="57"/>
  <c r="H161" i="57"/>
  <c r="I161" i="57"/>
  <c r="K161" i="57"/>
  <c r="L161" i="57"/>
  <c r="M161" i="57"/>
  <c r="N161" i="57"/>
  <c r="O161" i="57"/>
  <c r="B162" i="57"/>
  <c r="C162" i="57"/>
  <c r="D162" i="57"/>
  <c r="F162" i="57"/>
  <c r="H162" i="57"/>
  <c r="I162" i="57"/>
  <c r="K162" i="57"/>
  <c r="L162" i="57"/>
  <c r="M162" i="57"/>
  <c r="N162" i="57"/>
  <c r="O162" i="57"/>
  <c r="B163" i="57"/>
  <c r="C163" i="57"/>
  <c r="D163" i="57"/>
  <c r="F163" i="57"/>
  <c r="H163" i="57"/>
  <c r="I163" i="57"/>
  <c r="K163" i="57"/>
  <c r="L163" i="57"/>
  <c r="M163" i="57"/>
  <c r="N163" i="57"/>
  <c r="O163" i="57"/>
  <c r="B164" i="57"/>
  <c r="C164" i="57"/>
  <c r="D164" i="57"/>
  <c r="F164" i="57"/>
  <c r="H164" i="57"/>
  <c r="I164" i="57"/>
  <c r="K164" i="57"/>
  <c r="L164" i="57"/>
  <c r="M164" i="57"/>
  <c r="N164" i="57"/>
  <c r="O164" i="57"/>
  <c r="B165" i="57"/>
  <c r="C165" i="57"/>
  <c r="D165" i="57"/>
  <c r="F165" i="57"/>
  <c r="H165" i="57"/>
  <c r="I165" i="57"/>
  <c r="K165" i="57"/>
  <c r="L165" i="57"/>
  <c r="M165" i="57"/>
  <c r="N165" i="57"/>
  <c r="O165" i="57"/>
  <c r="B166" i="57"/>
  <c r="C166" i="57"/>
  <c r="D166" i="57"/>
  <c r="F166" i="57"/>
  <c r="H166" i="57"/>
  <c r="I166" i="57"/>
  <c r="K166" i="57"/>
  <c r="L166" i="57"/>
  <c r="M166" i="57"/>
  <c r="N166" i="57"/>
  <c r="O166" i="57"/>
  <c r="B167" i="57"/>
  <c r="C167" i="57"/>
  <c r="D167" i="57"/>
  <c r="F167" i="57"/>
  <c r="H167" i="57"/>
  <c r="I167" i="57"/>
  <c r="K167" i="57"/>
  <c r="L167" i="57"/>
  <c r="M167" i="57"/>
  <c r="N167" i="57"/>
  <c r="O167" i="57"/>
  <c r="B168" i="57"/>
  <c r="C168" i="57"/>
  <c r="D168" i="57"/>
  <c r="F168" i="57"/>
  <c r="H168" i="57"/>
  <c r="I168" i="57"/>
  <c r="K168" i="57"/>
  <c r="L168" i="57"/>
  <c r="M168" i="57"/>
  <c r="N168" i="57"/>
  <c r="O168" i="57"/>
  <c r="B169" i="57"/>
  <c r="C169" i="57"/>
  <c r="D169" i="57"/>
  <c r="F169" i="57"/>
  <c r="H169" i="57"/>
  <c r="I169" i="57"/>
  <c r="K169" i="57"/>
  <c r="L169" i="57"/>
  <c r="M169" i="57"/>
  <c r="N169" i="57"/>
  <c r="O169" i="57"/>
  <c r="B170" i="57"/>
  <c r="C170" i="57"/>
  <c r="D170" i="57"/>
  <c r="F170" i="57"/>
  <c r="H170" i="57"/>
  <c r="I170" i="57"/>
  <c r="K170" i="57"/>
  <c r="L170" i="57"/>
  <c r="M170" i="57"/>
  <c r="N170" i="57"/>
  <c r="O170" i="57"/>
  <c r="B171" i="57"/>
  <c r="C171" i="57"/>
  <c r="D171" i="57"/>
  <c r="F171" i="57"/>
  <c r="H171" i="57"/>
  <c r="I171" i="57"/>
  <c r="K171" i="57"/>
  <c r="L171" i="57"/>
  <c r="M171" i="57"/>
  <c r="N171" i="57"/>
  <c r="O171" i="57"/>
  <c r="B172" i="57"/>
  <c r="C172" i="57"/>
  <c r="D172" i="57"/>
  <c r="F172" i="57"/>
  <c r="H172" i="57"/>
  <c r="I172" i="57"/>
  <c r="K172" i="57"/>
  <c r="L172" i="57"/>
  <c r="M172" i="57"/>
  <c r="N172" i="57"/>
  <c r="O172" i="57"/>
  <c r="B173" i="57"/>
  <c r="C173" i="57"/>
  <c r="D173" i="57"/>
  <c r="F173" i="57"/>
  <c r="H173" i="57"/>
  <c r="I173" i="57"/>
  <c r="K173" i="57"/>
  <c r="L173" i="57"/>
  <c r="M173" i="57"/>
  <c r="N173" i="57"/>
  <c r="O173" i="57"/>
  <c r="B174" i="57"/>
  <c r="C174" i="57"/>
  <c r="D174" i="57"/>
  <c r="F174" i="57"/>
  <c r="H174" i="57"/>
  <c r="I174" i="57"/>
  <c r="K174" i="57"/>
  <c r="L174" i="57"/>
  <c r="M174" i="57"/>
  <c r="N174" i="57"/>
  <c r="O174" i="57"/>
  <c r="B175" i="57"/>
  <c r="C175" i="57"/>
  <c r="D175" i="57"/>
  <c r="F175" i="57"/>
  <c r="H175" i="57"/>
  <c r="I175" i="57"/>
  <c r="K175" i="57"/>
  <c r="L175" i="57"/>
  <c r="M175" i="57"/>
  <c r="N175" i="57"/>
  <c r="O175" i="57"/>
  <c r="B176" i="57"/>
  <c r="C176" i="57"/>
  <c r="D176" i="57"/>
  <c r="F176" i="57"/>
  <c r="H176" i="57"/>
  <c r="I176" i="57"/>
  <c r="K176" i="57"/>
  <c r="L176" i="57"/>
  <c r="M176" i="57"/>
  <c r="N176" i="57"/>
  <c r="O176" i="57"/>
  <c r="B177" i="57"/>
  <c r="C177" i="57"/>
  <c r="D177" i="57"/>
  <c r="F177" i="57"/>
  <c r="H177" i="57"/>
  <c r="I177" i="57"/>
  <c r="K177" i="57"/>
  <c r="L177" i="57"/>
  <c r="M177" i="57"/>
  <c r="N177" i="57"/>
  <c r="O177" i="57"/>
  <c r="B178" i="57"/>
  <c r="C178" i="57"/>
  <c r="D178" i="57"/>
  <c r="F178" i="57"/>
  <c r="H178" i="57"/>
  <c r="I178" i="57"/>
  <c r="L178" i="57"/>
  <c r="M178" i="57"/>
  <c r="N178" i="57"/>
  <c r="O178" i="57"/>
  <c r="B179" i="57"/>
  <c r="C179" i="57"/>
  <c r="D179" i="57"/>
  <c r="F179" i="57"/>
  <c r="H179" i="57"/>
  <c r="I179" i="57"/>
  <c r="L179" i="57"/>
  <c r="M179" i="57"/>
  <c r="N179" i="57"/>
  <c r="O179" i="57"/>
  <c r="B180" i="57"/>
  <c r="C180" i="57"/>
  <c r="D180" i="57"/>
  <c r="F180" i="57"/>
  <c r="H180" i="57"/>
  <c r="I180" i="57"/>
  <c r="L180" i="57"/>
  <c r="M180" i="57"/>
  <c r="N180" i="57"/>
  <c r="O180" i="57"/>
  <c r="B181" i="57"/>
  <c r="C181" i="57"/>
  <c r="D181" i="57"/>
  <c r="F181" i="57"/>
  <c r="H181" i="57"/>
  <c r="I181" i="57"/>
  <c r="L181" i="57"/>
  <c r="M181" i="57"/>
  <c r="N181" i="57"/>
  <c r="O181" i="57"/>
  <c r="B182" i="57"/>
  <c r="C182" i="57"/>
  <c r="D182" i="57"/>
  <c r="F182" i="57"/>
  <c r="H182" i="57"/>
  <c r="I182" i="57"/>
  <c r="L182" i="57"/>
  <c r="M182" i="57"/>
  <c r="N182" i="57"/>
  <c r="O182" i="57"/>
  <c r="B183" i="57"/>
  <c r="C183" i="57"/>
  <c r="D183" i="57"/>
  <c r="F183" i="57"/>
  <c r="H183" i="57"/>
  <c r="I183" i="57"/>
  <c r="K183" i="57"/>
  <c r="L183" i="57"/>
  <c r="M183" i="57"/>
  <c r="N183" i="57"/>
  <c r="O183" i="57"/>
  <c r="B184" i="57"/>
  <c r="C184" i="57"/>
  <c r="D184" i="57"/>
  <c r="F184" i="57"/>
  <c r="H184" i="57"/>
  <c r="I184" i="57"/>
  <c r="K184" i="57"/>
  <c r="L184" i="57"/>
  <c r="M184" i="57"/>
  <c r="N184" i="57"/>
  <c r="O184" i="57"/>
  <c r="B185" i="57"/>
  <c r="C185" i="57"/>
  <c r="D185" i="57"/>
  <c r="F185" i="57"/>
  <c r="H185" i="57"/>
  <c r="I185" i="57"/>
  <c r="K185" i="57"/>
  <c r="L185" i="57"/>
  <c r="M185" i="57"/>
  <c r="N185" i="57"/>
  <c r="O185" i="57"/>
  <c r="B186" i="57"/>
  <c r="C186" i="57"/>
  <c r="D186" i="57"/>
  <c r="F186" i="57"/>
  <c r="H186" i="57"/>
  <c r="I186" i="57"/>
  <c r="K186" i="57"/>
  <c r="L186" i="57"/>
  <c r="M186" i="57"/>
  <c r="N186" i="57"/>
  <c r="O186" i="57"/>
  <c r="B187" i="57"/>
  <c r="C187" i="57"/>
  <c r="D187" i="57"/>
  <c r="F187" i="57"/>
  <c r="H187" i="57"/>
  <c r="I187" i="57"/>
  <c r="K187" i="57"/>
  <c r="L187" i="57"/>
  <c r="M187" i="57"/>
  <c r="N187" i="57"/>
  <c r="O187" i="57"/>
  <c r="B188" i="57"/>
  <c r="C188" i="57"/>
  <c r="D188" i="57"/>
  <c r="F188" i="57"/>
  <c r="H188" i="57"/>
  <c r="I188" i="57"/>
  <c r="K188" i="57"/>
  <c r="L188" i="57"/>
  <c r="M188" i="57"/>
  <c r="N188" i="57"/>
  <c r="O188" i="57"/>
  <c r="B189" i="57"/>
  <c r="C189" i="57"/>
  <c r="D189" i="57"/>
  <c r="F189" i="57"/>
  <c r="H189" i="57"/>
  <c r="I189" i="57"/>
  <c r="K189" i="57"/>
  <c r="L189" i="57"/>
  <c r="M189" i="57"/>
  <c r="N189" i="57"/>
  <c r="O189" i="57"/>
  <c r="B190" i="57"/>
  <c r="C190" i="57"/>
  <c r="D190" i="57"/>
  <c r="F190" i="57"/>
  <c r="H190" i="57"/>
  <c r="I190" i="57"/>
  <c r="K190" i="57"/>
  <c r="L190" i="57"/>
  <c r="M190" i="57"/>
  <c r="N190" i="57"/>
  <c r="O190" i="57"/>
  <c r="B191" i="57"/>
  <c r="C191" i="57"/>
  <c r="D191" i="57"/>
  <c r="F191" i="57"/>
  <c r="H191" i="57"/>
  <c r="I191" i="57"/>
  <c r="K191" i="57"/>
  <c r="L191" i="57"/>
  <c r="M191" i="57"/>
  <c r="N191" i="57"/>
  <c r="O191" i="57"/>
  <c r="B192" i="57"/>
  <c r="C192" i="57"/>
  <c r="D192" i="57"/>
  <c r="F192" i="57"/>
  <c r="H192" i="57"/>
  <c r="I192" i="57"/>
  <c r="K192" i="57"/>
  <c r="L192" i="57"/>
  <c r="M192" i="57"/>
  <c r="N192" i="57"/>
  <c r="O192" i="57"/>
  <c r="B193" i="57"/>
  <c r="C193" i="57"/>
  <c r="D193" i="57"/>
  <c r="F193" i="57"/>
  <c r="H193" i="57"/>
  <c r="I193" i="57"/>
  <c r="K193" i="57"/>
  <c r="L193" i="57"/>
  <c r="M193" i="57"/>
  <c r="N193" i="57"/>
  <c r="O193" i="57"/>
  <c r="B194" i="57"/>
  <c r="C194" i="57"/>
  <c r="D194" i="57"/>
  <c r="F194" i="57"/>
  <c r="H194" i="57"/>
  <c r="I194" i="57"/>
  <c r="K194" i="57"/>
  <c r="L194" i="57"/>
  <c r="M194" i="57"/>
  <c r="N194" i="57"/>
  <c r="O194" i="57"/>
  <c r="B195" i="57"/>
  <c r="C195" i="57"/>
  <c r="D195" i="57"/>
  <c r="F195" i="57"/>
  <c r="H195" i="57"/>
  <c r="I195" i="57"/>
  <c r="K195" i="57"/>
  <c r="L195" i="57"/>
  <c r="M195" i="57"/>
  <c r="N195" i="57"/>
  <c r="O195" i="57"/>
  <c r="B196" i="57"/>
  <c r="C196" i="57"/>
  <c r="D196" i="57"/>
  <c r="F196" i="57"/>
  <c r="H196" i="57"/>
  <c r="I196" i="57"/>
  <c r="K196" i="57"/>
  <c r="L196" i="57"/>
  <c r="M196" i="57"/>
  <c r="N196" i="57"/>
  <c r="O196" i="57"/>
  <c r="B197" i="57"/>
  <c r="C197" i="57"/>
  <c r="D197" i="57"/>
  <c r="F197" i="57"/>
  <c r="H197" i="57"/>
  <c r="I197" i="57"/>
  <c r="K197" i="57"/>
  <c r="L197" i="57"/>
  <c r="M197" i="57"/>
  <c r="N197" i="57"/>
  <c r="O197" i="57"/>
  <c r="B198" i="57"/>
  <c r="C198" i="57"/>
  <c r="D198" i="57"/>
  <c r="F198" i="57"/>
  <c r="H198" i="57"/>
  <c r="I198" i="57"/>
  <c r="K198" i="57"/>
  <c r="L198" i="57"/>
  <c r="M198" i="57"/>
  <c r="N198" i="57"/>
  <c r="O198" i="57"/>
  <c r="B109" i="57"/>
  <c r="C109" i="57"/>
  <c r="D109" i="57"/>
  <c r="F109" i="57"/>
  <c r="H109" i="57"/>
  <c r="I109" i="57"/>
  <c r="K109" i="57"/>
  <c r="L109" i="57"/>
  <c r="M109" i="57"/>
  <c r="N109" i="57"/>
  <c r="O109" i="57"/>
  <c r="B110" i="57"/>
  <c r="C110" i="57"/>
  <c r="D110" i="57"/>
  <c r="F110" i="57"/>
  <c r="H110" i="57"/>
  <c r="I110" i="57"/>
  <c r="K110" i="57"/>
  <c r="L110" i="57"/>
  <c r="M110" i="57"/>
  <c r="N110" i="57"/>
  <c r="O110" i="57"/>
  <c r="B111" i="57"/>
  <c r="C111" i="57"/>
  <c r="D111" i="57"/>
  <c r="F111" i="57"/>
  <c r="H111" i="57"/>
  <c r="I111" i="57"/>
  <c r="K111" i="57"/>
  <c r="L111" i="57"/>
  <c r="M111" i="57"/>
  <c r="N111" i="57"/>
  <c r="O111" i="57"/>
  <c r="B112" i="57"/>
  <c r="C112" i="57"/>
  <c r="D112" i="57"/>
  <c r="F112" i="57"/>
  <c r="H112" i="57"/>
  <c r="I112" i="57"/>
  <c r="K112" i="57"/>
  <c r="L112" i="57"/>
  <c r="M112" i="57"/>
  <c r="N112" i="57"/>
  <c r="O112" i="57"/>
  <c r="B113" i="57"/>
  <c r="C113" i="57"/>
  <c r="D113" i="57"/>
  <c r="F113" i="57"/>
  <c r="H113" i="57"/>
  <c r="I113" i="57"/>
  <c r="K113" i="57"/>
  <c r="L113" i="57"/>
  <c r="M113" i="57"/>
  <c r="N113" i="57"/>
  <c r="O113" i="57"/>
  <c r="B114" i="57"/>
  <c r="C114" i="57"/>
  <c r="D114" i="57"/>
  <c r="F114" i="57"/>
  <c r="H114" i="57"/>
  <c r="I114" i="57"/>
  <c r="K114" i="57"/>
  <c r="L114" i="57"/>
  <c r="M114" i="57"/>
  <c r="N114" i="57"/>
  <c r="O114" i="57"/>
  <c r="B115" i="57"/>
  <c r="C115" i="57"/>
  <c r="D115" i="57"/>
  <c r="F115" i="57"/>
  <c r="H115" i="57"/>
  <c r="I115" i="57"/>
  <c r="K115" i="57"/>
  <c r="L115" i="57"/>
  <c r="M115" i="57"/>
  <c r="N115" i="57"/>
  <c r="O115" i="57"/>
  <c r="B116" i="57"/>
  <c r="C116" i="57"/>
  <c r="D116" i="57"/>
  <c r="F116" i="57"/>
  <c r="H116" i="57"/>
  <c r="I116" i="57"/>
  <c r="K116" i="57"/>
  <c r="L116" i="57"/>
  <c r="M116" i="57"/>
  <c r="N116" i="57"/>
  <c r="O116" i="57"/>
  <c r="B117" i="57"/>
  <c r="C117" i="57"/>
  <c r="D117" i="57"/>
  <c r="F117" i="57"/>
  <c r="H117" i="57"/>
  <c r="I117" i="57"/>
  <c r="K117" i="57"/>
  <c r="L117" i="57"/>
  <c r="M117" i="57"/>
  <c r="N117" i="57"/>
  <c r="O117" i="57"/>
  <c r="B118" i="57"/>
  <c r="C118" i="57"/>
  <c r="D118" i="57"/>
  <c r="F118" i="57"/>
  <c r="H118" i="57"/>
  <c r="I118" i="57"/>
  <c r="K118" i="57"/>
  <c r="L118" i="57"/>
  <c r="M118" i="57"/>
  <c r="N118" i="57"/>
  <c r="O118" i="57"/>
  <c r="B119" i="57"/>
  <c r="C119" i="57"/>
  <c r="D119" i="57"/>
  <c r="F119" i="57"/>
  <c r="H119" i="57"/>
  <c r="I119" i="57"/>
  <c r="K119" i="57"/>
  <c r="L119" i="57"/>
  <c r="M119" i="57"/>
  <c r="N119" i="57"/>
  <c r="O119" i="57"/>
  <c r="B120" i="57"/>
  <c r="C120" i="57"/>
  <c r="D120" i="57"/>
  <c r="F120" i="57"/>
  <c r="H120" i="57"/>
  <c r="I120" i="57"/>
  <c r="K120" i="57"/>
  <c r="L120" i="57"/>
  <c r="M120" i="57"/>
  <c r="N120" i="57"/>
  <c r="O120" i="57"/>
  <c r="B121" i="57"/>
  <c r="C121" i="57"/>
  <c r="D121" i="57"/>
  <c r="F121" i="57"/>
  <c r="H121" i="57"/>
  <c r="I121" i="57"/>
  <c r="K121" i="57"/>
  <c r="L121" i="57"/>
  <c r="M121" i="57"/>
  <c r="N121" i="57"/>
  <c r="O121" i="57"/>
  <c r="B122" i="57"/>
  <c r="C122" i="57"/>
  <c r="D122" i="57"/>
  <c r="F122" i="57"/>
  <c r="H122" i="57"/>
  <c r="I122" i="57"/>
  <c r="K122" i="57"/>
  <c r="L122" i="57"/>
  <c r="M122" i="57"/>
  <c r="N122" i="57"/>
  <c r="O122" i="57"/>
  <c r="B123" i="57"/>
  <c r="C123" i="57"/>
  <c r="D123" i="57"/>
  <c r="F123" i="57"/>
  <c r="H123" i="57"/>
  <c r="I123" i="57"/>
  <c r="K123" i="57"/>
  <c r="L123" i="57"/>
  <c r="M123" i="57"/>
  <c r="N123" i="57"/>
  <c r="O123" i="57"/>
  <c r="B124" i="57"/>
  <c r="C124" i="57"/>
  <c r="D124" i="57"/>
  <c r="F124" i="57"/>
  <c r="H124" i="57"/>
  <c r="I124" i="57"/>
  <c r="K124" i="57"/>
  <c r="L124" i="57"/>
  <c r="M124" i="57"/>
  <c r="N124" i="57"/>
  <c r="O124" i="57"/>
  <c r="B125" i="57"/>
  <c r="C125" i="57"/>
  <c r="D125" i="57"/>
  <c r="F125" i="57"/>
  <c r="H125" i="57"/>
  <c r="I125" i="57"/>
  <c r="K125" i="57"/>
  <c r="L125" i="57"/>
  <c r="M125" i="57"/>
  <c r="N125" i="57"/>
  <c r="O125" i="57"/>
  <c r="B126" i="57"/>
  <c r="C126" i="57"/>
  <c r="D126" i="57"/>
  <c r="F126" i="57"/>
  <c r="H126" i="57"/>
  <c r="I126" i="57"/>
  <c r="K126" i="57"/>
  <c r="L126" i="57"/>
  <c r="M126" i="57"/>
  <c r="N126" i="57"/>
  <c r="O126" i="57"/>
  <c r="B127" i="57"/>
  <c r="C127" i="57"/>
  <c r="D127" i="57"/>
  <c r="F127" i="57"/>
  <c r="H127" i="57"/>
  <c r="I127" i="57"/>
  <c r="K127" i="57"/>
  <c r="L127" i="57"/>
  <c r="M127" i="57"/>
  <c r="N127" i="57"/>
  <c r="O127" i="57"/>
  <c r="B128" i="57"/>
  <c r="C128" i="57"/>
  <c r="D128" i="57"/>
  <c r="F128" i="57"/>
  <c r="H128" i="57"/>
  <c r="I128" i="57"/>
  <c r="K128" i="57"/>
  <c r="L128" i="57"/>
  <c r="M128" i="57"/>
  <c r="N128" i="57"/>
  <c r="O128" i="57"/>
  <c r="B129" i="57"/>
  <c r="C129" i="57"/>
  <c r="D129" i="57"/>
  <c r="F129" i="57"/>
  <c r="H129" i="57"/>
  <c r="I129" i="57"/>
  <c r="K129" i="57"/>
  <c r="L129" i="57"/>
  <c r="M129" i="57"/>
  <c r="N129" i="57"/>
  <c r="O129" i="57"/>
  <c r="B130" i="57"/>
  <c r="C130" i="57"/>
  <c r="D130" i="57"/>
  <c r="F130" i="57"/>
  <c r="H130" i="57"/>
  <c r="I130" i="57"/>
  <c r="K130" i="57"/>
  <c r="L130" i="57"/>
  <c r="M130" i="57"/>
  <c r="N130" i="57"/>
  <c r="O130" i="57"/>
  <c r="B131" i="57"/>
  <c r="C131" i="57"/>
  <c r="D131" i="57"/>
  <c r="F131" i="57"/>
  <c r="H131" i="57"/>
  <c r="I131" i="57"/>
  <c r="K131" i="57"/>
  <c r="L131" i="57"/>
  <c r="M131" i="57"/>
  <c r="N131" i="57"/>
  <c r="O131" i="57"/>
  <c r="B132" i="57"/>
  <c r="C132" i="57"/>
  <c r="D132" i="57"/>
  <c r="F132" i="57"/>
  <c r="H132" i="57"/>
  <c r="I132" i="57"/>
  <c r="K132" i="57"/>
  <c r="L132" i="57"/>
  <c r="M132" i="57"/>
  <c r="N132" i="57"/>
  <c r="O132" i="57"/>
  <c r="B133" i="57"/>
  <c r="C133" i="57"/>
  <c r="D133" i="57"/>
  <c r="F133" i="57"/>
  <c r="H133" i="57"/>
  <c r="I133" i="57"/>
  <c r="K133" i="57"/>
  <c r="L133" i="57"/>
  <c r="M133" i="57"/>
  <c r="N133" i="57"/>
  <c r="O133" i="57"/>
  <c r="B134" i="57"/>
  <c r="C134" i="57"/>
  <c r="D134" i="57"/>
  <c r="F134" i="57"/>
  <c r="H134" i="57"/>
  <c r="I134" i="57"/>
  <c r="K134" i="57"/>
  <c r="L134" i="57"/>
  <c r="M134" i="57"/>
  <c r="N134" i="57"/>
  <c r="O134" i="57"/>
  <c r="B135" i="57"/>
  <c r="C135" i="57"/>
  <c r="D135" i="57"/>
  <c r="F135" i="57"/>
  <c r="H135" i="57"/>
  <c r="I135" i="57"/>
  <c r="K135" i="57"/>
  <c r="L135" i="57"/>
  <c r="M135" i="57"/>
  <c r="N135" i="57"/>
  <c r="O135" i="57"/>
  <c r="B136" i="57"/>
  <c r="C136" i="57"/>
  <c r="D136" i="57"/>
  <c r="F136" i="57"/>
  <c r="H136" i="57"/>
  <c r="I136" i="57"/>
  <c r="K136" i="57"/>
  <c r="L136" i="57"/>
  <c r="M136" i="57"/>
  <c r="N136" i="57"/>
  <c r="O136" i="57"/>
  <c r="B137" i="57"/>
  <c r="C137" i="57"/>
  <c r="D137" i="57"/>
  <c r="F137" i="57"/>
  <c r="H137" i="57"/>
  <c r="I137" i="57"/>
  <c r="K137" i="57"/>
  <c r="L137" i="57"/>
  <c r="M137" i="57"/>
  <c r="N137" i="57"/>
  <c r="O137" i="57"/>
  <c r="B138" i="57"/>
  <c r="C138" i="57"/>
  <c r="D138" i="57"/>
  <c r="F138" i="57"/>
  <c r="H138" i="57"/>
  <c r="I138" i="57"/>
  <c r="K138" i="57"/>
  <c r="L138" i="57"/>
  <c r="M138" i="57"/>
  <c r="N138" i="57"/>
  <c r="O138" i="57"/>
  <c r="B139" i="57"/>
  <c r="C139" i="57"/>
  <c r="D139" i="57"/>
  <c r="F139" i="57"/>
  <c r="H139" i="57"/>
  <c r="I139" i="57"/>
  <c r="K139" i="57"/>
  <c r="L139" i="57"/>
  <c r="M139" i="57"/>
  <c r="N139" i="57"/>
  <c r="O139" i="57"/>
  <c r="B140" i="57"/>
  <c r="C140" i="57"/>
  <c r="D140" i="57"/>
  <c r="F140" i="57"/>
  <c r="H140" i="57"/>
  <c r="I140" i="57"/>
  <c r="K140" i="57"/>
  <c r="L140" i="57"/>
  <c r="M140" i="57"/>
  <c r="N140" i="57"/>
  <c r="O140" i="57"/>
  <c r="B141" i="57"/>
  <c r="C141" i="57"/>
  <c r="D141" i="57"/>
  <c r="F141" i="57"/>
  <c r="H141" i="57"/>
  <c r="I141" i="57"/>
  <c r="K141" i="57"/>
  <c r="L141" i="57"/>
  <c r="M141" i="57"/>
  <c r="N141" i="57"/>
  <c r="O141" i="57"/>
  <c r="B142" i="57"/>
  <c r="C142" i="57"/>
  <c r="D142" i="57"/>
  <c r="F142" i="57"/>
  <c r="H142" i="57"/>
  <c r="I142" i="57"/>
  <c r="K142" i="57"/>
  <c r="L142" i="57"/>
  <c r="M142" i="57"/>
  <c r="N142" i="57"/>
  <c r="O142" i="57"/>
  <c r="B143" i="57"/>
  <c r="C143" i="57"/>
  <c r="D143" i="57"/>
  <c r="F143" i="57"/>
  <c r="H143" i="57"/>
  <c r="I143" i="57"/>
  <c r="K143" i="57"/>
  <c r="L143" i="57"/>
  <c r="M143" i="57"/>
  <c r="N143" i="57"/>
  <c r="O143" i="57"/>
  <c r="B144" i="57"/>
  <c r="C144" i="57"/>
  <c r="D144" i="57"/>
  <c r="F144" i="57"/>
  <c r="H144" i="57"/>
  <c r="I144" i="57"/>
  <c r="K144" i="57"/>
  <c r="L144" i="57"/>
  <c r="M144" i="57"/>
  <c r="N144" i="57"/>
  <c r="O144" i="57"/>
  <c r="B145" i="57"/>
  <c r="C145" i="57"/>
  <c r="D145" i="57"/>
  <c r="F145" i="57"/>
  <c r="H145" i="57"/>
  <c r="I145" i="57"/>
  <c r="K145" i="57"/>
  <c r="L145" i="57"/>
  <c r="M145" i="57"/>
  <c r="N145" i="57"/>
  <c r="O145" i="57"/>
  <c r="B146" i="57"/>
  <c r="C146" i="57"/>
  <c r="D146" i="57"/>
  <c r="F146" i="57"/>
  <c r="H146" i="57"/>
  <c r="I146" i="57"/>
  <c r="K146" i="57"/>
  <c r="L146" i="57"/>
  <c r="M146" i="57"/>
  <c r="N146" i="57"/>
  <c r="O146" i="57"/>
  <c r="B147" i="57"/>
  <c r="C147" i="57"/>
  <c r="D147" i="57"/>
  <c r="F147" i="57"/>
  <c r="H147" i="57"/>
  <c r="I147" i="57"/>
  <c r="K147" i="57"/>
  <c r="L147" i="57"/>
  <c r="M147" i="57"/>
  <c r="N147" i="57"/>
  <c r="O147" i="57"/>
  <c r="B148" i="57"/>
  <c r="C148" i="57"/>
  <c r="D148" i="57"/>
  <c r="F148" i="57"/>
  <c r="H148" i="57"/>
  <c r="I148" i="57"/>
  <c r="K148" i="57"/>
  <c r="L148" i="57"/>
  <c r="M148" i="57"/>
  <c r="N148" i="57"/>
  <c r="O148" i="57"/>
  <c r="B149" i="57"/>
  <c r="C149" i="57"/>
  <c r="D149" i="57"/>
  <c r="F149" i="57"/>
  <c r="H149" i="57"/>
  <c r="I149" i="57"/>
  <c r="K149" i="57"/>
  <c r="L149" i="57"/>
  <c r="M149" i="57"/>
  <c r="N149" i="57"/>
  <c r="O149" i="57"/>
  <c r="B150" i="57"/>
  <c r="C150" i="57"/>
  <c r="D150" i="57"/>
  <c r="F150" i="57"/>
  <c r="H150" i="57"/>
  <c r="I150" i="57"/>
  <c r="K150" i="57"/>
  <c r="L150" i="57"/>
  <c r="M150" i="57"/>
  <c r="N150" i="57"/>
  <c r="O150" i="57"/>
  <c r="B151" i="57"/>
  <c r="C151" i="57"/>
  <c r="D151" i="57"/>
  <c r="F151" i="57"/>
  <c r="H151" i="57"/>
  <c r="I151" i="57"/>
  <c r="K151" i="57"/>
  <c r="L151" i="57"/>
  <c r="M151" i="57"/>
  <c r="N151" i="57"/>
  <c r="O151" i="57"/>
  <c r="B152" i="57"/>
  <c r="C152" i="57"/>
  <c r="D152" i="57"/>
  <c r="F152" i="57"/>
  <c r="H152" i="57"/>
  <c r="I152" i="57"/>
  <c r="K152" i="57"/>
  <c r="L152" i="57"/>
  <c r="M152" i="57"/>
  <c r="N152" i="57"/>
  <c r="O152" i="57"/>
  <c r="C108" i="57"/>
  <c r="D108" i="57"/>
  <c r="F108" i="57"/>
  <c r="H108" i="57"/>
  <c r="I108" i="57"/>
  <c r="K108" i="57"/>
  <c r="L108" i="57"/>
  <c r="M108" i="57"/>
  <c r="N108" i="57"/>
  <c r="O108" i="57"/>
  <c r="B108" i="57"/>
  <c r="M43" i="56"/>
  <c r="N43" i="56" s="1"/>
  <c r="M45" i="56"/>
  <c r="N45" i="56" s="1"/>
  <c r="M46" i="56"/>
  <c r="N46" i="56" s="1"/>
  <c r="M47" i="56"/>
  <c r="N47" i="56" s="1"/>
  <c r="M48" i="56"/>
  <c r="N48" i="56" s="1"/>
  <c r="M49" i="56"/>
  <c r="N49" i="56" s="1"/>
  <c r="M50" i="56"/>
  <c r="N50" i="56" s="1"/>
  <c r="M51" i="56"/>
  <c r="N51" i="56" s="1"/>
  <c r="M52" i="56"/>
  <c r="N52" i="56" s="1"/>
  <c r="M53" i="56"/>
  <c r="N53" i="56" s="1"/>
  <c r="M54" i="56"/>
  <c r="N54" i="56" s="1"/>
  <c r="M55" i="56"/>
  <c r="N55" i="56" s="1"/>
  <c r="M56" i="56"/>
  <c r="N56" i="56" s="1"/>
  <c r="M57" i="56"/>
  <c r="N57" i="56" s="1"/>
  <c r="M58" i="56"/>
  <c r="N58" i="56" s="1"/>
  <c r="M59" i="56"/>
  <c r="N59" i="56" s="1"/>
  <c r="M60" i="56"/>
  <c r="N60" i="56" s="1"/>
  <c r="M61" i="56"/>
  <c r="N61" i="56" s="1"/>
  <c r="M62" i="56"/>
  <c r="N62" i="56" s="1"/>
  <c r="M63" i="56"/>
  <c r="N63" i="56" s="1"/>
  <c r="M64" i="56"/>
  <c r="N64" i="56" s="1"/>
  <c r="M65" i="56"/>
  <c r="N65" i="56" s="1"/>
  <c r="M66" i="56"/>
  <c r="N66" i="56" s="1"/>
  <c r="M67" i="56"/>
  <c r="N67" i="56" s="1"/>
  <c r="M68" i="56"/>
  <c r="N68" i="56" s="1"/>
  <c r="M69" i="56"/>
  <c r="N69" i="56" s="1"/>
  <c r="M70" i="56"/>
  <c r="N70" i="56" s="1"/>
  <c r="M71" i="56"/>
  <c r="N71" i="56" s="1"/>
  <c r="M72" i="56"/>
  <c r="N72" i="56" s="1"/>
  <c r="M73" i="56"/>
  <c r="N73" i="56" s="1"/>
  <c r="M74" i="56"/>
  <c r="N74" i="56" s="1"/>
  <c r="M75" i="56"/>
  <c r="N75" i="56" s="1"/>
  <c r="M76" i="56"/>
  <c r="N76" i="56" s="1"/>
  <c r="M77" i="56"/>
  <c r="N77" i="56" s="1"/>
  <c r="M78" i="56"/>
  <c r="N78" i="56" s="1"/>
  <c r="M79" i="56"/>
  <c r="N79" i="56" s="1"/>
  <c r="M80" i="56"/>
  <c r="N80" i="56" s="1"/>
  <c r="M81" i="56"/>
  <c r="N81" i="56" s="1"/>
  <c r="M82" i="56"/>
  <c r="N82" i="56" s="1"/>
  <c r="M83" i="56"/>
  <c r="N83" i="56" s="1"/>
  <c r="M84" i="56"/>
  <c r="N84" i="56" s="1"/>
  <c r="M85" i="56"/>
  <c r="N85" i="56" s="1"/>
  <c r="M86" i="56"/>
  <c r="N86" i="56" s="1"/>
  <c r="M87" i="56"/>
  <c r="N87" i="56" s="1"/>
  <c r="M88" i="56"/>
  <c r="N88" i="56" s="1"/>
  <c r="M89" i="56"/>
  <c r="N89" i="56" s="1"/>
  <c r="M90" i="56"/>
  <c r="N90" i="56" s="1"/>
  <c r="M91" i="56"/>
  <c r="N91" i="56" s="1"/>
  <c r="M92" i="56"/>
  <c r="N92" i="56" s="1"/>
  <c r="M93" i="56"/>
  <c r="N93" i="56" s="1"/>
  <c r="M94" i="56"/>
  <c r="N94" i="56" s="1"/>
  <c r="M95" i="56"/>
  <c r="N95" i="56" s="1"/>
  <c r="M96" i="56"/>
  <c r="N96" i="56" s="1"/>
  <c r="M97" i="56"/>
  <c r="N97" i="56" s="1"/>
  <c r="M98" i="56"/>
  <c r="N98" i="56" s="1"/>
  <c r="M99" i="56"/>
  <c r="N99" i="56" s="1"/>
  <c r="M100" i="56"/>
  <c r="N100" i="56" s="1"/>
  <c r="M101" i="56"/>
  <c r="N101" i="56" s="1"/>
  <c r="M102" i="56"/>
  <c r="N102" i="56" s="1"/>
  <c r="M103" i="56"/>
  <c r="N103" i="56" s="1"/>
  <c r="M104" i="56"/>
  <c r="N104" i="56" s="1"/>
  <c r="M105" i="56"/>
  <c r="N105" i="56" s="1"/>
  <c r="M106" i="56"/>
  <c r="N106" i="56" s="1"/>
  <c r="M107" i="56"/>
  <c r="N107" i="56" s="1"/>
  <c r="M108" i="56"/>
  <c r="N108" i="56" s="1"/>
  <c r="M109" i="56"/>
  <c r="N109" i="56" s="1"/>
  <c r="M110" i="56"/>
  <c r="N110" i="56" s="1"/>
  <c r="M111" i="56"/>
  <c r="N111" i="56" s="1"/>
  <c r="M112" i="56"/>
  <c r="N112" i="56" s="1"/>
  <c r="M113" i="56"/>
  <c r="N113" i="56" s="1"/>
  <c r="M114" i="56"/>
  <c r="N114" i="56" s="1"/>
  <c r="M115" i="56"/>
  <c r="N115" i="56" s="1"/>
  <c r="M116" i="56"/>
  <c r="N116" i="56" s="1"/>
  <c r="M117" i="56"/>
  <c r="N117" i="56" s="1"/>
  <c r="M118" i="56"/>
  <c r="N118" i="56" s="1"/>
  <c r="M119" i="56"/>
  <c r="N119" i="56" s="1"/>
  <c r="M120" i="56"/>
  <c r="N120" i="56" s="1"/>
  <c r="M121" i="56"/>
  <c r="N121" i="56" s="1"/>
  <c r="M122" i="56"/>
  <c r="N122" i="56" s="1"/>
  <c r="M123" i="56"/>
  <c r="N123" i="56" s="1"/>
  <c r="M124" i="56"/>
  <c r="N124" i="56" s="1"/>
  <c r="M125" i="56"/>
  <c r="N125" i="56" s="1"/>
  <c r="M126" i="56"/>
  <c r="N126" i="56" s="1"/>
  <c r="M127" i="56"/>
  <c r="N127" i="56" s="1"/>
  <c r="M128" i="56"/>
  <c r="N128" i="56" s="1"/>
  <c r="M129" i="56"/>
  <c r="N129" i="56" s="1"/>
  <c r="M130" i="56"/>
  <c r="N130" i="56" s="1"/>
  <c r="M131" i="56"/>
  <c r="N131" i="56" s="1"/>
  <c r="M132" i="56"/>
  <c r="N132" i="56" s="1"/>
  <c r="M133" i="56"/>
  <c r="N133" i="56" s="1"/>
  <c r="M134" i="56"/>
  <c r="N134" i="56" s="1"/>
  <c r="M135" i="56"/>
  <c r="N135" i="56" s="1"/>
  <c r="M136" i="56"/>
  <c r="N136" i="56" s="1"/>
  <c r="M137" i="56"/>
  <c r="N137" i="56" s="1"/>
  <c r="M138" i="56"/>
  <c r="N138" i="56" s="1"/>
  <c r="M139" i="56"/>
  <c r="N139" i="56" s="1"/>
  <c r="M140" i="56"/>
  <c r="N140" i="56" s="1"/>
  <c r="M141" i="56"/>
  <c r="N141" i="56" s="1"/>
  <c r="M142" i="56"/>
  <c r="N142" i="56" s="1"/>
  <c r="E143" i="32"/>
  <c r="E144" i="32"/>
  <c r="M44" i="56" s="1"/>
  <c r="N44" i="56" s="1"/>
  <c r="F142" i="32"/>
  <c r="E142" i="32" s="1"/>
  <c r="F154" i="25"/>
  <c r="F155" i="25"/>
  <c r="F156" i="25"/>
  <c r="F157" i="25"/>
  <c r="F158" i="25"/>
  <c r="F159" i="25"/>
  <c r="F160" i="25"/>
  <c r="F161" i="25"/>
  <c r="F162" i="25"/>
  <c r="F163" i="25"/>
  <c r="F164"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165" i="25"/>
  <c r="C254" i="25"/>
  <c r="G34" i="25"/>
  <c r="C55" i="26" s="1"/>
  <c r="G35" i="25"/>
  <c r="C56" i="26" s="1"/>
  <c r="G36" i="25"/>
  <c r="C57" i="26" s="1"/>
  <c r="G37" i="25"/>
  <c r="C58" i="26" s="1"/>
  <c r="G38" i="25"/>
  <c r="C59" i="26" s="1"/>
  <c r="G39" i="25"/>
  <c r="C60" i="26" s="1"/>
  <c r="G40" i="25"/>
  <c r="C61" i="26" s="1"/>
  <c r="G41" i="25"/>
  <c r="C62" i="26" s="1"/>
  <c r="G42" i="25"/>
  <c r="C63" i="26" s="1"/>
  <c r="G43" i="25"/>
  <c r="C64" i="26" s="1"/>
  <c r="G44" i="25"/>
  <c r="C65" i="26" s="1"/>
  <c r="G45" i="25"/>
  <c r="C66" i="26" s="1"/>
  <c r="G46" i="25"/>
  <c r="C67" i="26" s="1"/>
  <c r="G47" i="25"/>
  <c r="C68" i="26" s="1"/>
  <c r="G48" i="25"/>
  <c r="C69" i="26" s="1"/>
  <c r="G49" i="25"/>
  <c r="C70" i="26" s="1"/>
  <c r="G50" i="25"/>
  <c r="C71" i="26" s="1"/>
  <c r="G51" i="25"/>
  <c r="C72" i="26" s="1"/>
  <c r="G52" i="25"/>
  <c r="C73" i="26" s="1"/>
  <c r="G53" i="25"/>
  <c r="C74" i="26" s="1"/>
  <c r="G54" i="25"/>
  <c r="C75" i="26" s="1"/>
  <c r="G55" i="25"/>
  <c r="C76" i="26" s="1"/>
  <c r="G56" i="25"/>
  <c r="C77" i="26" s="1"/>
  <c r="G57" i="25"/>
  <c r="C78" i="26" s="1"/>
  <c r="G58" i="25"/>
  <c r="C79" i="26" s="1"/>
  <c r="G59" i="25"/>
  <c r="C80" i="26" s="1"/>
  <c r="G60" i="25"/>
  <c r="C81" i="26" s="1"/>
  <c r="G61" i="25"/>
  <c r="C82" i="26" s="1"/>
  <c r="G62" i="25"/>
  <c r="C83" i="26" s="1"/>
  <c r="G63" i="25"/>
  <c r="C84" i="26" s="1"/>
  <c r="G64" i="25"/>
  <c r="C85" i="26" s="1"/>
  <c r="G65" i="25"/>
  <c r="C86" i="26" s="1"/>
  <c r="G66" i="25"/>
  <c r="C87" i="26" s="1"/>
  <c r="G67" i="25"/>
  <c r="C88" i="26" s="1"/>
  <c r="G68" i="25"/>
  <c r="C89" i="26" s="1"/>
  <c r="G69" i="25"/>
  <c r="C90" i="26" s="1"/>
  <c r="G70" i="25"/>
  <c r="C91" i="26" s="1"/>
  <c r="G71" i="25"/>
  <c r="C92" i="26" s="1"/>
  <c r="G72" i="25"/>
  <c r="C93" i="26" s="1"/>
  <c r="G73" i="25"/>
  <c r="C94" i="26" s="1"/>
  <c r="G74" i="25"/>
  <c r="C95" i="26" s="1"/>
  <c r="G75" i="25"/>
  <c r="C96" i="26" s="1"/>
  <c r="G76" i="25"/>
  <c r="C97" i="26" s="1"/>
  <c r="G77" i="25"/>
  <c r="C98" i="26" s="1"/>
  <c r="G78" i="25"/>
  <c r="C99" i="26" s="1"/>
  <c r="G79" i="25"/>
  <c r="C100" i="26" s="1"/>
  <c r="G80" i="25"/>
  <c r="C101" i="26" s="1"/>
  <c r="G81" i="25"/>
  <c r="C102" i="26" s="1"/>
  <c r="G82" i="25"/>
  <c r="C103" i="26" s="1"/>
  <c r="G83" i="25"/>
  <c r="C104" i="26" s="1"/>
  <c r="G84" i="25"/>
  <c r="C105" i="26" s="1"/>
  <c r="G85" i="25"/>
  <c r="C106" i="26" s="1"/>
  <c r="G86" i="25"/>
  <c r="C107" i="26" s="1"/>
  <c r="G87" i="25"/>
  <c r="C108" i="26" s="1"/>
  <c r="G88" i="25"/>
  <c r="C109" i="26" s="1"/>
  <c r="G89" i="25"/>
  <c r="C110" i="26" s="1"/>
  <c r="G90" i="25"/>
  <c r="C111" i="26" s="1"/>
  <c r="G91" i="25"/>
  <c r="C112" i="26" s="1"/>
  <c r="G92" i="25"/>
  <c r="C113" i="26" s="1"/>
  <c r="G93" i="25"/>
  <c r="C114" i="26" s="1"/>
  <c r="G94" i="25"/>
  <c r="C115" i="26" s="1"/>
  <c r="G95" i="25"/>
  <c r="C116" i="26" s="1"/>
  <c r="G96" i="25"/>
  <c r="C117" i="26" s="1"/>
  <c r="G97" i="25"/>
  <c r="C118" i="26" s="1"/>
  <c r="G98" i="25"/>
  <c r="G99" i="25"/>
  <c r="C120" i="26" s="1"/>
  <c r="G100" i="25"/>
  <c r="C121" i="26" s="1"/>
  <c r="G101" i="25"/>
  <c r="C122" i="26" s="1"/>
  <c r="G102" i="25"/>
  <c r="C123" i="26" s="1"/>
  <c r="G103" i="25"/>
  <c r="C124" i="26" s="1"/>
  <c r="G104" i="25"/>
  <c r="C125" i="26" s="1"/>
  <c r="G105" i="25"/>
  <c r="C126" i="26" s="1"/>
  <c r="G106" i="25"/>
  <c r="C127" i="26" s="1"/>
  <c r="G107" i="25"/>
  <c r="C128" i="26" s="1"/>
  <c r="G108" i="25"/>
  <c r="C129" i="26" s="1"/>
  <c r="G109" i="25"/>
  <c r="C130" i="26" s="1"/>
  <c r="G110" i="25"/>
  <c r="C131" i="26" s="1"/>
  <c r="G111" i="25"/>
  <c r="C132" i="26" s="1"/>
  <c r="G112" i="25"/>
  <c r="C133" i="26" s="1"/>
  <c r="G113" i="25"/>
  <c r="C134" i="26" s="1"/>
  <c r="G114" i="25"/>
  <c r="C135" i="26" s="1"/>
  <c r="G115" i="25"/>
  <c r="C136" i="26" s="1"/>
  <c r="G116" i="25"/>
  <c r="C137" i="26" s="1"/>
  <c r="G117" i="25"/>
  <c r="C138" i="26" s="1"/>
  <c r="G118" i="25"/>
  <c r="C139" i="26" s="1"/>
  <c r="G119" i="25"/>
  <c r="C140" i="26" s="1"/>
  <c r="G120" i="25"/>
  <c r="C141" i="26" s="1"/>
  <c r="G121" i="25"/>
  <c r="C142" i="26" s="1"/>
  <c r="G122" i="25"/>
  <c r="C143" i="26" s="1"/>
  <c r="G123" i="25"/>
  <c r="C144" i="26" s="1"/>
  <c r="G124" i="25"/>
  <c r="C145" i="26" s="1"/>
  <c r="G125" i="25"/>
  <c r="C146" i="26" s="1"/>
  <c r="G126" i="25"/>
  <c r="C147" i="26" s="1"/>
  <c r="G127" i="25"/>
  <c r="C148" i="26" s="1"/>
  <c r="G128" i="25"/>
  <c r="C149" i="26" s="1"/>
  <c r="G129" i="25"/>
  <c r="C150" i="26" s="1"/>
  <c r="G130" i="25"/>
  <c r="C151" i="26" s="1"/>
  <c r="G131" i="25"/>
  <c r="C152" i="26" s="1"/>
  <c r="G132" i="25"/>
  <c r="C153" i="26" s="1"/>
  <c r="G33" i="25"/>
  <c r="C119" i="26"/>
  <c r="C133" i="25"/>
  <c r="A70" i="54" s="1"/>
  <c r="M75" i="27"/>
  <c r="L75" i="27"/>
  <c r="K75" i="27"/>
  <c r="J75" i="27"/>
  <c r="L73" i="27"/>
  <c r="M73" i="27" s="1"/>
  <c r="J73" i="27"/>
  <c r="K73" i="27" s="1"/>
  <c r="L71" i="27"/>
  <c r="M71" i="27" s="1"/>
  <c r="J71" i="27"/>
  <c r="K71" i="27" s="1"/>
  <c r="L70" i="27"/>
  <c r="M70" i="27" s="1"/>
  <c r="J70" i="27"/>
  <c r="K70" i="27" s="1"/>
  <c r="J69" i="27"/>
  <c r="K69" i="27" s="1"/>
  <c r="L69" i="27" s="1"/>
  <c r="M69" i="27" s="1"/>
  <c r="I69" i="27"/>
  <c r="K187" i="3" s="1"/>
  <c r="M187" i="3" s="1"/>
  <c r="L67" i="27"/>
  <c r="M67" i="27" s="1"/>
  <c r="J67" i="27"/>
  <c r="K67" i="27" s="1"/>
  <c r="L66" i="27"/>
  <c r="M66" i="27" s="1"/>
  <c r="J66" i="27"/>
  <c r="K66" i="27" s="1"/>
  <c r="L74" i="27"/>
  <c r="M74" i="27" s="1"/>
  <c r="J74" i="27"/>
  <c r="K74" i="27" s="1"/>
  <c r="L72" i="27"/>
  <c r="L68" i="27" s="1"/>
  <c r="M68" i="27" s="1"/>
  <c r="K72" i="27"/>
  <c r="J72" i="27"/>
  <c r="J68" i="27" s="1"/>
  <c r="K68" i="27" s="1"/>
  <c r="E95" i="27"/>
  <c r="B11" i="13"/>
  <c r="C11" i="13"/>
  <c r="B17" i="13"/>
  <c r="B18" i="13"/>
  <c r="B42" i="13"/>
  <c r="C42" i="13"/>
  <c r="B29" i="13"/>
  <c r="C29" i="13"/>
  <c r="B24" i="13"/>
  <c r="C24" i="13"/>
  <c r="B20" i="13"/>
  <c r="C20" i="13"/>
  <c r="C18" i="13"/>
  <c r="C17" i="13"/>
  <c r="C38" i="13"/>
  <c r="B12" i="13"/>
  <c r="C12" i="13"/>
  <c r="D12" i="13" s="1"/>
  <c r="B13" i="13"/>
  <c r="C13" i="13"/>
  <c r="D13" i="13" s="1"/>
  <c r="B14" i="13"/>
  <c r="C14" i="13"/>
  <c r="D14" i="13" s="1"/>
  <c r="B15" i="13"/>
  <c r="C15" i="13"/>
  <c r="D15" i="13" s="1"/>
  <c r="B16" i="13"/>
  <c r="C16" i="13"/>
  <c r="D16" i="13" s="1"/>
  <c r="B19" i="13"/>
  <c r="C19" i="13"/>
  <c r="D19" i="13" s="1"/>
  <c r="B21" i="13"/>
  <c r="C21" i="13"/>
  <c r="D21" i="13" s="1"/>
  <c r="B22" i="13"/>
  <c r="C22" i="13"/>
  <c r="D22" i="13" s="1"/>
  <c r="B23" i="13"/>
  <c r="C23" i="13"/>
  <c r="D23" i="13" s="1"/>
  <c r="B25" i="13"/>
  <c r="C25" i="13"/>
  <c r="D25" i="13" s="1"/>
  <c r="B26" i="13"/>
  <c r="C26" i="13"/>
  <c r="D26" i="13" s="1"/>
  <c r="B27" i="13"/>
  <c r="C27" i="13"/>
  <c r="D27" i="13" s="1"/>
  <c r="B28" i="13"/>
  <c r="C28" i="13"/>
  <c r="D28" i="13" s="1"/>
  <c r="B30" i="13"/>
  <c r="C30" i="13"/>
  <c r="D30" i="13" s="1"/>
  <c r="B31" i="13"/>
  <c r="C31" i="13"/>
  <c r="D31" i="13" s="1"/>
  <c r="B32" i="13"/>
  <c r="C32" i="13"/>
  <c r="D32" i="13" s="1"/>
  <c r="B33" i="13"/>
  <c r="C33" i="13"/>
  <c r="D33" i="13" s="1"/>
  <c r="B34" i="13"/>
  <c r="C34" i="13"/>
  <c r="D34" i="13" s="1"/>
  <c r="B35" i="13"/>
  <c r="C35" i="13"/>
  <c r="D35" i="13" s="1"/>
  <c r="B36" i="13"/>
  <c r="C36" i="13"/>
  <c r="D36" i="13" s="1"/>
  <c r="B37" i="13"/>
  <c r="C37" i="13"/>
  <c r="D37" i="13" s="1"/>
  <c r="B40" i="13"/>
  <c r="C40" i="13"/>
  <c r="D40" i="13" s="1"/>
  <c r="B43" i="13"/>
  <c r="C43" i="13"/>
  <c r="D43" i="13" s="1"/>
  <c r="B44" i="13"/>
  <c r="C44" i="13"/>
  <c r="D44" i="13" s="1"/>
  <c r="B45" i="13"/>
  <c r="C45" i="13"/>
  <c r="D45" i="13" s="1"/>
  <c r="B46" i="13"/>
  <c r="C46" i="13"/>
  <c r="D46" i="13" s="1"/>
  <c r="B47" i="13"/>
  <c r="C47" i="13"/>
  <c r="D47" i="13" s="1"/>
  <c r="B48" i="13"/>
  <c r="C48" i="13"/>
  <c r="D48" i="13" s="1"/>
  <c r="E39" i="27"/>
  <c r="G24" i="27"/>
  <c r="G52" i="27"/>
  <c r="I52" i="27" s="1"/>
  <c r="G57" i="27"/>
  <c r="I57" i="27" s="1"/>
  <c r="G29" i="27"/>
  <c r="E29" i="27"/>
  <c r="G30" i="27"/>
  <c r="E30" i="27"/>
  <c r="G28" i="27"/>
  <c r="E28" i="27"/>
  <c r="G26" i="27"/>
  <c r="G54" i="27"/>
  <c r="E54" i="27"/>
  <c r="G46" i="27"/>
  <c r="E46" i="27"/>
  <c r="G25" i="27"/>
  <c r="G32" i="27"/>
  <c r="G51" i="27"/>
  <c r="I51" i="27" s="1"/>
  <c r="G50" i="27"/>
  <c r="G56" i="27"/>
  <c r="G45" i="27"/>
  <c r="G44" i="27"/>
  <c r="G43" i="27"/>
  <c r="G49" i="27"/>
  <c r="E49" i="27"/>
  <c r="G55" i="27"/>
  <c r="G42" i="27"/>
  <c r="E38" i="27"/>
  <c r="E36" i="27"/>
  <c r="I36" i="27" s="1"/>
  <c r="E34" i="27"/>
  <c r="E33" i="27"/>
  <c r="Q34" i="27"/>
  <c r="P34" i="27"/>
  <c r="O34" i="27"/>
  <c r="N34" i="27"/>
  <c r="M34" i="27"/>
  <c r="L34" i="27"/>
  <c r="K34" i="27"/>
  <c r="J34" i="27"/>
  <c r="G34" i="27"/>
  <c r="Q33" i="27"/>
  <c r="P33" i="27"/>
  <c r="O33" i="27"/>
  <c r="N33" i="27"/>
  <c r="M33" i="27"/>
  <c r="L33" i="27"/>
  <c r="K33" i="27"/>
  <c r="J33" i="27"/>
  <c r="G33" i="27"/>
  <c r="Q37" i="27"/>
  <c r="P37" i="27"/>
  <c r="O37" i="27"/>
  <c r="N37" i="27"/>
  <c r="M37" i="27"/>
  <c r="L37" i="27"/>
  <c r="K37" i="27"/>
  <c r="J37" i="27"/>
  <c r="G37" i="27"/>
  <c r="Q38" i="27"/>
  <c r="P38" i="27"/>
  <c r="O38" i="27"/>
  <c r="N38" i="27"/>
  <c r="M38" i="27"/>
  <c r="L38" i="27"/>
  <c r="K38" i="27"/>
  <c r="J38" i="27"/>
  <c r="G38" i="27"/>
  <c r="Q39" i="27"/>
  <c r="P39" i="27"/>
  <c r="O39" i="27"/>
  <c r="N39" i="27"/>
  <c r="M39" i="27"/>
  <c r="L39" i="27"/>
  <c r="K39" i="27"/>
  <c r="J39" i="27"/>
  <c r="G39" i="27"/>
  <c r="D26" i="26"/>
  <c r="E374" i="27"/>
  <c r="F248" i="27"/>
  <c r="E248" i="27"/>
  <c r="E249" i="27" s="1"/>
  <c r="E250" i="27" s="1"/>
  <c r="D246" i="27"/>
  <c r="C233" i="27"/>
  <c r="H39" i="57" s="1"/>
  <c r="D225" i="27"/>
  <c r="N20" i="16" s="1"/>
  <c r="H16" i="49" s="1"/>
  <c r="D224" i="27"/>
  <c r="N19" i="16" s="1"/>
  <c r="H15" i="49" s="1"/>
  <c r="D223" i="27"/>
  <c r="N18" i="16" s="1"/>
  <c r="H14" i="49" s="1"/>
  <c r="D222" i="27"/>
  <c r="N17" i="16" s="1"/>
  <c r="H13" i="49" s="1"/>
  <c r="D221" i="27"/>
  <c r="N16" i="16" s="1"/>
  <c r="H12" i="49" s="1"/>
  <c r="D220" i="27"/>
  <c r="N15" i="16" s="1"/>
  <c r="H11" i="49" s="1"/>
  <c r="D219" i="27"/>
  <c r="N14" i="16" s="1"/>
  <c r="H10" i="49" s="1"/>
  <c r="D218" i="27"/>
  <c r="N13" i="16" s="1"/>
  <c r="H9" i="49" s="1"/>
  <c r="E201" i="27"/>
  <c r="E110" i="18" s="1"/>
  <c r="E197" i="27"/>
  <c r="E106" i="18" s="1"/>
  <c r="E193" i="27"/>
  <c r="E102" i="18" s="1"/>
  <c r="F173" i="27"/>
  <c r="G26" i="18" s="1"/>
  <c r="E173" i="27"/>
  <c r="F26" i="18" s="1"/>
  <c r="I172" i="27"/>
  <c r="F172" i="27"/>
  <c r="G25" i="18" s="1"/>
  <c r="E172" i="27"/>
  <c r="F25" i="18" s="1"/>
  <c r="F171" i="27"/>
  <c r="G24" i="18" s="1"/>
  <c r="E171" i="27"/>
  <c r="F24" i="18" s="1"/>
  <c r="F170" i="27"/>
  <c r="G23" i="18" s="1"/>
  <c r="E170" i="27"/>
  <c r="F23" i="18" s="1"/>
  <c r="F169" i="27"/>
  <c r="G22" i="18" s="1"/>
  <c r="E169" i="27"/>
  <c r="F22" i="18" s="1"/>
  <c r="F168" i="27"/>
  <c r="G21" i="18" s="1"/>
  <c r="E168" i="27"/>
  <c r="F21" i="18" s="1"/>
  <c r="F167" i="27"/>
  <c r="G20" i="18" s="1"/>
  <c r="E167" i="27"/>
  <c r="F20" i="18" s="1"/>
  <c r="F166" i="27"/>
  <c r="G19" i="18" s="1"/>
  <c r="E166" i="27"/>
  <c r="F19" i="18" s="1"/>
  <c r="F165" i="27"/>
  <c r="G18" i="18" s="1"/>
  <c r="E165" i="27"/>
  <c r="F18" i="18" s="1"/>
  <c r="K156" i="27"/>
  <c r="K155" i="27"/>
  <c r="K154" i="27"/>
  <c r="K153" i="27"/>
  <c r="K152" i="27"/>
  <c r="K151" i="27"/>
  <c r="K150" i="27"/>
  <c r="K149" i="27"/>
  <c r="K148" i="27"/>
  <c r="D148" i="27"/>
  <c r="C148" i="27" s="1"/>
  <c r="K147" i="27"/>
  <c r="D147" i="27"/>
  <c r="C147" i="27" s="1"/>
  <c r="K146" i="27"/>
  <c r="D146" i="27"/>
  <c r="K145" i="27"/>
  <c r="D145" i="27"/>
  <c r="C145" i="27" s="1"/>
  <c r="E135" i="27"/>
  <c r="D135" i="27"/>
  <c r="E134" i="27"/>
  <c r="D134" i="27"/>
  <c r="E133" i="27"/>
  <c r="D133" i="27"/>
  <c r="E132" i="27"/>
  <c r="D132" i="27"/>
  <c r="E131" i="27"/>
  <c r="D131" i="27"/>
  <c r="E130" i="27"/>
  <c r="D130" i="27"/>
  <c r="E121" i="27"/>
  <c r="E120" i="27"/>
  <c r="E119" i="27"/>
  <c r="E118" i="27"/>
  <c r="E117" i="27"/>
  <c r="E108" i="27"/>
  <c r="E107" i="27"/>
  <c r="E106" i="27"/>
  <c r="E105" i="27"/>
  <c r="I96" i="27"/>
  <c r="G96" i="27"/>
  <c r="E96" i="27"/>
  <c r="I95" i="27"/>
  <c r="G95" i="27"/>
  <c r="I94" i="27"/>
  <c r="G94" i="27"/>
  <c r="E94" i="27"/>
  <c r="I93" i="27"/>
  <c r="G93" i="27"/>
  <c r="E93" i="27"/>
  <c r="I92" i="27"/>
  <c r="G92" i="27"/>
  <c r="E92" i="27"/>
  <c r="I91" i="27"/>
  <c r="G91" i="27"/>
  <c r="E91" i="27"/>
  <c r="I90" i="27"/>
  <c r="G90" i="27"/>
  <c r="E90" i="27"/>
  <c r="I89" i="27"/>
  <c r="G89" i="27"/>
  <c r="E89" i="27"/>
  <c r="I88" i="27"/>
  <c r="G88" i="27"/>
  <c r="E88" i="27"/>
  <c r="I87" i="27"/>
  <c r="G87" i="27"/>
  <c r="E87" i="27"/>
  <c r="I86" i="27"/>
  <c r="G86" i="27"/>
  <c r="E86" i="27"/>
  <c r="I75" i="27"/>
  <c r="I73" i="27"/>
  <c r="K189" i="3" s="1"/>
  <c r="M189" i="3" s="1"/>
  <c r="I71" i="27"/>
  <c r="I70" i="27"/>
  <c r="K191" i="3" s="1"/>
  <c r="M191" i="3" s="1"/>
  <c r="I67" i="27"/>
  <c r="K185" i="3" s="1"/>
  <c r="M185" i="3" s="1"/>
  <c r="I66" i="27"/>
  <c r="K184" i="3" s="1"/>
  <c r="I58" i="27"/>
  <c r="E56" i="27"/>
  <c r="E55" i="27"/>
  <c r="I53" i="27"/>
  <c r="E50" i="27"/>
  <c r="I48" i="27"/>
  <c r="I47" i="27"/>
  <c r="F44" i="27"/>
  <c r="F45" i="27" s="1"/>
  <c r="E43" i="27"/>
  <c r="E44" i="27" s="1"/>
  <c r="E45" i="27" s="1"/>
  <c r="E42" i="27"/>
  <c r="I41" i="27"/>
  <c r="I40" i="27"/>
  <c r="E37" i="27"/>
  <c r="I35" i="27"/>
  <c r="E32" i="27"/>
  <c r="E31" i="27"/>
  <c r="I31" i="27" s="1"/>
  <c r="E27" i="27"/>
  <c r="I27" i="27" s="1"/>
  <c r="E26" i="27"/>
  <c r="E25" i="27"/>
  <c r="E24" i="27"/>
  <c r="B16" i="27"/>
  <c r="B15" i="27"/>
  <c r="B25" i="53"/>
  <c r="A25" i="53"/>
  <c r="B24" i="53"/>
  <c r="A24" i="53"/>
  <c r="B23" i="53"/>
  <c r="E22" i="53"/>
  <c r="D22" i="53"/>
  <c r="B15" i="53"/>
  <c r="C15" i="53" s="1"/>
  <c r="B11" i="53"/>
  <c r="A11" i="53"/>
  <c r="E19" i="53" s="1"/>
  <c r="B10" i="53"/>
  <c r="A10" i="53"/>
  <c r="D19" i="53" s="1"/>
  <c r="B9" i="53"/>
  <c r="A9" i="53"/>
  <c r="C19" i="53" s="1"/>
  <c r="H144" i="58"/>
  <c r="G144" i="58"/>
  <c r="H143" i="58"/>
  <c r="G143" i="58"/>
  <c r="K135" i="58"/>
  <c r="K134" i="58"/>
  <c r="I134" i="58"/>
  <c r="K133" i="58"/>
  <c r="I133" i="58"/>
  <c r="K132" i="58"/>
  <c r="I132" i="58"/>
  <c r="K131" i="58"/>
  <c r="I131" i="58"/>
  <c r="K130" i="58"/>
  <c r="I130" i="58"/>
  <c r="K129" i="58"/>
  <c r="I129" i="58"/>
  <c r="K128" i="58"/>
  <c r="I128" i="58"/>
  <c r="K127" i="58"/>
  <c r="I127" i="58"/>
  <c r="K126" i="58"/>
  <c r="I126" i="58"/>
  <c r="K125" i="58"/>
  <c r="I125" i="58"/>
  <c r="K124" i="58"/>
  <c r="I124" i="58"/>
  <c r="K123" i="58"/>
  <c r="I123" i="58"/>
  <c r="K122" i="58"/>
  <c r="I122" i="58"/>
  <c r="K121" i="58"/>
  <c r="I121" i="58"/>
  <c r="K120" i="58"/>
  <c r="I120" i="58"/>
  <c r="K119" i="58"/>
  <c r="I119" i="58"/>
  <c r="K118" i="58"/>
  <c r="I118" i="58"/>
  <c r="K117" i="58"/>
  <c r="I117" i="58"/>
  <c r="K116" i="58"/>
  <c r="I116" i="58"/>
  <c r="K115" i="58"/>
  <c r="I115" i="58"/>
  <c r="K114" i="58"/>
  <c r="I114" i="58"/>
  <c r="K113" i="58"/>
  <c r="I113" i="58"/>
  <c r="K112" i="58"/>
  <c r="I112" i="58"/>
  <c r="K111" i="58"/>
  <c r="I111" i="58"/>
  <c r="K110" i="58"/>
  <c r="I110" i="58"/>
  <c r="K109" i="58"/>
  <c r="I109" i="58"/>
  <c r="K108" i="58"/>
  <c r="I108" i="58"/>
  <c r="K107" i="58"/>
  <c r="I107" i="58"/>
  <c r="K106" i="58"/>
  <c r="I106" i="58"/>
  <c r="K105" i="58"/>
  <c r="I105" i="58"/>
  <c r="K104" i="58"/>
  <c r="I104" i="58"/>
  <c r="K103" i="58"/>
  <c r="I103" i="58"/>
  <c r="K102" i="58"/>
  <c r="I102" i="58"/>
  <c r="K101" i="58"/>
  <c r="I101" i="58"/>
  <c r="K100" i="58"/>
  <c r="I100" i="58"/>
  <c r="K99" i="58"/>
  <c r="I99" i="58"/>
  <c r="K98" i="58"/>
  <c r="I98" i="58"/>
  <c r="K97" i="58"/>
  <c r="I97" i="58"/>
  <c r="K96" i="58"/>
  <c r="I96" i="58"/>
  <c r="K95" i="58"/>
  <c r="I95" i="58"/>
  <c r="K94" i="58"/>
  <c r="I94" i="58"/>
  <c r="K93" i="58"/>
  <c r="I93" i="58"/>
  <c r="K92" i="58"/>
  <c r="I92" i="58"/>
  <c r="K91" i="58"/>
  <c r="I91" i="58"/>
  <c r="K90" i="58"/>
  <c r="I90" i="58"/>
  <c r="K89" i="58"/>
  <c r="I89" i="58"/>
  <c r="K88" i="58"/>
  <c r="I88" i="58"/>
  <c r="K87" i="58"/>
  <c r="I87" i="58"/>
  <c r="K86" i="58"/>
  <c r="I86" i="58"/>
  <c r="K85" i="58"/>
  <c r="I85" i="58"/>
  <c r="K84" i="58"/>
  <c r="I84" i="58"/>
  <c r="K83" i="58"/>
  <c r="I83" i="58"/>
  <c r="K82" i="58"/>
  <c r="I82" i="58"/>
  <c r="K81" i="58"/>
  <c r="I81" i="58"/>
  <c r="K80" i="58"/>
  <c r="I80" i="58"/>
  <c r="K79" i="58"/>
  <c r="I79" i="58"/>
  <c r="K78" i="58"/>
  <c r="I78" i="58"/>
  <c r="K77" i="58"/>
  <c r="I77" i="58"/>
  <c r="K76" i="58"/>
  <c r="I76" i="58"/>
  <c r="K75" i="58"/>
  <c r="I75" i="58"/>
  <c r="K74" i="58"/>
  <c r="I74" i="58"/>
  <c r="K73" i="58"/>
  <c r="I73" i="58"/>
  <c r="K72" i="58"/>
  <c r="I72" i="58"/>
  <c r="K71" i="58"/>
  <c r="I71" i="58"/>
  <c r="K70" i="58"/>
  <c r="I70" i="58"/>
  <c r="K69" i="58"/>
  <c r="I69" i="58"/>
  <c r="K68" i="58"/>
  <c r="I68" i="58"/>
  <c r="K67" i="58"/>
  <c r="I67" i="58"/>
  <c r="K66" i="58"/>
  <c r="I66" i="58"/>
  <c r="K65" i="58"/>
  <c r="I65" i="58"/>
  <c r="K64" i="58"/>
  <c r="I64" i="58"/>
  <c r="K63" i="58"/>
  <c r="I63" i="58"/>
  <c r="K62" i="58"/>
  <c r="I62" i="58"/>
  <c r="K61" i="58"/>
  <c r="I61" i="58"/>
  <c r="K60" i="58"/>
  <c r="I60" i="58"/>
  <c r="K59" i="58"/>
  <c r="I59" i="58"/>
  <c r="K58" i="58"/>
  <c r="I58" i="58"/>
  <c r="K57" i="58"/>
  <c r="I57" i="58"/>
  <c r="K56" i="58"/>
  <c r="I56" i="58"/>
  <c r="K55" i="58"/>
  <c r="I55" i="58"/>
  <c r="K54" i="58"/>
  <c r="I54" i="58"/>
  <c r="K53" i="58"/>
  <c r="I53" i="58"/>
  <c r="K52" i="58"/>
  <c r="I52" i="58"/>
  <c r="K51" i="58"/>
  <c r="I51" i="58"/>
  <c r="K50" i="58"/>
  <c r="I50" i="58"/>
  <c r="K49" i="58"/>
  <c r="I49" i="58"/>
  <c r="K48" i="58"/>
  <c r="I48" i="58"/>
  <c r="K47" i="58"/>
  <c r="I47" i="58"/>
  <c r="K46" i="58"/>
  <c r="I46" i="58"/>
  <c r="K45" i="58"/>
  <c r="I45" i="58"/>
  <c r="K44" i="58"/>
  <c r="I44" i="58"/>
  <c r="K43" i="58"/>
  <c r="I43" i="58"/>
  <c r="K42" i="58"/>
  <c r="I42" i="58"/>
  <c r="K41" i="58"/>
  <c r="I41" i="58"/>
  <c r="K40" i="58"/>
  <c r="I40" i="58"/>
  <c r="K39" i="58"/>
  <c r="I39" i="58"/>
  <c r="K38" i="58"/>
  <c r="I38" i="58"/>
  <c r="K37" i="58"/>
  <c r="I37" i="58"/>
  <c r="K36" i="58"/>
  <c r="I36" i="58"/>
  <c r="K35" i="58"/>
  <c r="I35" i="58"/>
  <c r="D26" i="58"/>
  <c r="C26" i="58"/>
  <c r="D25" i="58"/>
  <c r="C25" i="58"/>
  <c r="D24" i="58"/>
  <c r="C24" i="58"/>
  <c r="D8" i="58"/>
  <c r="H20" i="49"/>
  <c r="F20" i="49"/>
  <c r="D20" i="49"/>
  <c r="H19" i="49"/>
  <c r="D19" i="49"/>
  <c r="H18" i="49"/>
  <c r="D18" i="49"/>
  <c r="F17" i="49"/>
  <c r="F18" i="49" s="1"/>
  <c r="F19" i="49" s="1"/>
  <c r="D17" i="49"/>
  <c r="E16" i="49"/>
  <c r="H36" i="46" s="1"/>
  <c r="K36" i="46" s="1"/>
  <c r="E15" i="49"/>
  <c r="E14" i="49"/>
  <c r="E13" i="49"/>
  <c r="E12" i="49"/>
  <c r="E11" i="49"/>
  <c r="E10" i="49"/>
  <c r="E9" i="49"/>
  <c r="H137" i="46"/>
  <c r="G137" i="46"/>
  <c r="K128" i="46"/>
  <c r="H128" i="46"/>
  <c r="K127" i="46"/>
  <c r="H127" i="46"/>
  <c r="K126" i="46"/>
  <c r="H126" i="46"/>
  <c r="K125" i="46"/>
  <c r="H125" i="46"/>
  <c r="K124" i="46"/>
  <c r="H124" i="46"/>
  <c r="K123" i="46"/>
  <c r="H123" i="46"/>
  <c r="K122" i="46"/>
  <c r="H122" i="46"/>
  <c r="K121" i="46"/>
  <c r="H121" i="46"/>
  <c r="K120" i="46"/>
  <c r="H120" i="46"/>
  <c r="K119" i="46"/>
  <c r="H119" i="46"/>
  <c r="K118" i="46"/>
  <c r="H118" i="46"/>
  <c r="K117" i="46"/>
  <c r="H117" i="46"/>
  <c r="K116" i="46"/>
  <c r="H116" i="46"/>
  <c r="K115" i="46"/>
  <c r="H115" i="46"/>
  <c r="K114" i="46"/>
  <c r="H114" i="46"/>
  <c r="K113" i="46"/>
  <c r="H113" i="46"/>
  <c r="K112" i="46"/>
  <c r="H112" i="46"/>
  <c r="K111" i="46"/>
  <c r="H111" i="46"/>
  <c r="K110" i="46"/>
  <c r="H110" i="46"/>
  <c r="K109" i="46"/>
  <c r="H109" i="46"/>
  <c r="K108" i="46"/>
  <c r="H108" i="46"/>
  <c r="K107" i="46"/>
  <c r="H107" i="46"/>
  <c r="K106" i="46"/>
  <c r="H106" i="46"/>
  <c r="K105" i="46"/>
  <c r="H105" i="46"/>
  <c r="K104" i="46"/>
  <c r="H104" i="46"/>
  <c r="K103" i="46"/>
  <c r="H103" i="46"/>
  <c r="K102" i="46"/>
  <c r="H102" i="46"/>
  <c r="K101" i="46"/>
  <c r="H101" i="46"/>
  <c r="K100" i="46"/>
  <c r="H100" i="46"/>
  <c r="K99" i="46"/>
  <c r="H99" i="46"/>
  <c r="K98" i="46"/>
  <c r="H98" i="46"/>
  <c r="K97" i="46"/>
  <c r="H97" i="46"/>
  <c r="K96" i="46"/>
  <c r="H96" i="46"/>
  <c r="K95" i="46"/>
  <c r="H95" i="46"/>
  <c r="K94" i="46"/>
  <c r="H94" i="46"/>
  <c r="K93" i="46"/>
  <c r="H93" i="46"/>
  <c r="K92" i="46"/>
  <c r="H92" i="46"/>
  <c r="K91" i="46"/>
  <c r="H91" i="46"/>
  <c r="K90" i="46"/>
  <c r="H90" i="46"/>
  <c r="K89" i="46"/>
  <c r="H89" i="46"/>
  <c r="K88" i="46"/>
  <c r="H88" i="46"/>
  <c r="K87" i="46"/>
  <c r="H87" i="46"/>
  <c r="K86" i="46"/>
  <c r="H86" i="46"/>
  <c r="K85" i="46"/>
  <c r="H85" i="46"/>
  <c r="K84" i="46"/>
  <c r="H84" i="46"/>
  <c r="K83" i="46"/>
  <c r="H83" i="46"/>
  <c r="K82" i="46"/>
  <c r="H82" i="46"/>
  <c r="K81" i="46"/>
  <c r="H81" i="46"/>
  <c r="K80" i="46"/>
  <c r="H80" i="46"/>
  <c r="K79" i="46"/>
  <c r="H79" i="46"/>
  <c r="K78" i="46"/>
  <c r="H78" i="46"/>
  <c r="K77" i="46"/>
  <c r="H77" i="46"/>
  <c r="K76" i="46"/>
  <c r="H76" i="46"/>
  <c r="K75" i="46"/>
  <c r="H75" i="46"/>
  <c r="K74" i="46"/>
  <c r="H74" i="46"/>
  <c r="K73" i="46"/>
  <c r="H73" i="46"/>
  <c r="K72" i="46"/>
  <c r="H72" i="46"/>
  <c r="K71" i="46"/>
  <c r="H71" i="46"/>
  <c r="K70" i="46"/>
  <c r="H70" i="46"/>
  <c r="K69" i="46"/>
  <c r="H69" i="46"/>
  <c r="K68" i="46"/>
  <c r="H68" i="46"/>
  <c r="K67" i="46"/>
  <c r="H67" i="46"/>
  <c r="K66" i="46"/>
  <c r="H66" i="46"/>
  <c r="K65" i="46"/>
  <c r="H65" i="46"/>
  <c r="K64" i="46"/>
  <c r="H64" i="46"/>
  <c r="K63" i="46"/>
  <c r="H63" i="46"/>
  <c r="K62" i="46"/>
  <c r="H62" i="46"/>
  <c r="K61" i="46"/>
  <c r="H61" i="46"/>
  <c r="K60" i="46"/>
  <c r="H60" i="46"/>
  <c r="K59" i="46"/>
  <c r="H59" i="46"/>
  <c r="K58" i="46"/>
  <c r="H58" i="46"/>
  <c r="K57" i="46"/>
  <c r="H57" i="46"/>
  <c r="K56" i="46"/>
  <c r="H56" i="46"/>
  <c r="K55" i="46"/>
  <c r="H55" i="46"/>
  <c r="K54" i="46"/>
  <c r="H54" i="46"/>
  <c r="K53" i="46"/>
  <c r="H53" i="46"/>
  <c r="K52" i="46"/>
  <c r="H52" i="46"/>
  <c r="K51" i="46"/>
  <c r="H51" i="46"/>
  <c r="K50" i="46"/>
  <c r="H50" i="46"/>
  <c r="K49" i="46"/>
  <c r="H49" i="46"/>
  <c r="K48" i="46"/>
  <c r="H48" i="46"/>
  <c r="K47" i="46"/>
  <c r="H47" i="46"/>
  <c r="K46" i="46"/>
  <c r="H46" i="46"/>
  <c r="K45" i="46"/>
  <c r="H45" i="46"/>
  <c r="K44" i="46"/>
  <c r="H44" i="46"/>
  <c r="K43" i="46"/>
  <c r="H43" i="46"/>
  <c r="K42" i="46"/>
  <c r="H42" i="46"/>
  <c r="H41" i="46"/>
  <c r="K41" i="46" s="1"/>
  <c r="H40" i="46"/>
  <c r="K40" i="46" s="1"/>
  <c r="H39" i="46"/>
  <c r="K39" i="46" s="1"/>
  <c r="H38" i="46"/>
  <c r="K38" i="46" s="1"/>
  <c r="H37" i="46"/>
  <c r="K37" i="46" s="1"/>
  <c r="D8" i="46"/>
  <c r="B109" i="42"/>
  <c r="B108" i="42"/>
  <c r="B107" i="42"/>
  <c r="B106" i="42"/>
  <c r="B105" i="42"/>
  <c r="B104" i="42"/>
  <c r="B103" i="42"/>
  <c r="B102" i="42"/>
  <c r="B101" i="42"/>
  <c r="B100" i="42"/>
  <c r="B99" i="42"/>
  <c r="B98" i="42"/>
  <c r="B97" i="42"/>
  <c r="B96" i="42"/>
  <c r="B95" i="42"/>
  <c r="B94" i="42"/>
  <c r="B93" i="42"/>
  <c r="B92" i="42"/>
  <c r="B91" i="42"/>
  <c r="B90" i="42"/>
  <c r="B89" i="42"/>
  <c r="B88" i="42"/>
  <c r="B87" i="42"/>
  <c r="B86" i="42"/>
  <c r="B85" i="42"/>
  <c r="B84" i="42"/>
  <c r="B83" i="42"/>
  <c r="B82" i="42"/>
  <c r="B81" i="42"/>
  <c r="B80" i="42"/>
  <c r="B79" i="42"/>
  <c r="B78" i="42"/>
  <c r="B77" i="42"/>
  <c r="B76" i="42"/>
  <c r="B75" i="42"/>
  <c r="B74" i="42"/>
  <c r="B73" i="42"/>
  <c r="B72" i="42"/>
  <c r="B71" i="42"/>
  <c r="B70" i="42"/>
  <c r="B69" i="42"/>
  <c r="B68" i="42"/>
  <c r="B67" i="42"/>
  <c r="B66" i="42"/>
  <c r="B65" i="42"/>
  <c r="B64" i="42"/>
  <c r="B63" i="42"/>
  <c r="B62" i="42"/>
  <c r="B61" i="42"/>
  <c r="B60" i="42"/>
  <c r="B59" i="42"/>
  <c r="B58" i="42"/>
  <c r="B57" i="42"/>
  <c r="B56" i="42"/>
  <c r="B55" i="42"/>
  <c r="B54" i="42"/>
  <c r="B53" i="42"/>
  <c r="B52" i="42"/>
  <c r="B51" i="42"/>
  <c r="B50" i="42"/>
  <c r="B49" i="42"/>
  <c r="B48" i="42"/>
  <c r="B47" i="42"/>
  <c r="B46" i="42"/>
  <c r="B45" i="42"/>
  <c r="B44" i="42"/>
  <c r="B43" i="42"/>
  <c r="B42" i="42"/>
  <c r="B41" i="42"/>
  <c r="B40" i="42"/>
  <c r="B39" i="42"/>
  <c r="B38" i="42"/>
  <c r="B37" i="42"/>
  <c r="B36" i="42"/>
  <c r="B35" i="42"/>
  <c r="B34" i="42"/>
  <c r="B33" i="42"/>
  <c r="B32" i="42"/>
  <c r="B31" i="42"/>
  <c r="B30" i="42"/>
  <c r="B29" i="42"/>
  <c r="B28" i="42"/>
  <c r="B27" i="42"/>
  <c r="B26" i="42"/>
  <c r="B25" i="42"/>
  <c r="B24" i="42"/>
  <c r="B23" i="42"/>
  <c r="B22" i="42"/>
  <c r="B21" i="42"/>
  <c r="B20" i="42"/>
  <c r="B19" i="42"/>
  <c r="B18" i="42"/>
  <c r="B17" i="42"/>
  <c r="B16" i="42"/>
  <c r="B15" i="42"/>
  <c r="B14" i="42"/>
  <c r="B13" i="42"/>
  <c r="B12" i="42"/>
  <c r="B11" i="42"/>
  <c r="B10" i="42"/>
  <c r="F9" i="42"/>
  <c r="F78" i="42" s="1"/>
  <c r="E9" i="42"/>
  <c r="E19" i="42" s="1"/>
  <c r="D9" i="42"/>
  <c r="D43" i="42" s="1"/>
  <c r="H256" i="41"/>
  <c r="H249" i="41"/>
  <c r="F249" i="41"/>
  <c r="F129" i="41"/>
  <c r="E129" i="41"/>
  <c r="F128" i="41"/>
  <c r="E128" i="41"/>
  <c r="F127" i="41"/>
  <c r="E127" i="41"/>
  <c r="F126" i="41"/>
  <c r="E126" i="41"/>
  <c r="F125" i="41"/>
  <c r="E125" i="41"/>
  <c r="F124" i="41"/>
  <c r="E124" i="41"/>
  <c r="F123" i="41"/>
  <c r="E123" i="41"/>
  <c r="F122" i="41"/>
  <c r="E122" i="41"/>
  <c r="F121" i="41"/>
  <c r="E121" i="41"/>
  <c r="F120" i="41"/>
  <c r="E120" i="41"/>
  <c r="F119" i="41"/>
  <c r="E119" i="41"/>
  <c r="F118" i="41"/>
  <c r="E118" i="41"/>
  <c r="F117" i="41"/>
  <c r="E117" i="41"/>
  <c r="F116" i="41"/>
  <c r="E116" i="41"/>
  <c r="F115" i="41"/>
  <c r="E115" i="41"/>
  <c r="F114" i="41"/>
  <c r="E114" i="41"/>
  <c r="F113" i="41"/>
  <c r="E113" i="41"/>
  <c r="F112" i="41"/>
  <c r="E112" i="41"/>
  <c r="F111" i="41"/>
  <c r="E111" i="41"/>
  <c r="F110" i="41"/>
  <c r="E110" i="41"/>
  <c r="F109" i="41"/>
  <c r="E109" i="41"/>
  <c r="F108" i="41"/>
  <c r="E108" i="41"/>
  <c r="F107" i="41"/>
  <c r="E107" i="41"/>
  <c r="F106" i="41"/>
  <c r="E106" i="41"/>
  <c r="F105" i="41"/>
  <c r="E105" i="41"/>
  <c r="F104" i="41"/>
  <c r="E104" i="41"/>
  <c r="F103" i="41"/>
  <c r="E103" i="41"/>
  <c r="F102" i="41"/>
  <c r="E102" i="41"/>
  <c r="F101" i="41"/>
  <c r="E101" i="41"/>
  <c r="F100" i="41"/>
  <c r="E100" i="41"/>
  <c r="F99" i="41"/>
  <c r="E99" i="41"/>
  <c r="F98" i="41"/>
  <c r="E98" i="41"/>
  <c r="F97" i="41"/>
  <c r="E97" i="41"/>
  <c r="F96" i="41"/>
  <c r="E96" i="41"/>
  <c r="F95" i="41"/>
  <c r="E95" i="41"/>
  <c r="F94" i="41"/>
  <c r="E94" i="41"/>
  <c r="F93" i="41"/>
  <c r="E93" i="41"/>
  <c r="F92" i="41"/>
  <c r="E92" i="41"/>
  <c r="F91" i="41"/>
  <c r="E91" i="41"/>
  <c r="F90" i="41"/>
  <c r="E90" i="41"/>
  <c r="F89" i="41"/>
  <c r="E89" i="41"/>
  <c r="F88" i="41"/>
  <c r="E88" i="41"/>
  <c r="F87" i="41"/>
  <c r="E87" i="41"/>
  <c r="F86" i="41"/>
  <c r="E86" i="41"/>
  <c r="F85" i="41"/>
  <c r="E85" i="41"/>
  <c r="F84" i="41"/>
  <c r="E84" i="41"/>
  <c r="F83" i="41"/>
  <c r="E83" i="41"/>
  <c r="F82" i="41"/>
  <c r="E82" i="41"/>
  <c r="F81" i="41"/>
  <c r="E81" i="41"/>
  <c r="F80" i="41"/>
  <c r="E80" i="41"/>
  <c r="F79" i="41"/>
  <c r="E79" i="41"/>
  <c r="F78" i="41"/>
  <c r="E78" i="41"/>
  <c r="F77" i="41"/>
  <c r="E77" i="41"/>
  <c r="F76" i="41"/>
  <c r="E76" i="41"/>
  <c r="F75" i="41"/>
  <c r="E75" i="41"/>
  <c r="F74" i="41"/>
  <c r="E74" i="41"/>
  <c r="F73" i="41"/>
  <c r="E73" i="41"/>
  <c r="F72" i="41"/>
  <c r="E72" i="41"/>
  <c r="F71" i="41"/>
  <c r="E71" i="41"/>
  <c r="F70" i="41"/>
  <c r="E70" i="41"/>
  <c r="F69" i="41"/>
  <c r="E69" i="41"/>
  <c r="F68" i="41"/>
  <c r="E68" i="41"/>
  <c r="F67" i="41"/>
  <c r="E67" i="41"/>
  <c r="F66" i="41"/>
  <c r="E66" i="41"/>
  <c r="F65" i="41"/>
  <c r="E65" i="41"/>
  <c r="F64" i="41"/>
  <c r="E64" i="41"/>
  <c r="F63" i="41"/>
  <c r="E63" i="41"/>
  <c r="F62" i="41"/>
  <c r="E62" i="41"/>
  <c r="F61" i="41"/>
  <c r="E61" i="41"/>
  <c r="F60" i="41"/>
  <c r="E60" i="41"/>
  <c r="F59" i="41"/>
  <c r="E59" i="41"/>
  <c r="F58" i="41"/>
  <c r="E58" i="41"/>
  <c r="F57" i="41"/>
  <c r="E57" i="41"/>
  <c r="F56" i="41"/>
  <c r="E56" i="41"/>
  <c r="F55" i="41"/>
  <c r="E55" i="41"/>
  <c r="F54" i="41"/>
  <c r="E54" i="41"/>
  <c r="F53" i="41"/>
  <c r="E53" i="41"/>
  <c r="F52" i="41"/>
  <c r="E52" i="41"/>
  <c r="F51" i="41"/>
  <c r="E51" i="41"/>
  <c r="F50" i="41"/>
  <c r="E50" i="41"/>
  <c r="F49" i="41"/>
  <c r="E49" i="41"/>
  <c r="F48" i="41"/>
  <c r="E48" i="41"/>
  <c r="F47" i="41"/>
  <c r="E47" i="41"/>
  <c r="F46" i="41"/>
  <c r="E46" i="41"/>
  <c r="F45" i="41"/>
  <c r="E45" i="41"/>
  <c r="F44" i="41"/>
  <c r="E44" i="41"/>
  <c r="F43" i="41"/>
  <c r="E43" i="41"/>
  <c r="F42" i="41"/>
  <c r="E42" i="41"/>
  <c r="F41" i="41"/>
  <c r="E41" i="41"/>
  <c r="F40" i="41"/>
  <c r="E40" i="41"/>
  <c r="F39" i="41"/>
  <c r="E39" i="41"/>
  <c r="F38" i="41"/>
  <c r="E38" i="41"/>
  <c r="F37" i="41"/>
  <c r="E37" i="41"/>
  <c r="F36" i="41"/>
  <c r="E36" i="41"/>
  <c r="F35" i="41"/>
  <c r="E35" i="41"/>
  <c r="F34" i="41"/>
  <c r="E34" i="41"/>
  <c r="F33" i="41"/>
  <c r="E33" i="41"/>
  <c r="F32" i="41"/>
  <c r="E32" i="41"/>
  <c r="F31" i="41"/>
  <c r="E31" i="41"/>
  <c r="F30" i="41"/>
  <c r="E30" i="41"/>
  <c r="D9" i="41"/>
  <c r="I166" i="26"/>
  <c r="J165" i="26"/>
  <c r="I165" i="26"/>
  <c r="H165" i="26"/>
  <c r="I153" i="26"/>
  <c r="H153" i="26"/>
  <c r="B153" i="26"/>
  <c r="I152" i="26"/>
  <c r="H152" i="26"/>
  <c r="B152" i="26"/>
  <c r="I151" i="26"/>
  <c r="H151" i="26"/>
  <c r="B151" i="26"/>
  <c r="I150" i="26"/>
  <c r="H150" i="26"/>
  <c r="B150" i="26"/>
  <c r="I149" i="26"/>
  <c r="H149" i="26"/>
  <c r="B149" i="26"/>
  <c r="I148" i="26"/>
  <c r="H148" i="26"/>
  <c r="B148" i="26"/>
  <c r="I147" i="26"/>
  <c r="H147" i="26"/>
  <c r="B147" i="26"/>
  <c r="I146" i="26"/>
  <c r="H146" i="26"/>
  <c r="B146" i="26"/>
  <c r="I145" i="26"/>
  <c r="H145" i="26"/>
  <c r="B145" i="26"/>
  <c r="I144" i="26"/>
  <c r="H144" i="26"/>
  <c r="B144" i="26"/>
  <c r="I143" i="26"/>
  <c r="H143" i="26"/>
  <c r="B143" i="26"/>
  <c r="I142" i="26"/>
  <c r="H142" i="26"/>
  <c r="B142" i="26"/>
  <c r="I141" i="26"/>
  <c r="H141" i="26"/>
  <c r="B141" i="26"/>
  <c r="I140" i="26"/>
  <c r="H140" i="26"/>
  <c r="B140" i="26"/>
  <c r="I139" i="26"/>
  <c r="H139" i="26"/>
  <c r="B139" i="26"/>
  <c r="I138" i="26"/>
  <c r="H138" i="26"/>
  <c r="B138" i="26"/>
  <c r="I137" i="26"/>
  <c r="H137" i="26"/>
  <c r="B137" i="26"/>
  <c r="I136" i="26"/>
  <c r="H136" i="26"/>
  <c r="B136" i="26"/>
  <c r="I135" i="26"/>
  <c r="H135" i="26"/>
  <c r="B135" i="26"/>
  <c r="I134" i="26"/>
  <c r="H134" i="26"/>
  <c r="B134" i="26"/>
  <c r="I133" i="26"/>
  <c r="H133" i="26"/>
  <c r="B133" i="26"/>
  <c r="I132" i="26"/>
  <c r="H132" i="26"/>
  <c r="B132" i="26"/>
  <c r="I131" i="26"/>
  <c r="H131" i="26"/>
  <c r="B131" i="26"/>
  <c r="I130" i="26"/>
  <c r="H130" i="26"/>
  <c r="B130" i="26"/>
  <c r="I129" i="26"/>
  <c r="H129" i="26"/>
  <c r="B129" i="26"/>
  <c r="I128" i="26"/>
  <c r="H128" i="26"/>
  <c r="B128" i="26"/>
  <c r="I127" i="26"/>
  <c r="H127" i="26"/>
  <c r="B127" i="26"/>
  <c r="I126" i="26"/>
  <c r="H126" i="26"/>
  <c r="B126" i="26"/>
  <c r="I125" i="26"/>
  <c r="H125" i="26"/>
  <c r="B125" i="26"/>
  <c r="I124" i="26"/>
  <c r="H124" i="26"/>
  <c r="B124" i="26"/>
  <c r="I123" i="26"/>
  <c r="H123" i="26"/>
  <c r="B123" i="26"/>
  <c r="I122" i="26"/>
  <c r="H122" i="26"/>
  <c r="B122" i="26"/>
  <c r="I121" i="26"/>
  <c r="H121" i="26"/>
  <c r="B121" i="26"/>
  <c r="I120" i="26"/>
  <c r="H120" i="26"/>
  <c r="B120" i="26"/>
  <c r="I119" i="26"/>
  <c r="H119" i="26"/>
  <c r="B119" i="26"/>
  <c r="I118" i="26"/>
  <c r="H118" i="26"/>
  <c r="B118" i="26"/>
  <c r="I117" i="26"/>
  <c r="H117" i="26"/>
  <c r="B117" i="26"/>
  <c r="I116" i="26"/>
  <c r="H116" i="26"/>
  <c r="B116" i="26"/>
  <c r="I115" i="26"/>
  <c r="H115" i="26"/>
  <c r="B115" i="26"/>
  <c r="I114" i="26"/>
  <c r="H114" i="26"/>
  <c r="B114" i="26"/>
  <c r="I113" i="26"/>
  <c r="H113" i="26"/>
  <c r="B113" i="26"/>
  <c r="I112" i="26"/>
  <c r="H112" i="26"/>
  <c r="B112" i="26"/>
  <c r="I111" i="26"/>
  <c r="H111" i="26"/>
  <c r="B111" i="26"/>
  <c r="I110" i="26"/>
  <c r="H110" i="26"/>
  <c r="B110" i="26"/>
  <c r="I109" i="26"/>
  <c r="H109" i="26"/>
  <c r="B109" i="26"/>
  <c r="I108" i="26"/>
  <c r="H108" i="26"/>
  <c r="B108" i="26"/>
  <c r="I107" i="26"/>
  <c r="H107" i="26"/>
  <c r="B107" i="26"/>
  <c r="I106" i="26"/>
  <c r="H106" i="26"/>
  <c r="B106" i="26"/>
  <c r="I105" i="26"/>
  <c r="H105" i="26"/>
  <c r="B105" i="26"/>
  <c r="I104" i="26"/>
  <c r="H104" i="26"/>
  <c r="B104" i="26"/>
  <c r="I103" i="26"/>
  <c r="H103" i="26"/>
  <c r="B103" i="26"/>
  <c r="I102" i="26"/>
  <c r="H102" i="26"/>
  <c r="B102" i="26"/>
  <c r="I101" i="26"/>
  <c r="H101" i="26"/>
  <c r="B101" i="26"/>
  <c r="I100" i="26"/>
  <c r="H100" i="26"/>
  <c r="B100" i="26"/>
  <c r="I99" i="26"/>
  <c r="H99" i="26"/>
  <c r="B99" i="26"/>
  <c r="I98" i="26"/>
  <c r="H98" i="26"/>
  <c r="B98" i="26"/>
  <c r="I97" i="26"/>
  <c r="H97" i="26"/>
  <c r="B97" i="26"/>
  <c r="I96" i="26"/>
  <c r="H96" i="26"/>
  <c r="B96" i="26"/>
  <c r="I95" i="26"/>
  <c r="H95" i="26"/>
  <c r="B95" i="26"/>
  <c r="I94" i="26"/>
  <c r="H94" i="26"/>
  <c r="B94" i="26"/>
  <c r="I93" i="26"/>
  <c r="H93" i="26"/>
  <c r="B93" i="26"/>
  <c r="I92" i="26"/>
  <c r="H92" i="26"/>
  <c r="B92" i="26"/>
  <c r="I91" i="26"/>
  <c r="H91" i="26"/>
  <c r="B91" i="26"/>
  <c r="I90" i="26"/>
  <c r="H90" i="26"/>
  <c r="B90" i="26"/>
  <c r="I89" i="26"/>
  <c r="H89" i="26"/>
  <c r="B89" i="26"/>
  <c r="I88" i="26"/>
  <c r="H88" i="26"/>
  <c r="B88" i="26"/>
  <c r="I87" i="26"/>
  <c r="H87" i="26"/>
  <c r="B87" i="26"/>
  <c r="I86" i="26"/>
  <c r="H86" i="26"/>
  <c r="B86" i="26"/>
  <c r="I85" i="26"/>
  <c r="H85" i="26"/>
  <c r="B85" i="26"/>
  <c r="I84" i="26"/>
  <c r="H84" i="26"/>
  <c r="B84" i="26"/>
  <c r="I83" i="26"/>
  <c r="H83" i="26"/>
  <c r="B83" i="26"/>
  <c r="I82" i="26"/>
  <c r="H82" i="26"/>
  <c r="B82" i="26"/>
  <c r="I81" i="26"/>
  <c r="H81" i="26"/>
  <c r="B81" i="26"/>
  <c r="I80" i="26"/>
  <c r="H80" i="26"/>
  <c r="B80" i="26"/>
  <c r="I79" i="26"/>
  <c r="H79" i="26"/>
  <c r="B79" i="26"/>
  <c r="I78" i="26"/>
  <c r="H78" i="26"/>
  <c r="B78" i="26"/>
  <c r="I77" i="26"/>
  <c r="H77" i="26"/>
  <c r="B77" i="26"/>
  <c r="I76" i="26"/>
  <c r="H76" i="26"/>
  <c r="B76" i="26"/>
  <c r="I75" i="26"/>
  <c r="H75" i="26"/>
  <c r="B75" i="26"/>
  <c r="I74" i="26"/>
  <c r="H74" i="26"/>
  <c r="B74" i="26"/>
  <c r="I73" i="26"/>
  <c r="H73" i="26"/>
  <c r="B73" i="26"/>
  <c r="I72" i="26"/>
  <c r="H72" i="26"/>
  <c r="B72" i="26"/>
  <c r="I71" i="26"/>
  <c r="H71" i="26"/>
  <c r="B71" i="26"/>
  <c r="I70" i="26"/>
  <c r="H70" i="26"/>
  <c r="B70" i="26"/>
  <c r="I69" i="26"/>
  <c r="H69" i="26"/>
  <c r="B69" i="26"/>
  <c r="I68" i="26"/>
  <c r="H68" i="26"/>
  <c r="B68" i="26"/>
  <c r="I67" i="26"/>
  <c r="H67" i="26"/>
  <c r="B67" i="26"/>
  <c r="I66" i="26"/>
  <c r="H66" i="26"/>
  <c r="B66" i="26"/>
  <c r="I65" i="26"/>
  <c r="H65" i="26"/>
  <c r="B65" i="26"/>
  <c r="I64" i="26"/>
  <c r="H64" i="26"/>
  <c r="B64" i="26"/>
  <c r="I63" i="26"/>
  <c r="H63" i="26"/>
  <c r="B63" i="26"/>
  <c r="I62" i="26"/>
  <c r="H62" i="26"/>
  <c r="B62" i="26"/>
  <c r="I61" i="26"/>
  <c r="H61" i="26"/>
  <c r="B61" i="26"/>
  <c r="I60" i="26"/>
  <c r="H60" i="26"/>
  <c r="B60" i="26"/>
  <c r="I59" i="26"/>
  <c r="H59" i="26"/>
  <c r="B59" i="26"/>
  <c r="I58" i="26"/>
  <c r="H58" i="26"/>
  <c r="B58" i="26"/>
  <c r="I57" i="26"/>
  <c r="H57" i="26"/>
  <c r="B57" i="26"/>
  <c r="I56" i="26"/>
  <c r="H56" i="26"/>
  <c r="B56" i="26"/>
  <c r="I55" i="26"/>
  <c r="H55" i="26"/>
  <c r="B55" i="26"/>
  <c r="I54" i="26"/>
  <c r="H54" i="26"/>
  <c r="B54" i="26"/>
  <c r="B47" i="26"/>
  <c r="B46" i="26"/>
  <c r="B45" i="26"/>
  <c r="B44" i="26"/>
  <c r="B43" i="26"/>
  <c r="B42" i="26"/>
  <c r="B41" i="26"/>
  <c r="B40" i="26"/>
  <c r="B39" i="26"/>
  <c r="B38" i="26"/>
  <c r="B37" i="26"/>
  <c r="B36" i="26"/>
  <c r="B35" i="26"/>
  <c r="B34" i="26"/>
  <c r="B33" i="26"/>
  <c r="B32" i="26"/>
  <c r="B31" i="26"/>
  <c r="B30" i="26"/>
  <c r="B29" i="26"/>
  <c r="B28" i="26"/>
  <c r="D27" i="26"/>
  <c r="B27" i="26"/>
  <c r="B26" i="26"/>
  <c r="B25" i="26"/>
  <c r="B24" i="26"/>
  <c r="D23" i="26"/>
  <c r="B23" i="26"/>
  <c r="D22" i="26"/>
  <c r="B22" i="26"/>
  <c r="B21" i="26"/>
  <c r="B20" i="26"/>
  <c r="B19" i="26"/>
  <c r="D16" i="26"/>
  <c r="C16" i="26"/>
  <c r="H21" i="26" s="1"/>
  <c r="B16" i="26"/>
  <c r="G21" i="26" s="1"/>
  <c r="D15" i="26"/>
  <c r="C15" i="26"/>
  <c r="H20" i="26" s="1"/>
  <c r="B15" i="26"/>
  <c r="D14" i="26"/>
  <c r="C14" i="26"/>
  <c r="H19" i="26" s="1"/>
  <c r="B14" i="26"/>
  <c r="G19" i="26" s="1"/>
  <c r="B9" i="25"/>
  <c r="D134" i="32"/>
  <c r="C134" i="32"/>
  <c r="E134" i="32" s="1"/>
  <c r="F134" i="32" s="1"/>
  <c r="L134" i="32" s="1"/>
  <c r="D133" i="32"/>
  <c r="C133" i="32"/>
  <c r="D132" i="32"/>
  <c r="C132" i="32"/>
  <c r="E132" i="32" s="1"/>
  <c r="F132" i="32" s="1"/>
  <c r="L132" i="32" s="1"/>
  <c r="D131" i="32"/>
  <c r="C131" i="32"/>
  <c r="D130" i="32"/>
  <c r="C130" i="32"/>
  <c r="E130" i="32" s="1"/>
  <c r="F130" i="32" s="1"/>
  <c r="L130" i="32" s="1"/>
  <c r="D129" i="32"/>
  <c r="C129" i="32"/>
  <c r="D128" i="32"/>
  <c r="C128" i="32"/>
  <c r="E128" i="32" s="1"/>
  <c r="F128" i="32" s="1"/>
  <c r="L128" i="32" s="1"/>
  <c r="D127" i="32"/>
  <c r="E127" i="32" s="1"/>
  <c r="F127" i="32" s="1"/>
  <c r="L127" i="32" s="1"/>
  <c r="C127" i="32"/>
  <c r="D126" i="32"/>
  <c r="C126" i="32"/>
  <c r="E126" i="32" s="1"/>
  <c r="F126" i="32" s="1"/>
  <c r="L126" i="32" s="1"/>
  <c r="D125" i="32"/>
  <c r="C125" i="32"/>
  <c r="E125" i="32" s="1"/>
  <c r="F125" i="32" s="1"/>
  <c r="L125" i="32" s="1"/>
  <c r="D124" i="32"/>
  <c r="C124" i="32"/>
  <c r="E124" i="32" s="1"/>
  <c r="F124" i="32" s="1"/>
  <c r="L124" i="32" s="1"/>
  <c r="L123" i="32"/>
  <c r="K123" i="32"/>
  <c r="D123" i="32"/>
  <c r="C123" i="32"/>
  <c r="L122" i="32"/>
  <c r="K122" i="32"/>
  <c r="D122" i="32"/>
  <c r="C122" i="32"/>
  <c r="E122" i="32" s="1"/>
  <c r="F122" i="32" s="1"/>
  <c r="L121" i="32"/>
  <c r="K121" i="32"/>
  <c r="D121" i="32"/>
  <c r="C121" i="32"/>
  <c r="L120" i="32"/>
  <c r="K120" i="32"/>
  <c r="D120" i="32"/>
  <c r="C120" i="32"/>
  <c r="E120" i="32" s="1"/>
  <c r="F120" i="32" s="1"/>
  <c r="L119" i="32"/>
  <c r="K119" i="32"/>
  <c r="D119" i="32"/>
  <c r="C119" i="32"/>
  <c r="L118" i="32"/>
  <c r="K118" i="32"/>
  <c r="D118" i="32"/>
  <c r="C118" i="32"/>
  <c r="E118" i="32" s="1"/>
  <c r="F118" i="32" s="1"/>
  <c r="L117" i="32"/>
  <c r="K117" i="32"/>
  <c r="D117" i="32"/>
  <c r="C117" i="32"/>
  <c r="L116" i="32"/>
  <c r="K116" i="32"/>
  <c r="D116" i="32"/>
  <c r="C116" i="32"/>
  <c r="E116" i="32" s="1"/>
  <c r="F116" i="32" s="1"/>
  <c r="L115" i="32"/>
  <c r="K115" i="32"/>
  <c r="L114" i="32"/>
  <c r="K114" i="32"/>
  <c r="L113" i="32"/>
  <c r="K113" i="32"/>
  <c r="B100" i="32"/>
  <c r="B124" i="32" s="1"/>
  <c r="K124" i="32" s="1"/>
  <c r="H82" i="32"/>
  <c r="F82" i="32"/>
  <c r="G82" i="32" s="1"/>
  <c r="B82" i="32"/>
  <c r="B110" i="32" s="1"/>
  <c r="B134" i="32" s="1"/>
  <c r="K134" i="32" s="1"/>
  <c r="H80" i="32"/>
  <c r="F80" i="32"/>
  <c r="G80" i="32" s="1"/>
  <c r="B80" i="32"/>
  <c r="B109" i="32" s="1"/>
  <c r="B133" i="32" s="1"/>
  <c r="K133" i="32" s="1"/>
  <c r="H79" i="32"/>
  <c r="F79" i="32"/>
  <c r="G79" i="32" s="1"/>
  <c r="B79" i="32"/>
  <c r="B108" i="32" s="1"/>
  <c r="B132" i="32" s="1"/>
  <c r="K132" i="32" s="1"/>
  <c r="H78" i="32"/>
  <c r="F78" i="32"/>
  <c r="G78" i="32" s="1"/>
  <c r="B78" i="32"/>
  <c r="B107" i="32" s="1"/>
  <c r="B131" i="32" s="1"/>
  <c r="K131" i="32" s="1"/>
  <c r="H77" i="32"/>
  <c r="F77" i="32"/>
  <c r="G77" i="32" s="1"/>
  <c r="B77" i="32"/>
  <c r="B106" i="32" s="1"/>
  <c r="B130" i="32" s="1"/>
  <c r="K130" i="32" s="1"/>
  <c r="H76" i="32"/>
  <c r="F76" i="32"/>
  <c r="G76" i="32" s="1"/>
  <c r="B76" i="32"/>
  <c r="B105" i="32" s="1"/>
  <c r="B129" i="32" s="1"/>
  <c r="K129" i="32" s="1"/>
  <c r="H75" i="32"/>
  <c r="F75" i="32"/>
  <c r="G75" i="32" s="1"/>
  <c r="D75" i="32"/>
  <c r="I75" i="32" s="1"/>
  <c r="J75" i="32" s="1"/>
  <c r="B75" i="32"/>
  <c r="B104" i="32" s="1"/>
  <c r="B128" i="32" s="1"/>
  <c r="K128" i="32" s="1"/>
  <c r="H74" i="32"/>
  <c r="F74" i="32"/>
  <c r="G74" i="32" s="1"/>
  <c r="B74" i="32"/>
  <c r="B103" i="32" s="1"/>
  <c r="B127" i="32" s="1"/>
  <c r="K127" i="32" s="1"/>
  <c r="R73" i="32"/>
  <c r="H73" i="32"/>
  <c r="F73" i="32"/>
  <c r="G73" i="32" s="1"/>
  <c r="B73" i="32"/>
  <c r="B102" i="32" s="1"/>
  <c r="B126" i="32" s="1"/>
  <c r="K126" i="32" s="1"/>
  <c r="R72" i="32"/>
  <c r="H72" i="32"/>
  <c r="F72" i="32"/>
  <c r="G72" i="32" s="1"/>
  <c r="B72" i="32"/>
  <c r="B101" i="32" s="1"/>
  <c r="B125" i="32" s="1"/>
  <c r="K125" i="32" s="1"/>
  <c r="R71" i="32"/>
  <c r="H71" i="32"/>
  <c r="F71" i="32"/>
  <c r="G71" i="32" s="1"/>
  <c r="B71" i="32"/>
  <c r="R70" i="32"/>
  <c r="H70" i="32"/>
  <c r="F70" i="32"/>
  <c r="G70" i="32" s="1"/>
  <c r="E70" i="32"/>
  <c r="C70" i="32"/>
  <c r="I70" i="32" s="1"/>
  <c r="J70" i="32" s="1"/>
  <c r="B70" i="32"/>
  <c r="B99" i="32" s="1"/>
  <c r="B123" i="32" s="1"/>
  <c r="R69" i="32"/>
  <c r="H69" i="32"/>
  <c r="F69" i="32"/>
  <c r="G69" i="32" s="1"/>
  <c r="E69" i="32"/>
  <c r="C69" i="32"/>
  <c r="R68" i="32"/>
  <c r="H68" i="32"/>
  <c r="F68" i="32"/>
  <c r="G68" i="32" s="1"/>
  <c r="E68" i="32"/>
  <c r="C68" i="32"/>
  <c r="I68" i="32" s="1"/>
  <c r="J68" i="32" s="1"/>
  <c r="R67" i="32"/>
  <c r="H67" i="32"/>
  <c r="F67" i="32"/>
  <c r="G67" i="32" s="1"/>
  <c r="E67" i="32"/>
  <c r="C67" i="32"/>
  <c r="R66" i="32"/>
  <c r="H66" i="32"/>
  <c r="F66" i="32"/>
  <c r="G66" i="32" s="1"/>
  <c r="E66" i="32"/>
  <c r="C66" i="32"/>
  <c r="R65" i="32"/>
  <c r="H65" i="32"/>
  <c r="F65" i="32"/>
  <c r="G65" i="32" s="1"/>
  <c r="E65" i="32"/>
  <c r="C65" i="32"/>
  <c r="R64" i="32"/>
  <c r="H64" i="32"/>
  <c r="F64" i="32"/>
  <c r="G64" i="32" s="1"/>
  <c r="E64" i="32"/>
  <c r="C64" i="32"/>
  <c r="R63" i="32"/>
  <c r="H63" i="32"/>
  <c r="F63" i="32"/>
  <c r="G63" i="32" s="1"/>
  <c r="E63" i="32"/>
  <c r="C63" i="32"/>
  <c r="R54" i="32"/>
  <c r="D82" i="32" s="1"/>
  <c r="N54" i="32"/>
  <c r="R53" i="32"/>
  <c r="D80" i="32" s="1"/>
  <c r="N53" i="32"/>
  <c r="R52" i="32"/>
  <c r="D79" i="32" s="1"/>
  <c r="I79" i="32" s="1"/>
  <c r="J79" i="32" s="1"/>
  <c r="N52" i="32"/>
  <c r="R51" i="32"/>
  <c r="D78" i="32" s="1"/>
  <c r="N51" i="32"/>
  <c r="R50" i="32"/>
  <c r="D77" i="32" s="1"/>
  <c r="N50" i="32"/>
  <c r="R49" i="32"/>
  <c r="D76" i="32" s="1"/>
  <c r="I76" i="32" s="1"/>
  <c r="J76" i="32" s="1"/>
  <c r="N49" i="32"/>
  <c r="R48" i="32"/>
  <c r="N48" i="32"/>
  <c r="R47" i="32"/>
  <c r="D74" i="32" s="1"/>
  <c r="N47" i="32"/>
  <c r="R46" i="32"/>
  <c r="D73" i="32" s="1"/>
  <c r="I73" i="32" s="1"/>
  <c r="J73" i="32" s="1"/>
  <c r="N46" i="32"/>
  <c r="R45" i="32"/>
  <c r="D72" i="32" s="1"/>
  <c r="N45" i="32"/>
  <c r="R44" i="32"/>
  <c r="D71" i="32" s="1"/>
  <c r="N44" i="32"/>
  <c r="N40" i="32"/>
  <c r="B39" i="32"/>
  <c r="B69" i="32" s="1"/>
  <c r="B98" i="32" s="1"/>
  <c r="B122" i="32" s="1"/>
  <c r="B38" i="32"/>
  <c r="B68" i="32" s="1"/>
  <c r="B97" i="32" s="1"/>
  <c r="B121" i="32" s="1"/>
  <c r="B37" i="32"/>
  <c r="B36" i="32"/>
  <c r="B66" i="32" s="1"/>
  <c r="B95" i="32" s="1"/>
  <c r="B119" i="32" s="1"/>
  <c r="B35" i="32"/>
  <c r="N35" i="32" s="1"/>
  <c r="B34" i="32"/>
  <c r="N34" i="32" s="1"/>
  <c r="B33" i="32"/>
  <c r="N33" i="32" s="1"/>
  <c r="E42" i="57"/>
  <c r="E40" i="57"/>
  <c r="E39" i="57"/>
  <c r="E38" i="57"/>
  <c r="B18" i="57"/>
  <c r="B39" i="57" s="1"/>
  <c r="B17" i="57"/>
  <c r="B16" i="57"/>
  <c r="R264" i="56"/>
  <c r="R263" i="56"/>
  <c r="R262" i="56"/>
  <c r="R261" i="56"/>
  <c r="R260" i="56"/>
  <c r="R259" i="56"/>
  <c r="R258" i="56"/>
  <c r="R257" i="56"/>
  <c r="R256" i="56"/>
  <c r="R255" i="56"/>
  <c r="R254" i="56"/>
  <c r="R253" i="56"/>
  <c r="R252" i="56"/>
  <c r="R251" i="56"/>
  <c r="R250" i="56"/>
  <c r="R249" i="56"/>
  <c r="R248" i="56"/>
  <c r="R247" i="56"/>
  <c r="R246" i="56"/>
  <c r="R245" i="56"/>
  <c r="R244" i="56"/>
  <c r="R243" i="56"/>
  <c r="R242" i="56"/>
  <c r="R241" i="56"/>
  <c r="R240" i="56"/>
  <c r="R239" i="56"/>
  <c r="R238" i="56"/>
  <c r="R237" i="56"/>
  <c r="R236" i="56"/>
  <c r="R235" i="56"/>
  <c r="R234" i="56"/>
  <c r="R233" i="56"/>
  <c r="R232" i="56"/>
  <c r="R231" i="56"/>
  <c r="R230" i="56"/>
  <c r="R229" i="56"/>
  <c r="R228" i="56"/>
  <c r="R227" i="56"/>
  <c r="R226" i="56"/>
  <c r="R225" i="56"/>
  <c r="R224" i="56"/>
  <c r="R223" i="56"/>
  <c r="R222" i="56"/>
  <c r="R221" i="56"/>
  <c r="R220" i="56"/>
  <c r="R219" i="56"/>
  <c r="R218" i="56"/>
  <c r="R217" i="56"/>
  <c r="R216" i="56"/>
  <c r="R215" i="56"/>
  <c r="R214" i="56"/>
  <c r="R213" i="56"/>
  <c r="R212" i="56"/>
  <c r="R211" i="56"/>
  <c r="R210" i="56"/>
  <c r="R209" i="56"/>
  <c r="R208" i="56"/>
  <c r="R207" i="56"/>
  <c r="R206" i="56"/>
  <c r="R205" i="56"/>
  <c r="R204" i="56"/>
  <c r="R203" i="56"/>
  <c r="R202" i="56"/>
  <c r="R201" i="56"/>
  <c r="R200" i="56"/>
  <c r="R199" i="56"/>
  <c r="R198" i="56"/>
  <c r="R197" i="56"/>
  <c r="R196" i="56"/>
  <c r="R195" i="56"/>
  <c r="R194" i="56"/>
  <c r="R193" i="56"/>
  <c r="R192" i="56"/>
  <c r="R191" i="56"/>
  <c r="R190" i="56"/>
  <c r="R189" i="56"/>
  <c r="R188" i="56"/>
  <c r="R187" i="56"/>
  <c r="R186" i="56"/>
  <c r="R185" i="56"/>
  <c r="R184" i="56"/>
  <c r="R183" i="56"/>
  <c r="R182" i="56"/>
  <c r="R181" i="56"/>
  <c r="R180" i="56"/>
  <c r="R179" i="56"/>
  <c r="R178" i="56"/>
  <c r="R177" i="56"/>
  <c r="R176" i="56"/>
  <c r="R175" i="56"/>
  <c r="R174" i="56"/>
  <c r="R173" i="56"/>
  <c r="R172" i="56"/>
  <c r="R171" i="56"/>
  <c r="R170" i="56"/>
  <c r="R169" i="56"/>
  <c r="R168" i="56"/>
  <c r="R167" i="56"/>
  <c r="R166" i="56"/>
  <c r="R165" i="56"/>
  <c r="J143" i="56"/>
  <c r="H143" i="56"/>
  <c r="B9" i="56"/>
  <c r="M20" i="16"/>
  <c r="G16" i="49" s="1"/>
  <c r="L20" i="16"/>
  <c r="F16" i="49" s="1"/>
  <c r="K20" i="16"/>
  <c r="D16" i="49" s="1"/>
  <c r="M19" i="16"/>
  <c r="G15" i="49" s="1"/>
  <c r="L19" i="16"/>
  <c r="F15" i="49" s="1"/>
  <c r="K19" i="16"/>
  <c r="D15" i="49" s="1"/>
  <c r="M18" i="16"/>
  <c r="G14" i="49" s="1"/>
  <c r="L18" i="16"/>
  <c r="F14" i="49" s="1"/>
  <c r="K18" i="16"/>
  <c r="D14" i="49" s="1"/>
  <c r="M17" i="16"/>
  <c r="G13" i="49" s="1"/>
  <c r="L17" i="16"/>
  <c r="F13" i="49" s="1"/>
  <c r="K17" i="16"/>
  <c r="D13" i="49" s="1"/>
  <c r="M16" i="16"/>
  <c r="G12" i="49" s="1"/>
  <c r="L16" i="16"/>
  <c r="F12" i="49" s="1"/>
  <c r="K16" i="16"/>
  <c r="D12" i="49" s="1"/>
  <c r="M15" i="16"/>
  <c r="G11" i="49" s="1"/>
  <c r="L15" i="16"/>
  <c r="F11" i="49" s="1"/>
  <c r="K15" i="16"/>
  <c r="D11" i="49" s="1"/>
  <c r="E15" i="16"/>
  <c r="M14" i="16"/>
  <c r="G10" i="49" s="1"/>
  <c r="L14" i="16"/>
  <c r="F10" i="49" s="1"/>
  <c r="K14" i="16"/>
  <c r="D10" i="49" s="1"/>
  <c r="G14" i="16"/>
  <c r="F14" i="16"/>
  <c r="E14" i="16"/>
  <c r="M13" i="16"/>
  <c r="G9" i="49" s="1"/>
  <c r="L13" i="16"/>
  <c r="F9" i="49" s="1"/>
  <c r="K13" i="16"/>
  <c r="G13" i="16"/>
  <c r="F13" i="16"/>
  <c r="E13" i="16"/>
  <c r="A12" i="16"/>
  <c r="A11" i="16"/>
  <c r="A10" i="16"/>
  <c r="B9" i="15"/>
  <c r="W217" i="18"/>
  <c r="V217" i="18"/>
  <c r="R217" i="18"/>
  <c r="Q217" i="18"/>
  <c r="P217" i="18"/>
  <c r="O217" i="18"/>
  <c r="M217" i="18"/>
  <c r="L217" i="18"/>
  <c r="K217" i="18"/>
  <c r="B217" i="18"/>
  <c r="H216" i="18"/>
  <c r="V216" i="18" s="1"/>
  <c r="G216" i="18"/>
  <c r="E216" i="18"/>
  <c r="D216" i="18"/>
  <c r="C216" i="18"/>
  <c r="M216" i="18" s="1"/>
  <c r="B216" i="18"/>
  <c r="H215" i="18"/>
  <c r="V215" i="18" s="1"/>
  <c r="G215" i="18"/>
  <c r="E215" i="18"/>
  <c r="D215" i="18"/>
  <c r="C215" i="18"/>
  <c r="K215" i="18" s="1"/>
  <c r="B215" i="18"/>
  <c r="H214" i="18"/>
  <c r="V214" i="18" s="1"/>
  <c r="G214" i="18"/>
  <c r="E214" i="18"/>
  <c r="D214" i="18"/>
  <c r="C214" i="18"/>
  <c r="L214" i="18" s="1"/>
  <c r="B214" i="18"/>
  <c r="H213" i="18"/>
  <c r="V213" i="18" s="1"/>
  <c r="G213" i="18"/>
  <c r="E213" i="18"/>
  <c r="D213" i="18"/>
  <c r="C213" i="18"/>
  <c r="B213" i="18"/>
  <c r="H212" i="18"/>
  <c r="V212" i="18" s="1"/>
  <c r="G212" i="18"/>
  <c r="E212" i="18"/>
  <c r="D212" i="18"/>
  <c r="C212" i="18"/>
  <c r="B212" i="18"/>
  <c r="H211" i="18"/>
  <c r="V211" i="18" s="1"/>
  <c r="G211" i="18"/>
  <c r="E211" i="18"/>
  <c r="D211" i="18"/>
  <c r="C211" i="18"/>
  <c r="R211" i="18" s="1"/>
  <c r="B211" i="18"/>
  <c r="H210" i="18"/>
  <c r="V210" i="18" s="1"/>
  <c r="G210" i="18"/>
  <c r="E210" i="18"/>
  <c r="D210" i="18"/>
  <c r="C210" i="18"/>
  <c r="B210" i="18"/>
  <c r="H209" i="18"/>
  <c r="V209" i="18" s="1"/>
  <c r="G209" i="18"/>
  <c r="E209" i="18"/>
  <c r="D209" i="18"/>
  <c r="C209" i="18"/>
  <c r="B209" i="18"/>
  <c r="H208" i="18"/>
  <c r="V208" i="18" s="1"/>
  <c r="G208" i="18"/>
  <c r="E208" i="18"/>
  <c r="D208" i="18"/>
  <c r="C208" i="18"/>
  <c r="B208" i="18"/>
  <c r="H207" i="18"/>
  <c r="V207" i="18" s="1"/>
  <c r="G207" i="18"/>
  <c r="E207" i="18"/>
  <c r="D207" i="18"/>
  <c r="C207" i="18"/>
  <c r="W207" i="18" s="1"/>
  <c r="X207" i="18" s="1"/>
  <c r="B207" i="18"/>
  <c r="H206" i="18"/>
  <c r="V206" i="18" s="1"/>
  <c r="G206" i="18"/>
  <c r="E206" i="18"/>
  <c r="D206" i="18"/>
  <c r="C206" i="18"/>
  <c r="W206" i="18" s="1"/>
  <c r="X206" i="18" s="1"/>
  <c r="B206" i="18"/>
  <c r="H205" i="18"/>
  <c r="V205" i="18" s="1"/>
  <c r="G205" i="18"/>
  <c r="E205" i="18"/>
  <c r="D205" i="18"/>
  <c r="C205" i="18"/>
  <c r="B205" i="18"/>
  <c r="H204" i="18"/>
  <c r="V204" i="18" s="1"/>
  <c r="G204" i="18"/>
  <c r="E204" i="18"/>
  <c r="D204" i="18"/>
  <c r="C204" i="18"/>
  <c r="W204" i="18" s="1"/>
  <c r="X204" i="18" s="1"/>
  <c r="B204" i="18"/>
  <c r="H203" i="18"/>
  <c r="V203" i="18" s="1"/>
  <c r="G203" i="18"/>
  <c r="E203" i="18"/>
  <c r="D203" i="18"/>
  <c r="C203" i="18"/>
  <c r="L203" i="18" s="1"/>
  <c r="B203" i="18"/>
  <c r="H202" i="18"/>
  <c r="V202" i="18" s="1"/>
  <c r="G202" i="18"/>
  <c r="E202" i="18"/>
  <c r="D202" i="18"/>
  <c r="C202" i="18"/>
  <c r="B202" i="18"/>
  <c r="H201" i="18"/>
  <c r="V201" i="18" s="1"/>
  <c r="G201" i="18"/>
  <c r="E201" i="18"/>
  <c r="D201" i="18"/>
  <c r="C201" i="18"/>
  <c r="B201" i="18"/>
  <c r="H200" i="18"/>
  <c r="V200" i="18" s="1"/>
  <c r="G200" i="18"/>
  <c r="E200" i="18"/>
  <c r="D200" i="18"/>
  <c r="C200" i="18"/>
  <c r="R200" i="18" s="1"/>
  <c r="B200" i="18"/>
  <c r="H199" i="18"/>
  <c r="V199" i="18" s="1"/>
  <c r="G199" i="18"/>
  <c r="E199" i="18"/>
  <c r="D199" i="18"/>
  <c r="C199" i="18"/>
  <c r="B199" i="18"/>
  <c r="H198" i="18"/>
  <c r="V198" i="18" s="1"/>
  <c r="G198" i="18"/>
  <c r="E198" i="18"/>
  <c r="D198" i="18"/>
  <c r="C198" i="18"/>
  <c r="B198" i="18"/>
  <c r="H197" i="18"/>
  <c r="V197" i="18" s="1"/>
  <c r="G197" i="18"/>
  <c r="E197" i="18"/>
  <c r="D197" i="18"/>
  <c r="C197" i="18"/>
  <c r="B197" i="18"/>
  <c r="H196" i="18"/>
  <c r="V196" i="18" s="1"/>
  <c r="G196" i="18"/>
  <c r="E196" i="18"/>
  <c r="D196" i="18"/>
  <c r="C196" i="18"/>
  <c r="B196" i="18"/>
  <c r="H195" i="18"/>
  <c r="V195" i="18" s="1"/>
  <c r="G195" i="18"/>
  <c r="E195" i="18"/>
  <c r="D195" i="18"/>
  <c r="C195" i="18"/>
  <c r="K195" i="18" s="1"/>
  <c r="B195" i="18"/>
  <c r="H194" i="18"/>
  <c r="V194" i="18" s="1"/>
  <c r="G194" i="18"/>
  <c r="E194" i="18"/>
  <c r="D194" i="18"/>
  <c r="C194" i="18"/>
  <c r="W194" i="18" s="1"/>
  <c r="X194" i="18" s="1"/>
  <c r="B194" i="18"/>
  <c r="H193" i="18"/>
  <c r="V193" i="18" s="1"/>
  <c r="G193" i="18"/>
  <c r="E193" i="18"/>
  <c r="D193" i="18"/>
  <c r="C193" i="18"/>
  <c r="R193" i="18" s="1"/>
  <c r="B193" i="18"/>
  <c r="H192" i="18"/>
  <c r="V192" i="18" s="1"/>
  <c r="G192" i="18"/>
  <c r="E192" i="18"/>
  <c r="D192" i="18"/>
  <c r="C192" i="18"/>
  <c r="R192" i="18" s="1"/>
  <c r="B192" i="18"/>
  <c r="H191" i="18"/>
  <c r="V191" i="18" s="1"/>
  <c r="G191" i="18"/>
  <c r="E191" i="18"/>
  <c r="D191" i="18"/>
  <c r="C191" i="18"/>
  <c r="B191" i="18"/>
  <c r="H190" i="18"/>
  <c r="V190" i="18" s="1"/>
  <c r="G190" i="18"/>
  <c r="E190" i="18"/>
  <c r="D190" i="18"/>
  <c r="C190" i="18"/>
  <c r="B190" i="18"/>
  <c r="H189" i="18"/>
  <c r="V189" i="18" s="1"/>
  <c r="G189" i="18"/>
  <c r="E189" i="18"/>
  <c r="D189" i="18"/>
  <c r="C189" i="18"/>
  <c r="W189" i="18" s="1"/>
  <c r="X189" i="18" s="1"/>
  <c r="B189" i="18"/>
  <c r="H188" i="18"/>
  <c r="V188" i="18" s="1"/>
  <c r="G188" i="18"/>
  <c r="E188" i="18"/>
  <c r="D188" i="18"/>
  <c r="C188" i="18"/>
  <c r="B188" i="18"/>
  <c r="H187" i="18"/>
  <c r="V187" i="18" s="1"/>
  <c r="G187" i="18"/>
  <c r="E187" i="18"/>
  <c r="D187" i="18"/>
  <c r="C187" i="18"/>
  <c r="B187" i="18"/>
  <c r="H186" i="18"/>
  <c r="V186" i="18" s="1"/>
  <c r="G186" i="18"/>
  <c r="E186" i="18"/>
  <c r="D186" i="18"/>
  <c r="C186" i="18"/>
  <c r="W186" i="18" s="1"/>
  <c r="X186" i="18" s="1"/>
  <c r="B186" i="18"/>
  <c r="H185" i="18"/>
  <c r="V185" i="18" s="1"/>
  <c r="G185" i="18"/>
  <c r="E185" i="18"/>
  <c r="D185" i="18"/>
  <c r="C185" i="18"/>
  <c r="W185" i="18" s="1"/>
  <c r="X185" i="18" s="1"/>
  <c r="B185" i="18"/>
  <c r="H184" i="18"/>
  <c r="V184" i="18" s="1"/>
  <c r="G184" i="18"/>
  <c r="E184" i="18"/>
  <c r="D184" i="18"/>
  <c r="C184" i="18"/>
  <c r="B184" i="18"/>
  <c r="H183" i="18"/>
  <c r="V183" i="18" s="1"/>
  <c r="G183" i="18"/>
  <c r="E183" i="18"/>
  <c r="D183" i="18"/>
  <c r="C183" i="18"/>
  <c r="W183" i="18" s="1"/>
  <c r="X183" i="18" s="1"/>
  <c r="B183" i="18"/>
  <c r="H182" i="18"/>
  <c r="V182" i="18" s="1"/>
  <c r="G182" i="18"/>
  <c r="E182" i="18"/>
  <c r="D182" i="18"/>
  <c r="C182" i="18"/>
  <c r="B182" i="18"/>
  <c r="H181" i="18"/>
  <c r="V181" i="18" s="1"/>
  <c r="G181" i="18"/>
  <c r="E181" i="18"/>
  <c r="D181" i="18"/>
  <c r="C181" i="18"/>
  <c r="B181" i="18"/>
  <c r="H180" i="18"/>
  <c r="V180" i="18" s="1"/>
  <c r="G180" i="18"/>
  <c r="E180" i="18"/>
  <c r="D180" i="18"/>
  <c r="C180" i="18"/>
  <c r="M180" i="18" s="1"/>
  <c r="B180" i="18"/>
  <c r="H179" i="18"/>
  <c r="V179" i="18" s="1"/>
  <c r="G179" i="18"/>
  <c r="E179" i="18"/>
  <c r="D179" i="18"/>
  <c r="C179" i="18"/>
  <c r="B179" i="18"/>
  <c r="H178" i="18"/>
  <c r="V178" i="18" s="1"/>
  <c r="G178" i="18"/>
  <c r="E178" i="18"/>
  <c r="D178" i="18"/>
  <c r="C178" i="18"/>
  <c r="R178" i="18" s="1"/>
  <c r="B178" i="18"/>
  <c r="H177" i="18"/>
  <c r="V177" i="18" s="1"/>
  <c r="G177" i="18"/>
  <c r="E177" i="18"/>
  <c r="D177" i="18"/>
  <c r="C177" i="18"/>
  <c r="K177" i="18" s="1"/>
  <c r="B177" i="18"/>
  <c r="H176" i="18"/>
  <c r="V176" i="18" s="1"/>
  <c r="G176" i="18"/>
  <c r="E176" i="18"/>
  <c r="D176" i="18"/>
  <c r="C176" i="18"/>
  <c r="P176" i="18" s="1"/>
  <c r="B176" i="18"/>
  <c r="H175" i="18"/>
  <c r="V175" i="18" s="1"/>
  <c r="G175" i="18"/>
  <c r="E175" i="18"/>
  <c r="D175" i="18"/>
  <c r="C175" i="18"/>
  <c r="L175" i="18" s="1"/>
  <c r="B175" i="18"/>
  <c r="H174" i="18"/>
  <c r="V174" i="18" s="1"/>
  <c r="G174" i="18"/>
  <c r="E174" i="18"/>
  <c r="D174" i="18"/>
  <c r="C174" i="18"/>
  <c r="B174" i="18"/>
  <c r="H173" i="18"/>
  <c r="V173" i="18" s="1"/>
  <c r="G173" i="18"/>
  <c r="E173" i="18"/>
  <c r="D173" i="18"/>
  <c r="C173" i="18"/>
  <c r="B173" i="18"/>
  <c r="H172" i="18"/>
  <c r="V172" i="18" s="1"/>
  <c r="G172" i="18"/>
  <c r="E172" i="18"/>
  <c r="D172" i="18"/>
  <c r="C172" i="18"/>
  <c r="L172" i="18" s="1"/>
  <c r="B172" i="18"/>
  <c r="H171" i="18"/>
  <c r="V171" i="18" s="1"/>
  <c r="G171" i="18"/>
  <c r="E171" i="18"/>
  <c r="D171" i="18"/>
  <c r="C171" i="18"/>
  <c r="Q171" i="18" s="1"/>
  <c r="B171" i="18"/>
  <c r="H170" i="18"/>
  <c r="V170" i="18" s="1"/>
  <c r="G170" i="18"/>
  <c r="E170" i="18"/>
  <c r="D170" i="18"/>
  <c r="C170" i="18"/>
  <c r="B170" i="18"/>
  <c r="H169" i="18"/>
  <c r="V169" i="18" s="1"/>
  <c r="G169" i="18"/>
  <c r="E169" i="18"/>
  <c r="D169" i="18"/>
  <c r="C169" i="18"/>
  <c r="B169" i="18"/>
  <c r="H168" i="18"/>
  <c r="V168" i="18" s="1"/>
  <c r="G168" i="18"/>
  <c r="E168" i="18"/>
  <c r="D168" i="18"/>
  <c r="C168" i="18"/>
  <c r="B168" i="18"/>
  <c r="H167" i="18"/>
  <c r="V167" i="18" s="1"/>
  <c r="G167" i="18"/>
  <c r="E167" i="18"/>
  <c r="D167" i="18"/>
  <c r="C167" i="18"/>
  <c r="W167" i="18" s="1"/>
  <c r="X167" i="18" s="1"/>
  <c r="B167" i="18"/>
  <c r="H166" i="18"/>
  <c r="V166" i="18" s="1"/>
  <c r="G166" i="18"/>
  <c r="E166" i="18"/>
  <c r="D166" i="18"/>
  <c r="C166" i="18"/>
  <c r="B166" i="18"/>
  <c r="H165" i="18"/>
  <c r="V165" i="18" s="1"/>
  <c r="G165" i="18"/>
  <c r="E165" i="18"/>
  <c r="D165" i="18"/>
  <c r="C165" i="18"/>
  <c r="L165" i="18" s="1"/>
  <c r="B165" i="18"/>
  <c r="H164" i="18"/>
  <c r="V164" i="18" s="1"/>
  <c r="G164" i="18"/>
  <c r="E164" i="18"/>
  <c r="D164" i="18"/>
  <c r="C164" i="18"/>
  <c r="K164" i="18" s="1"/>
  <c r="B164" i="18"/>
  <c r="H163" i="18"/>
  <c r="V163" i="18" s="1"/>
  <c r="G163" i="18"/>
  <c r="E163" i="18"/>
  <c r="D163" i="18"/>
  <c r="C163" i="18"/>
  <c r="B163" i="18"/>
  <c r="H162" i="18"/>
  <c r="V162" i="18" s="1"/>
  <c r="G162" i="18"/>
  <c r="E162" i="18"/>
  <c r="D162" i="18"/>
  <c r="C162" i="18"/>
  <c r="B162" i="18"/>
  <c r="H161" i="18"/>
  <c r="V161" i="18" s="1"/>
  <c r="G161" i="18"/>
  <c r="E161" i="18"/>
  <c r="D161" i="18"/>
  <c r="C161" i="18"/>
  <c r="W161" i="18" s="1"/>
  <c r="X161" i="18" s="1"/>
  <c r="B161" i="18"/>
  <c r="H160" i="18"/>
  <c r="V160" i="18" s="1"/>
  <c r="G160" i="18"/>
  <c r="E160" i="18"/>
  <c r="D160" i="18"/>
  <c r="C160" i="18"/>
  <c r="L160" i="18" s="1"/>
  <c r="B160" i="18"/>
  <c r="H159" i="18"/>
  <c r="V159" i="18" s="1"/>
  <c r="G159" i="18"/>
  <c r="E159" i="18"/>
  <c r="D159" i="18"/>
  <c r="C159" i="18"/>
  <c r="R159" i="18" s="1"/>
  <c r="B159" i="18"/>
  <c r="H158" i="18"/>
  <c r="V158" i="18" s="1"/>
  <c r="G158" i="18"/>
  <c r="E158" i="18"/>
  <c r="D158" i="18"/>
  <c r="C158" i="18"/>
  <c r="B158" i="18"/>
  <c r="H157" i="18"/>
  <c r="V157" i="18" s="1"/>
  <c r="G157" i="18"/>
  <c r="E157" i="18"/>
  <c r="D157" i="18"/>
  <c r="C157" i="18"/>
  <c r="B157" i="18"/>
  <c r="H156" i="18"/>
  <c r="V156" i="18" s="1"/>
  <c r="G156" i="18"/>
  <c r="E156" i="18"/>
  <c r="D156" i="18"/>
  <c r="C156" i="18"/>
  <c r="B156" i="18"/>
  <c r="H155" i="18"/>
  <c r="V155" i="18" s="1"/>
  <c r="G155" i="18"/>
  <c r="E155" i="18"/>
  <c r="D155" i="18"/>
  <c r="C155" i="18"/>
  <c r="B155" i="18"/>
  <c r="H154" i="18"/>
  <c r="V154" i="18" s="1"/>
  <c r="G154" i="18"/>
  <c r="E154" i="18"/>
  <c r="D154" i="18"/>
  <c r="C154" i="18"/>
  <c r="W154" i="18" s="1"/>
  <c r="X154" i="18" s="1"/>
  <c r="B154" i="18"/>
  <c r="H153" i="18"/>
  <c r="V153" i="18" s="1"/>
  <c r="G153" i="18"/>
  <c r="E153" i="18"/>
  <c r="D153" i="18"/>
  <c r="C153" i="18"/>
  <c r="W153" i="18" s="1"/>
  <c r="X153" i="18" s="1"/>
  <c r="B153" i="18"/>
  <c r="H152" i="18"/>
  <c r="V152" i="18" s="1"/>
  <c r="G152" i="18"/>
  <c r="E152" i="18"/>
  <c r="D152" i="18"/>
  <c r="C152" i="18"/>
  <c r="B152" i="18"/>
  <c r="H151" i="18"/>
  <c r="V151" i="18" s="1"/>
  <c r="G151" i="18"/>
  <c r="E151" i="18"/>
  <c r="D151" i="18"/>
  <c r="C151" i="18"/>
  <c r="B151" i="18"/>
  <c r="H150" i="18"/>
  <c r="V150" i="18" s="1"/>
  <c r="G150" i="18"/>
  <c r="E150" i="18"/>
  <c r="D150" i="18"/>
  <c r="C150" i="18"/>
  <c r="B150" i="18"/>
  <c r="H149" i="18"/>
  <c r="V149" i="18" s="1"/>
  <c r="G149" i="18"/>
  <c r="E149" i="18"/>
  <c r="D149" i="18"/>
  <c r="C149" i="18"/>
  <c r="B149" i="18"/>
  <c r="H148" i="18"/>
  <c r="V148" i="18" s="1"/>
  <c r="G148" i="18"/>
  <c r="E148" i="18"/>
  <c r="D148" i="18"/>
  <c r="C148" i="18"/>
  <c r="R148" i="18" s="1"/>
  <c r="B148" i="18"/>
  <c r="H147" i="18"/>
  <c r="V147" i="18" s="1"/>
  <c r="G147" i="18"/>
  <c r="E147" i="18"/>
  <c r="D147" i="18"/>
  <c r="C147" i="18"/>
  <c r="R147" i="18" s="1"/>
  <c r="B147" i="18"/>
  <c r="H146" i="18"/>
  <c r="V146" i="18" s="1"/>
  <c r="G146" i="18"/>
  <c r="E146" i="18"/>
  <c r="D146" i="18"/>
  <c r="C146" i="18"/>
  <c r="B146" i="18"/>
  <c r="H145" i="18"/>
  <c r="V145" i="18" s="1"/>
  <c r="G145" i="18"/>
  <c r="E145" i="18"/>
  <c r="D145" i="18"/>
  <c r="C145" i="18"/>
  <c r="B145" i="18"/>
  <c r="H144" i="18"/>
  <c r="V144" i="18" s="1"/>
  <c r="G144" i="18"/>
  <c r="E144" i="18"/>
  <c r="D144" i="18"/>
  <c r="C144" i="18"/>
  <c r="Q144" i="18" s="1"/>
  <c r="B144" i="18"/>
  <c r="H143" i="18"/>
  <c r="V143" i="18" s="1"/>
  <c r="G143" i="18"/>
  <c r="E143" i="18"/>
  <c r="D143" i="18"/>
  <c r="C143" i="18"/>
  <c r="R143" i="18" s="1"/>
  <c r="B143" i="18"/>
  <c r="H142" i="18"/>
  <c r="V142" i="18" s="1"/>
  <c r="G142" i="18"/>
  <c r="E142" i="18"/>
  <c r="D142" i="18"/>
  <c r="C142" i="18"/>
  <c r="K142" i="18" s="1"/>
  <c r="B142" i="18"/>
  <c r="H141" i="18"/>
  <c r="V141" i="18" s="1"/>
  <c r="G141" i="18"/>
  <c r="E141" i="18"/>
  <c r="D141" i="18"/>
  <c r="C141" i="18"/>
  <c r="M141" i="18" s="1"/>
  <c r="B141" i="18"/>
  <c r="H140" i="18"/>
  <c r="V140" i="18" s="1"/>
  <c r="G140" i="18"/>
  <c r="E140" i="18"/>
  <c r="D140" i="18"/>
  <c r="C140" i="18"/>
  <c r="B140" i="18"/>
  <c r="H139" i="18"/>
  <c r="V139" i="18" s="1"/>
  <c r="G139" i="18"/>
  <c r="E139" i="18"/>
  <c r="D139" i="18"/>
  <c r="C139" i="18"/>
  <c r="B139" i="18"/>
  <c r="H138" i="18"/>
  <c r="V138" i="18" s="1"/>
  <c r="G138" i="18"/>
  <c r="E138" i="18"/>
  <c r="D138" i="18"/>
  <c r="C138" i="18"/>
  <c r="W138" i="18" s="1"/>
  <c r="X138" i="18" s="1"/>
  <c r="B138" i="18"/>
  <c r="H137" i="18"/>
  <c r="V137" i="18" s="1"/>
  <c r="G137" i="18"/>
  <c r="E137" i="18"/>
  <c r="D137" i="18"/>
  <c r="C137" i="18"/>
  <c r="O137" i="18" s="1"/>
  <c r="B137" i="18"/>
  <c r="H136" i="18"/>
  <c r="V136" i="18" s="1"/>
  <c r="G136" i="18"/>
  <c r="E136" i="18"/>
  <c r="D136" i="18"/>
  <c r="C136" i="18"/>
  <c r="B136" i="18"/>
  <c r="H135" i="18"/>
  <c r="V135" i="18" s="1"/>
  <c r="G135" i="18"/>
  <c r="E135" i="18"/>
  <c r="D135" i="18"/>
  <c r="C135" i="18"/>
  <c r="B135" i="18"/>
  <c r="H134" i="18"/>
  <c r="V134" i="18" s="1"/>
  <c r="G134" i="18"/>
  <c r="E134" i="18"/>
  <c r="D134" i="18"/>
  <c r="C134" i="18"/>
  <c r="W134" i="18" s="1"/>
  <c r="X134" i="18" s="1"/>
  <c r="B134" i="18"/>
  <c r="H133" i="18"/>
  <c r="V133" i="18" s="1"/>
  <c r="G133" i="18"/>
  <c r="E133" i="18"/>
  <c r="D133" i="18"/>
  <c r="C133" i="18"/>
  <c r="O133" i="18" s="1"/>
  <c r="B133" i="18"/>
  <c r="H132" i="18"/>
  <c r="V132" i="18" s="1"/>
  <c r="G132" i="18"/>
  <c r="E132" i="18"/>
  <c r="D132" i="18"/>
  <c r="C132" i="18"/>
  <c r="B132" i="18"/>
  <c r="H131" i="18"/>
  <c r="V131" i="18" s="1"/>
  <c r="G131" i="18"/>
  <c r="E131" i="18"/>
  <c r="D131" i="18"/>
  <c r="C131" i="18"/>
  <c r="W131" i="18" s="1"/>
  <c r="X131" i="18" s="1"/>
  <c r="B131" i="18"/>
  <c r="H130" i="18"/>
  <c r="V130" i="18" s="1"/>
  <c r="G130" i="18"/>
  <c r="E130" i="18"/>
  <c r="D130" i="18"/>
  <c r="C130" i="18"/>
  <c r="B130" i="18"/>
  <c r="H129" i="18"/>
  <c r="V129" i="18" s="1"/>
  <c r="G129" i="18"/>
  <c r="E129" i="18"/>
  <c r="D129" i="18"/>
  <c r="C129" i="18"/>
  <c r="Q129" i="18" s="1"/>
  <c r="B129" i="18"/>
  <c r="H128" i="18"/>
  <c r="V128" i="18" s="1"/>
  <c r="G128" i="18"/>
  <c r="E128" i="18"/>
  <c r="D128" i="18"/>
  <c r="C128" i="18"/>
  <c r="B128" i="18"/>
  <c r="H127" i="18"/>
  <c r="V127" i="18" s="1"/>
  <c r="G127" i="18"/>
  <c r="E127" i="18"/>
  <c r="D127" i="18"/>
  <c r="C127" i="18"/>
  <c r="W127" i="18" s="1"/>
  <c r="B127" i="18"/>
  <c r="H126" i="18"/>
  <c r="V126" i="18" s="1"/>
  <c r="G126" i="18"/>
  <c r="E126" i="18"/>
  <c r="D126" i="18"/>
  <c r="C126" i="18"/>
  <c r="R126" i="18" s="1"/>
  <c r="B126" i="18"/>
  <c r="H125" i="18"/>
  <c r="V125" i="18" s="1"/>
  <c r="G125" i="18"/>
  <c r="E125" i="18"/>
  <c r="D125" i="18"/>
  <c r="C125" i="18"/>
  <c r="R125" i="18" s="1"/>
  <c r="B125" i="18"/>
  <c r="H124" i="18"/>
  <c r="V124" i="18" s="1"/>
  <c r="G124" i="18"/>
  <c r="E124" i="18"/>
  <c r="D124" i="18"/>
  <c r="C124" i="18"/>
  <c r="B124" i="18"/>
  <c r="H123" i="18"/>
  <c r="V123" i="18" s="1"/>
  <c r="G123" i="18"/>
  <c r="E123" i="18"/>
  <c r="D123" i="18"/>
  <c r="C123" i="18"/>
  <c r="B123" i="18"/>
  <c r="H122" i="18"/>
  <c r="V122" i="18" s="1"/>
  <c r="G122" i="18"/>
  <c r="E122" i="18"/>
  <c r="D122" i="18"/>
  <c r="C122" i="18"/>
  <c r="B122" i="18"/>
  <c r="H121" i="18"/>
  <c r="V121" i="18" s="1"/>
  <c r="G121" i="18"/>
  <c r="E121" i="18"/>
  <c r="D121" i="18"/>
  <c r="C121" i="18"/>
  <c r="B121" i="18"/>
  <c r="H120" i="18"/>
  <c r="V120" i="18" s="1"/>
  <c r="G120" i="18"/>
  <c r="E120" i="18"/>
  <c r="D120" i="18"/>
  <c r="C120" i="18"/>
  <c r="K120" i="18" s="1"/>
  <c r="B120" i="18"/>
  <c r="H119" i="18"/>
  <c r="V119" i="18" s="1"/>
  <c r="G119" i="18"/>
  <c r="E119" i="18"/>
  <c r="D119" i="18"/>
  <c r="C119" i="18"/>
  <c r="B119" i="18"/>
  <c r="H118" i="18"/>
  <c r="V118" i="18" s="1"/>
  <c r="G118" i="18"/>
  <c r="E118" i="18"/>
  <c r="D118" i="18"/>
  <c r="C118" i="18"/>
  <c r="O118" i="18" s="1"/>
  <c r="B118" i="18"/>
  <c r="H117" i="18"/>
  <c r="V117" i="18" s="1"/>
  <c r="G117" i="18"/>
  <c r="E117" i="18"/>
  <c r="D117" i="18"/>
  <c r="C117" i="18"/>
  <c r="R117" i="18" s="1"/>
  <c r="B117" i="18"/>
  <c r="R116" i="18"/>
  <c r="Q116" i="18"/>
  <c r="U115" i="18"/>
  <c r="T115" i="18"/>
  <c r="S115" i="18"/>
  <c r="Q115" i="18"/>
  <c r="N115" i="18"/>
  <c r="F110" i="18"/>
  <c r="D110" i="18"/>
  <c r="C110" i="18"/>
  <c r="B110" i="18"/>
  <c r="H109" i="18"/>
  <c r="F109" i="18"/>
  <c r="E109" i="18"/>
  <c r="D109" i="18"/>
  <c r="C109" i="18"/>
  <c r="B109" i="18"/>
  <c r="H108" i="18"/>
  <c r="F108" i="18"/>
  <c r="E108" i="18"/>
  <c r="D108" i="18"/>
  <c r="C108" i="18"/>
  <c r="B108" i="18"/>
  <c r="H107" i="18"/>
  <c r="F107" i="18"/>
  <c r="E107" i="18"/>
  <c r="D107" i="18"/>
  <c r="C107" i="18"/>
  <c r="B107" i="18"/>
  <c r="F106" i="18"/>
  <c r="D106" i="18"/>
  <c r="C106" i="18"/>
  <c r="B106" i="18"/>
  <c r="H105" i="18"/>
  <c r="F105" i="18"/>
  <c r="E105" i="18"/>
  <c r="D105" i="18"/>
  <c r="C105" i="18"/>
  <c r="B105" i="18"/>
  <c r="H104" i="18"/>
  <c r="F104" i="18"/>
  <c r="E104" i="18"/>
  <c r="D104" i="18"/>
  <c r="C104" i="18"/>
  <c r="B104" i="18"/>
  <c r="H103" i="18"/>
  <c r="F103" i="18"/>
  <c r="E103" i="18"/>
  <c r="D103" i="18"/>
  <c r="C103" i="18"/>
  <c r="B103" i="18"/>
  <c r="F102" i="18"/>
  <c r="D102" i="18"/>
  <c r="C102" i="18"/>
  <c r="B102" i="18"/>
  <c r="H101" i="18"/>
  <c r="F101" i="18"/>
  <c r="E101" i="18"/>
  <c r="D101" i="18"/>
  <c r="C101" i="18"/>
  <c r="B101" i="18"/>
  <c r="H100" i="18"/>
  <c r="F100" i="18"/>
  <c r="E100" i="18"/>
  <c r="D100" i="18"/>
  <c r="C100" i="18"/>
  <c r="B100" i="18"/>
  <c r="H99" i="18"/>
  <c r="F99" i="18"/>
  <c r="E99" i="18"/>
  <c r="D99" i="18"/>
  <c r="C99" i="18"/>
  <c r="B99" i="18"/>
  <c r="H98" i="18"/>
  <c r="G98" i="18"/>
  <c r="F98" i="18"/>
  <c r="E98" i="18"/>
  <c r="D98" i="18"/>
  <c r="C98" i="18"/>
  <c r="B98" i="18"/>
  <c r="H97" i="18"/>
  <c r="G97" i="18"/>
  <c r="F97" i="18"/>
  <c r="E97" i="18"/>
  <c r="D97" i="18"/>
  <c r="C97" i="18"/>
  <c r="B97" i="18"/>
  <c r="H96" i="18"/>
  <c r="G96" i="18"/>
  <c r="F96" i="18"/>
  <c r="E96" i="18"/>
  <c r="D96" i="18"/>
  <c r="C96" i="18"/>
  <c r="B96" i="18"/>
  <c r="H95" i="18"/>
  <c r="G95" i="18"/>
  <c r="F95" i="18"/>
  <c r="E95" i="18"/>
  <c r="D95" i="18"/>
  <c r="C95" i="18"/>
  <c r="B95" i="18"/>
  <c r="H94" i="18"/>
  <c r="F94" i="18"/>
  <c r="E94" i="18"/>
  <c r="D94" i="18"/>
  <c r="C94" i="18"/>
  <c r="B94" i="18"/>
  <c r="H93" i="18"/>
  <c r="G93" i="18"/>
  <c r="F93" i="18"/>
  <c r="E93" i="18"/>
  <c r="D93" i="18"/>
  <c r="C93" i="18"/>
  <c r="B93" i="18"/>
  <c r="H92" i="18"/>
  <c r="G92" i="18"/>
  <c r="F92" i="18"/>
  <c r="E92" i="18"/>
  <c r="D92" i="18"/>
  <c r="C92" i="18"/>
  <c r="B92" i="18"/>
  <c r="H91" i="18"/>
  <c r="G91" i="18"/>
  <c r="F91" i="18"/>
  <c r="E91" i="18"/>
  <c r="D91" i="18"/>
  <c r="C91" i="18"/>
  <c r="B91" i="18"/>
  <c r="H90" i="18"/>
  <c r="F90" i="18"/>
  <c r="E90" i="18"/>
  <c r="D90" i="18"/>
  <c r="C90" i="18"/>
  <c r="B90" i="18"/>
  <c r="H89" i="18"/>
  <c r="G89" i="18"/>
  <c r="F89" i="18"/>
  <c r="E89" i="18"/>
  <c r="D89" i="18"/>
  <c r="C89" i="18"/>
  <c r="B89" i="18"/>
  <c r="H88" i="18"/>
  <c r="G88" i="18"/>
  <c r="F88" i="18"/>
  <c r="E88" i="18"/>
  <c r="D88" i="18"/>
  <c r="C88" i="18"/>
  <c r="B88" i="18"/>
  <c r="H87" i="18"/>
  <c r="G87" i="18"/>
  <c r="F87" i="18"/>
  <c r="E87" i="18"/>
  <c r="D87" i="18"/>
  <c r="C87" i="18"/>
  <c r="B87" i="18"/>
  <c r="H86" i="18"/>
  <c r="G86" i="18"/>
  <c r="F86" i="18"/>
  <c r="E86" i="18"/>
  <c r="D86" i="18"/>
  <c r="C86" i="18"/>
  <c r="B86" i="18"/>
  <c r="D75" i="18"/>
  <c r="D66" i="18"/>
  <c r="D67" i="18" s="1"/>
  <c r="D64" i="18"/>
  <c r="D63" i="18"/>
  <c r="D62" i="18"/>
  <c r="D61" i="18"/>
  <c r="D60" i="18"/>
  <c r="G52" i="18"/>
  <c r="D52" i="18"/>
  <c r="J51" i="18"/>
  <c r="I51" i="18"/>
  <c r="H51" i="18"/>
  <c r="G51" i="18"/>
  <c r="F51" i="18"/>
  <c r="D51" i="18"/>
  <c r="C51" i="18"/>
  <c r="J50" i="18"/>
  <c r="I50" i="18"/>
  <c r="H50" i="18"/>
  <c r="G50" i="18"/>
  <c r="F50" i="18"/>
  <c r="D50" i="18"/>
  <c r="C50" i="18"/>
  <c r="J49" i="18"/>
  <c r="I49" i="18"/>
  <c r="H49" i="18"/>
  <c r="G49" i="18"/>
  <c r="F49" i="18"/>
  <c r="D49" i="18"/>
  <c r="C49" i="18"/>
  <c r="J48" i="18"/>
  <c r="I48" i="18"/>
  <c r="H48" i="18"/>
  <c r="G48" i="18"/>
  <c r="F48" i="18"/>
  <c r="D48" i="18"/>
  <c r="C48" i="18"/>
  <c r="J47" i="18"/>
  <c r="I47" i="18"/>
  <c r="H47" i="18"/>
  <c r="G47" i="18"/>
  <c r="F47" i="18"/>
  <c r="D47" i="18"/>
  <c r="C47" i="18"/>
  <c r="J46" i="18"/>
  <c r="I46" i="18"/>
  <c r="H46" i="18"/>
  <c r="G46" i="18"/>
  <c r="F46" i="18"/>
  <c r="D46" i="18"/>
  <c r="C46" i="18"/>
  <c r="J45" i="18"/>
  <c r="I45" i="18"/>
  <c r="H45" i="18"/>
  <c r="G45" i="18"/>
  <c r="F45" i="18"/>
  <c r="D45" i="18"/>
  <c r="C45" i="18"/>
  <c r="J44" i="18"/>
  <c r="I44" i="18"/>
  <c r="H44" i="18"/>
  <c r="G44" i="18"/>
  <c r="F44" i="18"/>
  <c r="D44" i="18"/>
  <c r="C44" i="18"/>
  <c r="J43" i="18"/>
  <c r="I43" i="18"/>
  <c r="H43" i="18"/>
  <c r="G43" i="18"/>
  <c r="F43" i="18"/>
  <c r="D43" i="18"/>
  <c r="C43" i="18"/>
  <c r="J42" i="18"/>
  <c r="I42" i="18"/>
  <c r="H42" i="18"/>
  <c r="G42" i="18"/>
  <c r="F42" i="18"/>
  <c r="D42" i="18"/>
  <c r="C42" i="18"/>
  <c r="J41" i="18"/>
  <c r="I41" i="18"/>
  <c r="H41" i="18"/>
  <c r="G41" i="18"/>
  <c r="F41" i="18"/>
  <c r="D41" i="18"/>
  <c r="C41" i="18"/>
  <c r="J40" i="18"/>
  <c r="I40" i="18"/>
  <c r="H40" i="18"/>
  <c r="G40" i="18"/>
  <c r="F40" i="18"/>
  <c r="D40" i="18"/>
  <c r="C40" i="18"/>
  <c r="J39" i="18"/>
  <c r="I39" i="18"/>
  <c r="H39" i="18"/>
  <c r="G39" i="18"/>
  <c r="F39" i="18"/>
  <c r="D39" i="18"/>
  <c r="C39" i="18"/>
  <c r="J38" i="18"/>
  <c r="I38" i="18"/>
  <c r="H38" i="18"/>
  <c r="G38" i="18"/>
  <c r="F38" i="18"/>
  <c r="D38" i="18"/>
  <c r="C38" i="18"/>
  <c r="J37" i="18"/>
  <c r="I37" i="18"/>
  <c r="H37" i="18"/>
  <c r="G37" i="18"/>
  <c r="F37" i="18"/>
  <c r="D37" i="18"/>
  <c r="C37" i="18"/>
  <c r="J36" i="18"/>
  <c r="I36" i="18"/>
  <c r="H36" i="18"/>
  <c r="G36" i="18"/>
  <c r="F36" i="18"/>
  <c r="D36" i="18"/>
  <c r="C36" i="18"/>
  <c r="J35" i="18"/>
  <c r="I35" i="18"/>
  <c r="H35" i="18"/>
  <c r="G35" i="18"/>
  <c r="F35" i="18"/>
  <c r="D35" i="18"/>
  <c r="C35" i="18"/>
  <c r="J34" i="18"/>
  <c r="I34" i="18"/>
  <c r="H34" i="18"/>
  <c r="G34" i="18"/>
  <c r="F34" i="18"/>
  <c r="D34" i="18"/>
  <c r="C34" i="18"/>
  <c r="J33" i="18"/>
  <c r="I33" i="18"/>
  <c r="H33" i="18"/>
  <c r="G33" i="18"/>
  <c r="F33" i="18"/>
  <c r="D33" i="18"/>
  <c r="C33" i="18"/>
  <c r="J32" i="18"/>
  <c r="I32" i="18"/>
  <c r="H32" i="18"/>
  <c r="G32" i="18"/>
  <c r="F32" i="18"/>
  <c r="D32" i="18"/>
  <c r="C32" i="18"/>
  <c r="J31" i="18"/>
  <c r="I31" i="18"/>
  <c r="H31" i="18"/>
  <c r="G31" i="18"/>
  <c r="F31" i="18"/>
  <c r="D31" i="18"/>
  <c r="C31" i="18"/>
  <c r="L28" i="18"/>
  <c r="I26" i="18"/>
  <c r="H26" i="18"/>
  <c r="E26" i="18"/>
  <c r="D26" i="18"/>
  <c r="C26" i="18"/>
  <c r="I25" i="18"/>
  <c r="H25" i="18"/>
  <c r="E25" i="18"/>
  <c r="D25" i="18"/>
  <c r="C25" i="18"/>
  <c r="J24" i="18"/>
  <c r="I24" i="18"/>
  <c r="H24" i="18"/>
  <c r="E24" i="18"/>
  <c r="D24" i="18"/>
  <c r="C24" i="18"/>
  <c r="J23" i="18"/>
  <c r="I23" i="18"/>
  <c r="H23" i="18"/>
  <c r="E23" i="18"/>
  <c r="D23" i="18"/>
  <c r="C23" i="18"/>
  <c r="J22" i="18"/>
  <c r="I22" i="18"/>
  <c r="H22" i="18"/>
  <c r="E22" i="18"/>
  <c r="D22" i="18"/>
  <c r="C22" i="18"/>
  <c r="J21" i="18"/>
  <c r="I21" i="18"/>
  <c r="H21" i="18"/>
  <c r="E21" i="18"/>
  <c r="D21" i="18"/>
  <c r="C21" i="18"/>
  <c r="J20" i="18"/>
  <c r="I20" i="18"/>
  <c r="H20" i="18"/>
  <c r="E20" i="18"/>
  <c r="D20" i="18"/>
  <c r="C20" i="18"/>
  <c r="J19" i="18"/>
  <c r="I19" i="18"/>
  <c r="H19" i="18"/>
  <c r="E19" i="18"/>
  <c r="D19" i="18"/>
  <c r="C19" i="18"/>
  <c r="J18" i="18"/>
  <c r="I18" i="18"/>
  <c r="H18" i="18"/>
  <c r="E18" i="18"/>
  <c r="D18" i="18"/>
  <c r="C18" i="18"/>
  <c r="A13" i="18"/>
  <c r="A12" i="18"/>
  <c r="A11" i="18"/>
  <c r="E172" i="17"/>
  <c r="F216" i="18" s="1"/>
  <c r="E171" i="17"/>
  <c r="F215" i="18" s="1"/>
  <c r="E170" i="17"/>
  <c r="F214" i="18" s="1"/>
  <c r="E169" i="17"/>
  <c r="F213" i="18" s="1"/>
  <c r="E168" i="17"/>
  <c r="F212" i="18" s="1"/>
  <c r="E167" i="17"/>
  <c r="F211" i="18" s="1"/>
  <c r="E166" i="17"/>
  <c r="F210" i="18" s="1"/>
  <c r="E165" i="17"/>
  <c r="F209" i="18" s="1"/>
  <c r="E164" i="17"/>
  <c r="F208" i="18" s="1"/>
  <c r="E163" i="17"/>
  <c r="F207" i="18" s="1"/>
  <c r="E162" i="17"/>
  <c r="F206" i="18" s="1"/>
  <c r="E161" i="17"/>
  <c r="F205" i="18" s="1"/>
  <c r="E160" i="17"/>
  <c r="F204" i="18" s="1"/>
  <c r="E159" i="17"/>
  <c r="F203" i="18" s="1"/>
  <c r="E158" i="17"/>
  <c r="F202" i="18" s="1"/>
  <c r="E157" i="17"/>
  <c r="F201" i="18" s="1"/>
  <c r="E156" i="17"/>
  <c r="F200" i="18" s="1"/>
  <c r="E155" i="17"/>
  <c r="F199" i="18" s="1"/>
  <c r="E154" i="17"/>
  <c r="F198" i="18" s="1"/>
  <c r="E153" i="17"/>
  <c r="F197" i="18" s="1"/>
  <c r="E152" i="17"/>
  <c r="F196" i="18" s="1"/>
  <c r="E151" i="17"/>
  <c r="F195" i="18" s="1"/>
  <c r="E150" i="17"/>
  <c r="F194" i="18" s="1"/>
  <c r="E149" i="17"/>
  <c r="F193" i="18" s="1"/>
  <c r="E148" i="17"/>
  <c r="F192" i="18" s="1"/>
  <c r="E147" i="17"/>
  <c r="F191" i="18" s="1"/>
  <c r="E146" i="17"/>
  <c r="F190" i="18" s="1"/>
  <c r="E145" i="17"/>
  <c r="F189" i="18" s="1"/>
  <c r="E144" i="17"/>
  <c r="F188" i="18" s="1"/>
  <c r="E143" i="17"/>
  <c r="F187" i="18" s="1"/>
  <c r="E142" i="17"/>
  <c r="F186" i="18" s="1"/>
  <c r="E141" i="17"/>
  <c r="F185" i="18" s="1"/>
  <c r="E140" i="17"/>
  <c r="F184" i="18" s="1"/>
  <c r="E139" i="17"/>
  <c r="F183" i="18" s="1"/>
  <c r="E138" i="17"/>
  <c r="F182" i="18" s="1"/>
  <c r="E137" i="17"/>
  <c r="F181" i="18" s="1"/>
  <c r="E136" i="17"/>
  <c r="F180" i="18" s="1"/>
  <c r="E135" i="17"/>
  <c r="F179" i="18" s="1"/>
  <c r="E134" i="17"/>
  <c r="F178" i="18" s="1"/>
  <c r="E133" i="17"/>
  <c r="F177" i="18" s="1"/>
  <c r="E132" i="17"/>
  <c r="F176" i="18" s="1"/>
  <c r="E131" i="17"/>
  <c r="F175" i="18" s="1"/>
  <c r="E130" i="17"/>
  <c r="F174" i="18" s="1"/>
  <c r="E129" i="17"/>
  <c r="F173" i="18" s="1"/>
  <c r="E128" i="17"/>
  <c r="F172" i="18" s="1"/>
  <c r="E127" i="17"/>
  <c r="F171" i="18" s="1"/>
  <c r="E126" i="17"/>
  <c r="F170" i="18" s="1"/>
  <c r="E125" i="17"/>
  <c r="F169" i="18" s="1"/>
  <c r="E124" i="17"/>
  <c r="F168" i="18" s="1"/>
  <c r="E123" i="17"/>
  <c r="F167" i="18" s="1"/>
  <c r="E122" i="17"/>
  <c r="F166" i="18" s="1"/>
  <c r="E121" i="17"/>
  <c r="F165" i="18" s="1"/>
  <c r="E120" i="17"/>
  <c r="F164" i="18" s="1"/>
  <c r="E119" i="17"/>
  <c r="F163" i="18" s="1"/>
  <c r="E118" i="17"/>
  <c r="F162" i="18" s="1"/>
  <c r="E117" i="17"/>
  <c r="F161" i="18" s="1"/>
  <c r="E116" i="17"/>
  <c r="F160" i="18" s="1"/>
  <c r="E115" i="17"/>
  <c r="F159" i="18" s="1"/>
  <c r="E114" i="17"/>
  <c r="F158" i="18" s="1"/>
  <c r="E113" i="17"/>
  <c r="F157" i="18" s="1"/>
  <c r="E112" i="17"/>
  <c r="F156" i="18" s="1"/>
  <c r="E111" i="17"/>
  <c r="F155" i="18" s="1"/>
  <c r="E110" i="17"/>
  <c r="F154" i="18" s="1"/>
  <c r="E109" i="17"/>
  <c r="F153" i="18" s="1"/>
  <c r="E108" i="17"/>
  <c r="F152" i="18" s="1"/>
  <c r="E107" i="17"/>
  <c r="F151" i="18" s="1"/>
  <c r="E106" i="17"/>
  <c r="F150" i="18" s="1"/>
  <c r="E105" i="17"/>
  <c r="F149" i="18" s="1"/>
  <c r="E104" i="17"/>
  <c r="F148" i="18" s="1"/>
  <c r="E103" i="17"/>
  <c r="F147" i="18" s="1"/>
  <c r="E102" i="17"/>
  <c r="F146" i="18" s="1"/>
  <c r="E101" i="17"/>
  <c r="F145" i="18" s="1"/>
  <c r="E100" i="17"/>
  <c r="F144" i="18" s="1"/>
  <c r="E99" i="17"/>
  <c r="F143" i="18" s="1"/>
  <c r="E98" i="17"/>
  <c r="F142" i="18" s="1"/>
  <c r="E97" i="17"/>
  <c r="F141" i="18" s="1"/>
  <c r="E96" i="17"/>
  <c r="F140" i="18" s="1"/>
  <c r="E95" i="17"/>
  <c r="F139" i="18" s="1"/>
  <c r="E94" i="17"/>
  <c r="F138" i="18" s="1"/>
  <c r="E93" i="17"/>
  <c r="F137" i="18" s="1"/>
  <c r="E92" i="17"/>
  <c r="F136" i="18" s="1"/>
  <c r="E91" i="17"/>
  <c r="F135" i="18" s="1"/>
  <c r="E90" i="17"/>
  <c r="F134" i="18" s="1"/>
  <c r="E89" i="17"/>
  <c r="F133" i="18" s="1"/>
  <c r="E88" i="17"/>
  <c r="F132" i="18" s="1"/>
  <c r="E87" i="17"/>
  <c r="F131" i="18" s="1"/>
  <c r="E86" i="17"/>
  <c r="F130" i="18" s="1"/>
  <c r="E85" i="17"/>
  <c r="F129" i="18" s="1"/>
  <c r="E84" i="17"/>
  <c r="F128" i="18" s="1"/>
  <c r="E83" i="17"/>
  <c r="F127" i="18" s="1"/>
  <c r="E82" i="17"/>
  <c r="F126" i="18" s="1"/>
  <c r="E81" i="17"/>
  <c r="F125" i="18" s="1"/>
  <c r="E80" i="17"/>
  <c r="F124" i="18" s="1"/>
  <c r="E79" i="17"/>
  <c r="F123" i="18" s="1"/>
  <c r="E78" i="17"/>
  <c r="F122" i="18" s="1"/>
  <c r="E77" i="17"/>
  <c r="F121" i="18" s="1"/>
  <c r="E76" i="17"/>
  <c r="F120" i="18" s="1"/>
  <c r="E75" i="17"/>
  <c r="F119" i="18" s="1"/>
  <c r="I118" i="18"/>
  <c r="E74" i="17"/>
  <c r="F118" i="18" s="1"/>
  <c r="I117" i="18"/>
  <c r="E73" i="17"/>
  <c r="F117" i="18" s="1"/>
  <c r="E72" i="17"/>
  <c r="C56" i="17"/>
  <c r="K50" i="18"/>
  <c r="C55" i="17"/>
  <c r="E50" i="18" s="1"/>
  <c r="K49" i="18"/>
  <c r="C54" i="17"/>
  <c r="E49" i="18" s="1"/>
  <c r="K48" i="18"/>
  <c r="C53" i="17"/>
  <c r="E48" i="18" s="1"/>
  <c r="K47" i="18"/>
  <c r="C52" i="17"/>
  <c r="E47" i="18" s="1"/>
  <c r="K46" i="18"/>
  <c r="C51" i="17"/>
  <c r="E46" i="18" s="1"/>
  <c r="K45" i="18"/>
  <c r="C50" i="17"/>
  <c r="E45" i="18" s="1"/>
  <c r="K44" i="18"/>
  <c r="C49" i="17"/>
  <c r="E44" i="18" s="1"/>
  <c r="K43" i="18"/>
  <c r="C48" i="17"/>
  <c r="E43" i="18" s="1"/>
  <c r="K42" i="18"/>
  <c r="C47" i="17"/>
  <c r="E42" i="18" s="1"/>
  <c r="K41" i="18"/>
  <c r="C46" i="17"/>
  <c r="E41" i="18" s="1"/>
  <c r="K40" i="18"/>
  <c r="C45" i="17"/>
  <c r="E40" i="18" s="1"/>
  <c r="K39" i="18"/>
  <c r="C44" i="17"/>
  <c r="E39" i="18" s="1"/>
  <c r="K38" i="18"/>
  <c r="C43" i="17"/>
  <c r="E38" i="18" s="1"/>
  <c r="K37" i="18"/>
  <c r="C42" i="17"/>
  <c r="E37" i="18" s="1"/>
  <c r="K36" i="18"/>
  <c r="C41" i="17"/>
  <c r="E36" i="18" s="1"/>
  <c r="K35" i="18"/>
  <c r="C40" i="17"/>
  <c r="E35" i="18" s="1"/>
  <c r="K34" i="18"/>
  <c r="C39" i="17"/>
  <c r="E34" i="18" s="1"/>
  <c r="K33" i="18"/>
  <c r="C38" i="17"/>
  <c r="E33" i="18" s="1"/>
  <c r="K32" i="18"/>
  <c r="C37" i="17"/>
  <c r="E32" i="18" s="1"/>
  <c r="K31" i="18"/>
  <c r="C36" i="17"/>
  <c r="E31" i="18" s="1"/>
  <c r="M432" i="20"/>
  <c r="L432" i="20"/>
  <c r="E432" i="20"/>
  <c r="C432" i="20"/>
  <c r="M431" i="20"/>
  <c r="L431" i="20"/>
  <c r="E431" i="20"/>
  <c r="C431" i="20"/>
  <c r="M430" i="20"/>
  <c r="L430" i="20"/>
  <c r="E430" i="20"/>
  <c r="C430" i="20"/>
  <c r="M429" i="20"/>
  <c r="L429" i="20"/>
  <c r="E429" i="20"/>
  <c r="C429" i="20"/>
  <c r="M428" i="20"/>
  <c r="L428" i="20"/>
  <c r="E428" i="20"/>
  <c r="C428" i="20"/>
  <c r="M427" i="20"/>
  <c r="L427" i="20"/>
  <c r="E427" i="20"/>
  <c r="C427" i="20"/>
  <c r="M426" i="20"/>
  <c r="L426" i="20"/>
  <c r="E426" i="20"/>
  <c r="C426" i="20"/>
  <c r="M425" i="20"/>
  <c r="L425" i="20"/>
  <c r="W425" i="20" s="1"/>
  <c r="E425" i="20"/>
  <c r="C425" i="20"/>
  <c r="M424" i="20"/>
  <c r="L424" i="20"/>
  <c r="W424" i="20" s="1"/>
  <c r="E424" i="20"/>
  <c r="C424" i="20"/>
  <c r="M423" i="20"/>
  <c r="L423" i="20"/>
  <c r="T423" i="20" s="1"/>
  <c r="E423" i="20"/>
  <c r="C423" i="20"/>
  <c r="M422" i="20"/>
  <c r="L422" i="20"/>
  <c r="E422" i="20"/>
  <c r="C422" i="20"/>
  <c r="M421" i="20"/>
  <c r="L421" i="20"/>
  <c r="E421" i="20"/>
  <c r="C421" i="20"/>
  <c r="M420" i="20"/>
  <c r="L420" i="20"/>
  <c r="E420" i="20"/>
  <c r="C420" i="20"/>
  <c r="M419" i="20"/>
  <c r="L419" i="20"/>
  <c r="E419" i="20"/>
  <c r="C419" i="20"/>
  <c r="M418" i="20"/>
  <c r="L418" i="20"/>
  <c r="E418" i="20"/>
  <c r="C418" i="20"/>
  <c r="M417" i="20"/>
  <c r="L417" i="20"/>
  <c r="E417" i="20"/>
  <c r="C417" i="20"/>
  <c r="M416" i="20"/>
  <c r="L416" i="20"/>
  <c r="U416" i="20" s="1"/>
  <c r="E416" i="20"/>
  <c r="C416" i="20"/>
  <c r="M415" i="20"/>
  <c r="L415" i="20"/>
  <c r="E415" i="20"/>
  <c r="C415" i="20"/>
  <c r="M414" i="20"/>
  <c r="L414" i="20"/>
  <c r="E414" i="20"/>
  <c r="C414" i="20"/>
  <c r="M413" i="20"/>
  <c r="L413" i="20"/>
  <c r="U413" i="20" s="1"/>
  <c r="E413" i="20"/>
  <c r="C413" i="20"/>
  <c r="M412" i="20"/>
  <c r="L412" i="20"/>
  <c r="W412" i="20" s="1"/>
  <c r="E412" i="20"/>
  <c r="C412" i="20"/>
  <c r="M411" i="20"/>
  <c r="L411" i="20"/>
  <c r="E411" i="20"/>
  <c r="C411" i="20"/>
  <c r="M410" i="20"/>
  <c r="L410" i="20"/>
  <c r="U410" i="20" s="1"/>
  <c r="E410" i="20"/>
  <c r="C410" i="20"/>
  <c r="M409" i="20"/>
  <c r="L409" i="20"/>
  <c r="E409" i="20"/>
  <c r="C409" i="20"/>
  <c r="M408" i="20"/>
  <c r="L408" i="20"/>
  <c r="E408" i="20"/>
  <c r="C408" i="20"/>
  <c r="M407" i="20"/>
  <c r="L407" i="20"/>
  <c r="E407" i="20"/>
  <c r="C407" i="20"/>
  <c r="M406" i="20"/>
  <c r="L406" i="20"/>
  <c r="T406" i="20" s="1"/>
  <c r="E406" i="20"/>
  <c r="C406" i="20"/>
  <c r="M405" i="20"/>
  <c r="L405" i="20"/>
  <c r="T405" i="20" s="1"/>
  <c r="E405" i="20"/>
  <c r="C405" i="20"/>
  <c r="M404" i="20"/>
  <c r="L404" i="20"/>
  <c r="E404" i="20"/>
  <c r="C404" i="20"/>
  <c r="M403" i="20"/>
  <c r="L403" i="20"/>
  <c r="E403" i="20"/>
  <c r="C403" i="20"/>
  <c r="M402" i="20"/>
  <c r="L402" i="20"/>
  <c r="E402" i="20"/>
  <c r="C402" i="20"/>
  <c r="M401" i="20"/>
  <c r="L401" i="20"/>
  <c r="W401" i="20" s="1"/>
  <c r="E401" i="20"/>
  <c r="C401" i="20"/>
  <c r="M400" i="20"/>
  <c r="L400" i="20"/>
  <c r="T400" i="20" s="1"/>
  <c r="E400" i="20"/>
  <c r="C400" i="20"/>
  <c r="M399" i="20"/>
  <c r="L399" i="20"/>
  <c r="T399" i="20" s="1"/>
  <c r="E399" i="20"/>
  <c r="C399" i="20"/>
  <c r="M398" i="20"/>
  <c r="L398" i="20"/>
  <c r="E398" i="20"/>
  <c r="C398" i="20"/>
  <c r="M397" i="20"/>
  <c r="L397" i="20"/>
  <c r="E397" i="20"/>
  <c r="C397" i="20"/>
  <c r="M396" i="20"/>
  <c r="L396" i="20"/>
  <c r="E396" i="20"/>
  <c r="C396" i="20"/>
  <c r="M395" i="20"/>
  <c r="L395" i="20"/>
  <c r="E395" i="20"/>
  <c r="C395" i="20"/>
  <c r="M394" i="20"/>
  <c r="L394" i="20"/>
  <c r="T394" i="20" s="1"/>
  <c r="E394" i="20"/>
  <c r="C394" i="20"/>
  <c r="M393" i="20"/>
  <c r="L393" i="20"/>
  <c r="U393" i="20" s="1"/>
  <c r="E393" i="20"/>
  <c r="C393" i="20"/>
  <c r="M392" i="20"/>
  <c r="L392" i="20"/>
  <c r="U392" i="20" s="1"/>
  <c r="E392" i="20"/>
  <c r="C392" i="20"/>
  <c r="M391" i="20"/>
  <c r="L391" i="20"/>
  <c r="E391" i="20"/>
  <c r="C391" i="20"/>
  <c r="M390" i="20"/>
  <c r="L390" i="20"/>
  <c r="E390" i="20"/>
  <c r="C390" i="20"/>
  <c r="M389" i="20"/>
  <c r="L389" i="20"/>
  <c r="E389" i="20"/>
  <c r="C389" i="20"/>
  <c r="M388" i="20"/>
  <c r="L388" i="20"/>
  <c r="E388" i="20"/>
  <c r="C388" i="20"/>
  <c r="M387" i="20"/>
  <c r="L387" i="20"/>
  <c r="E387" i="20"/>
  <c r="C387" i="20"/>
  <c r="M386" i="20"/>
  <c r="L386" i="20"/>
  <c r="U386" i="20" s="1"/>
  <c r="E386" i="20"/>
  <c r="C386" i="20"/>
  <c r="M385" i="20"/>
  <c r="L385" i="20"/>
  <c r="E385" i="20"/>
  <c r="C385" i="20"/>
  <c r="M384" i="20"/>
  <c r="L384" i="20"/>
  <c r="E384" i="20"/>
  <c r="C384" i="20"/>
  <c r="M383" i="20"/>
  <c r="L383" i="20"/>
  <c r="W383" i="20" s="1"/>
  <c r="E383" i="20"/>
  <c r="C383" i="20"/>
  <c r="M382" i="20"/>
  <c r="L382" i="20"/>
  <c r="E382" i="20"/>
  <c r="C382" i="20"/>
  <c r="M381" i="20"/>
  <c r="L381" i="20"/>
  <c r="E381" i="20"/>
  <c r="C381" i="20"/>
  <c r="M380" i="20"/>
  <c r="L380" i="20"/>
  <c r="E380" i="20"/>
  <c r="C380" i="20"/>
  <c r="M379" i="20"/>
  <c r="L379" i="20"/>
  <c r="U379" i="20" s="1"/>
  <c r="E379" i="20"/>
  <c r="C379" i="20"/>
  <c r="M378" i="20"/>
  <c r="L378" i="20"/>
  <c r="E378" i="20"/>
  <c r="C378" i="20"/>
  <c r="M377" i="20"/>
  <c r="L377" i="20"/>
  <c r="E377" i="20"/>
  <c r="C377" i="20"/>
  <c r="M376" i="20"/>
  <c r="L376" i="20"/>
  <c r="V376" i="20" s="1"/>
  <c r="E376" i="20"/>
  <c r="C376" i="20"/>
  <c r="M375" i="20"/>
  <c r="L375" i="20"/>
  <c r="U375" i="20" s="1"/>
  <c r="E375" i="20"/>
  <c r="C375" i="20"/>
  <c r="M374" i="20"/>
  <c r="L374" i="20"/>
  <c r="E374" i="20"/>
  <c r="C374" i="20"/>
  <c r="M373" i="20"/>
  <c r="L373" i="20"/>
  <c r="E373" i="20"/>
  <c r="C373" i="20"/>
  <c r="M372" i="20"/>
  <c r="L372" i="20"/>
  <c r="X372" i="20" s="1"/>
  <c r="E372" i="20"/>
  <c r="C372" i="20"/>
  <c r="M371" i="20"/>
  <c r="L371" i="20"/>
  <c r="X371" i="20" s="1"/>
  <c r="E371" i="20"/>
  <c r="C371" i="20"/>
  <c r="M370" i="20"/>
  <c r="L370" i="20"/>
  <c r="E370" i="20"/>
  <c r="C370" i="20"/>
  <c r="M369" i="20"/>
  <c r="L369" i="20"/>
  <c r="V369" i="20" s="1"/>
  <c r="E369" i="20"/>
  <c r="C369" i="20"/>
  <c r="M368" i="20"/>
  <c r="L368" i="20"/>
  <c r="E368" i="20"/>
  <c r="C368" i="20"/>
  <c r="M367" i="20"/>
  <c r="L367" i="20"/>
  <c r="E367" i="20"/>
  <c r="C367" i="20"/>
  <c r="M366" i="20"/>
  <c r="L366" i="20"/>
  <c r="E366" i="20"/>
  <c r="C366" i="20"/>
  <c r="M365" i="20"/>
  <c r="L365" i="20"/>
  <c r="T365" i="20" s="1"/>
  <c r="E365" i="20"/>
  <c r="C365" i="20"/>
  <c r="M364" i="20"/>
  <c r="L364" i="20"/>
  <c r="E364" i="20"/>
  <c r="C364" i="20"/>
  <c r="M363" i="20"/>
  <c r="L363" i="20"/>
  <c r="X363" i="20" s="1"/>
  <c r="E363" i="20"/>
  <c r="C363" i="20"/>
  <c r="M362" i="20"/>
  <c r="L362" i="20"/>
  <c r="E362" i="20"/>
  <c r="C362" i="20"/>
  <c r="M361" i="20"/>
  <c r="L361" i="20"/>
  <c r="U361" i="20" s="1"/>
  <c r="E361" i="20"/>
  <c r="C361" i="20"/>
  <c r="M360" i="20"/>
  <c r="L360" i="20"/>
  <c r="W360" i="20" s="1"/>
  <c r="E360" i="20"/>
  <c r="C360" i="20"/>
  <c r="M359" i="20"/>
  <c r="L359" i="20"/>
  <c r="V359" i="20" s="1"/>
  <c r="E359" i="20"/>
  <c r="C359" i="20"/>
  <c r="M358" i="20"/>
  <c r="L358" i="20"/>
  <c r="W358" i="20" s="1"/>
  <c r="E358" i="20"/>
  <c r="C358" i="20"/>
  <c r="M357" i="20"/>
  <c r="L357" i="20"/>
  <c r="W357" i="20" s="1"/>
  <c r="E357" i="20"/>
  <c r="C357" i="20"/>
  <c r="M356" i="20"/>
  <c r="L356" i="20"/>
  <c r="W356" i="20" s="1"/>
  <c r="E356" i="20"/>
  <c r="C356" i="20"/>
  <c r="M355" i="20"/>
  <c r="L355" i="20"/>
  <c r="U355" i="20" s="1"/>
  <c r="E355" i="20"/>
  <c r="C355" i="20"/>
  <c r="M354" i="20"/>
  <c r="L354" i="20"/>
  <c r="E354" i="20"/>
  <c r="C354" i="20"/>
  <c r="M353" i="20"/>
  <c r="L353" i="20"/>
  <c r="E353" i="20"/>
  <c r="C353" i="20"/>
  <c r="M352" i="20"/>
  <c r="L352" i="20"/>
  <c r="X352" i="20" s="1"/>
  <c r="E352" i="20"/>
  <c r="C352" i="20"/>
  <c r="M351" i="20"/>
  <c r="L351" i="20"/>
  <c r="E351" i="20"/>
  <c r="C351" i="20"/>
  <c r="M350" i="20"/>
  <c r="L350" i="20"/>
  <c r="U350" i="20" s="1"/>
  <c r="E350" i="20"/>
  <c r="C350" i="20"/>
  <c r="M349" i="20"/>
  <c r="L349" i="20"/>
  <c r="E349" i="20"/>
  <c r="C349" i="20"/>
  <c r="M348" i="20"/>
  <c r="L348" i="20"/>
  <c r="T348" i="20" s="1"/>
  <c r="E348" i="20"/>
  <c r="C348" i="20"/>
  <c r="M347" i="20"/>
  <c r="L347" i="20"/>
  <c r="T347" i="20" s="1"/>
  <c r="E347" i="20"/>
  <c r="C347" i="20"/>
  <c r="M346" i="20"/>
  <c r="L346" i="20"/>
  <c r="X346" i="20" s="1"/>
  <c r="E346" i="20"/>
  <c r="C346" i="20"/>
  <c r="M345" i="20"/>
  <c r="L345" i="20"/>
  <c r="X345" i="20" s="1"/>
  <c r="E345" i="20"/>
  <c r="C345" i="20"/>
  <c r="M344" i="20"/>
  <c r="L344" i="20"/>
  <c r="T344" i="20" s="1"/>
  <c r="E344" i="20"/>
  <c r="C344" i="20"/>
  <c r="M343" i="20"/>
  <c r="L343" i="20"/>
  <c r="E343" i="20"/>
  <c r="C343" i="20"/>
  <c r="M342" i="20"/>
  <c r="L342" i="20"/>
  <c r="E342" i="20"/>
  <c r="C342" i="20"/>
  <c r="M341" i="20"/>
  <c r="L341" i="20"/>
  <c r="E341" i="20"/>
  <c r="C341" i="20"/>
  <c r="M340" i="20"/>
  <c r="L340" i="20"/>
  <c r="E340" i="20"/>
  <c r="C340" i="20"/>
  <c r="M339" i="20"/>
  <c r="L339" i="20"/>
  <c r="E339" i="20"/>
  <c r="C339" i="20"/>
  <c r="M338" i="20"/>
  <c r="L338" i="20"/>
  <c r="E338" i="20"/>
  <c r="C338" i="20"/>
  <c r="M337" i="20"/>
  <c r="L337" i="20"/>
  <c r="E337" i="20"/>
  <c r="C337" i="20"/>
  <c r="M336" i="20"/>
  <c r="L336" i="20"/>
  <c r="E336" i="20"/>
  <c r="C336" i="20"/>
  <c r="M335" i="20"/>
  <c r="L335" i="20"/>
  <c r="T335" i="20" s="1"/>
  <c r="E335" i="20"/>
  <c r="C335" i="20"/>
  <c r="M334" i="20"/>
  <c r="L334" i="20"/>
  <c r="X334" i="20" s="1"/>
  <c r="E334" i="20"/>
  <c r="C334" i="20"/>
  <c r="M333" i="20"/>
  <c r="L333" i="20"/>
  <c r="X333" i="20" s="1"/>
  <c r="E333" i="20"/>
  <c r="C333" i="20"/>
  <c r="M332" i="20"/>
  <c r="L332" i="20"/>
  <c r="V332" i="20" s="1"/>
  <c r="E332" i="20"/>
  <c r="C332" i="20"/>
  <c r="M331" i="20"/>
  <c r="L331" i="20"/>
  <c r="T331" i="20" s="1"/>
  <c r="E331" i="20"/>
  <c r="C331" i="20"/>
  <c r="M330" i="20"/>
  <c r="L330" i="20"/>
  <c r="E330" i="20"/>
  <c r="C330" i="20"/>
  <c r="M329" i="20"/>
  <c r="L329" i="20"/>
  <c r="X329" i="20" s="1"/>
  <c r="E329" i="20"/>
  <c r="C329" i="20"/>
  <c r="M328" i="20"/>
  <c r="L328" i="20"/>
  <c r="E328" i="20"/>
  <c r="C328" i="20"/>
  <c r="M327" i="20"/>
  <c r="L327" i="20"/>
  <c r="E327" i="20"/>
  <c r="C327" i="20"/>
  <c r="M326" i="20"/>
  <c r="L326" i="20"/>
  <c r="U326" i="20" s="1"/>
  <c r="E326" i="20"/>
  <c r="C326" i="20"/>
  <c r="M325" i="20"/>
  <c r="L325" i="20"/>
  <c r="X325" i="20" s="1"/>
  <c r="E325" i="20"/>
  <c r="C325" i="20"/>
  <c r="M324" i="20"/>
  <c r="L324" i="20"/>
  <c r="E324" i="20"/>
  <c r="C324" i="20"/>
  <c r="M323" i="20"/>
  <c r="L323" i="20"/>
  <c r="U323" i="20" s="1"/>
  <c r="E323" i="20"/>
  <c r="C323" i="20"/>
  <c r="M322" i="20"/>
  <c r="L322" i="20"/>
  <c r="E322" i="20"/>
  <c r="C322" i="20"/>
  <c r="M321" i="20"/>
  <c r="L321" i="20"/>
  <c r="E321" i="20"/>
  <c r="C321" i="20"/>
  <c r="M320" i="20"/>
  <c r="L320" i="20"/>
  <c r="E320" i="20"/>
  <c r="C320" i="20"/>
  <c r="M319" i="20"/>
  <c r="L319" i="20"/>
  <c r="U319" i="20" s="1"/>
  <c r="E319" i="20"/>
  <c r="C319" i="20"/>
  <c r="M318" i="20"/>
  <c r="L318" i="20"/>
  <c r="E318" i="20"/>
  <c r="C318" i="20"/>
  <c r="M317" i="20"/>
  <c r="L317" i="20"/>
  <c r="E317" i="20"/>
  <c r="C317" i="20"/>
  <c r="M316" i="20"/>
  <c r="L316" i="20"/>
  <c r="T316" i="20" s="1"/>
  <c r="E316" i="20"/>
  <c r="C316" i="20"/>
  <c r="M315" i="20"/>
  <c r="L315" i="20"/>
  <c r="W315" i="20" s="1"/>
  <c r="E315" i="20"/>
  <c r="C315" i="20"/>
  <c r="M314" i="20"/>
  <c r="L314" i="20"/>
  <c r="E314" i="20"/>
  <c r="C314" i="20"/>
  <c r="M313" i="20"/>
  <c r="L313" i="20"/>
  <c r="E313" i="20"/>
  <c r="C313" i="20"/>
  <c r="M312" i="20"/>
  <c r="L312" i="20"/>
  <c r="E312" i="20"/>
  <c r="C312" i="20"/>
  <c r="M311" i="20"/>
  <c r="L311" i="20"/>
  <c r="E311" i="20"/>
  <c r="C311" i="20"/>
  <c r="M310" i="20"/>
  <c r="L310" i="20"/>
  <c r="V310" i="20" s="1"/>
  <c r="E310" i="20"/>
  <c r="C310" i="20"/>
  <c r="M309" i="20"/>
  <c r="L309" i="20"/>
  <c r="E309" i="20"/>
  <c r="C309" i="20"/>
  <c r="M308" i="20"/>
  <c r="L308" i="20"/>
  <c r="V308" i="20" s="1"/>
  <c r="E308" i="20"/>
  <c r="C308" i="20"/>
  <c r="M307" i="20"/>
  <c r="L307" i="20"/>
  <c r="T307" i="20" s="1"/>
  <c r="E307" i="20"/>
  <c r="C307" i="20"/>
  <c r="M306" i="20"/>
  <c r="L306" i="20"/>
  <c r="E306" i="20"/>
  <c r="C306" i="20"/>
  <c r="M305" i="20"/>
  <c r="L305" i="20"/>
  <c r="E305" i="20"/>
  <c r="C305" i="20"/>
  <c r="M304" i="20"/>
  <c r="L304" i="20"/>
  <c r="E304" i="20"/>
  <c r="C304" i="20"/>
  <c r="M303" i="20"/>
  <c r="L303" i="20"/>
  <c r="V303" i="20" s="1"/>
  <c r="E303" i="20"/>
  <c r="C303" i="20"/>
  <c r="M302" i="20"/>
  <c r="L302" i="20"/>
  <c r="E302" i="20"/>
  <c r="C302" i="20"/>
  <c r="M301" i="20"/>
  <c r="L301" i="20"/>
  <c r="E301" i="20"/>
  <c r="C301" i="20"/>
  <c r="M300" i="20"/>
  <c r="L300" i="20"/>
  <c r="T300" i="20" s="1"/>
  <c r="E300" i="20"/>
  <c r="C300" i="20"/>
  <c r="M299" i="20"/>
  <c r="L299" i="20"/>
  <c r="T299" i="20" s="1"/>
  <c r="E299" i="20"/>
  <c r="C299" i="20"/>
  <c r="M298" i="20"/>
  <c r="L298" i="20"/>
  <c r="E298" i="20"/>
  <c r="C298" i="20"/>
  <c r="M297" i="20"/>
  <c r="L297" i="20"/>
  <c r="T297" i="20" s="1"/>
  <c r="E297" i="20"/>
  <c r="C297" i="20"/>
  <c r="M296" i="20"/>
  <c r="L296" i="20"/>
  <c r="E296" i="20"/>
  <c r="C296" i="20"/>
  <c r="M295" i="20"/>
  <c r="L295" i="20"/>
  <c r="E295" i="20"/>
  <c r="C295" i="20"/>
  <c r="M294" i="20"/>
  <c r="L294" i="20"/>
  <c r="T294" i="20" s="1"/>
  <c r="E294" i="20"/>
  <c r="C294" i="20"/>
  <c r="M293" i="20"/>
  <c r="L293" i="20"/>
  <c r="E293" i="20"/>
  <c r="C293" i="20"/>
  <c r="M292" i="20"/>
  <c r="L292" i="20"/>
  <c r="E292" i="20"/>
  <c r="C292" i="20"/>
  <c r="M291" i="20"/>
  <c r="L291" i="20"/>
  <c r="T291" i="20" s="1"/>
  <c r="E291" i="20"/>
  <c r="C291" i="20"/>
  <c r="M290" i="20"/>
  <c r="L290" i="20"/>
  <c r="T290" i="20" s="1"/>
  <c r="E290" i="20"/>
  <c r="C290" i="20"/>
  <c r="M289" i="20"/>
  <c r="L289" i="20"/>
  <c r="E289" i="20"/>
  <c r="C289" i="20"/>
  <c r="M288" i="20"/>
  <c r="L288" i="20"/>
  <c r="T288" i="20" s="1"/>
  <c r="E288" i="20"/>
  <c r="C288" i="20"/>
  <c r="M287" i="20"/>
  <c r="L287" i="20"/>
  <c r="E287" i="20"/>
  <c r="C287" i="20"/>
  <c r="M286" i="20"/>
  <c r="L286" i="20"/>
  <c r="E286" i="20"/>
  <c r="C286" i="20"/>
  <c r="M285" i="20"/>
  <c r="L285" i="20"/>
  <c r="W285" i="20" s="1"/>
  <c r="E285" i="20"/>
  <c r="C285" i="20"/>
  <c r="M284" i="20"/>
  <c r="L284" i="20"/>
  <c r="V284" i="20" s="1"/>
  <c r="E284" i="20"/>
  <c r="C284" i="20"/>
  <c r="M283" i="20"/>
  <c r="L283" i="20"/>
  <c r="V283" i="20" s="1"/>
  <c r="E283" i="20"/>
  <c r="C283" i="20"/>
  <c r="M282" i="20"/>
  <c r="L282" i="20"/>
  <c r="V282" i="20" s="1"/>
  <c r="E282" i="20"/>
  <c r="C282" i="20"/>
  <c r="M281" i="20"/>
  <c r="L281" i="20"/>
  <c r="E281" i="20"/>
  <c r="C281" i="20"/>
  <c r="M280" i="20"/>
  <c r="L280" i="20"/>
  <c r="E280" i="20"/>
  <c r="C280" i="20"/>
  <c r="M279" i="20"/>
  <c r="L279" i="20"/>
  <c r="E279" i="20"/>
  <c r="C279" i="20"/>
  <c r="M278" i="20"/>
  <c r="L278" i="20"/>
  <c r="T278" i="20" s="1"/>
  <c r="E278" i="20"/>
  <c r="C278" i="20"/>
  <c r="M277" i="20"/>
  <c r="L277" i="20"/>
  <c r="X277" i="20" s="1"/>
  <c r="E277" i="20"/>
  <c r="C277" i="20"/>
  <c r="M276" i="20"/>
  <c r="L276" i="20"/>
  <c r="E276" i="20"/>
  <c r="C276" i="20"/>
  <c r="M275" i="20"/>
  <c r="L275" i="20"/>
  <c r="E275" i="20"/>
  <c r="C275" i="20"/>
  <c r="M274" i="20"/>
  <c r="L274" i="20"/>
  <c r="E274" i="20"/>
  <c r="C274" i="20"/>
  <c r="M273" i="20"/>
  <c r="L273" i="20"/>
  <c r="E273" i="20"/>
  <c r="C273" i="20"/>
  <c r="M272" i="20"/>
  <c r="L272" i="20"/>
  <c r="U272" i="20" s="1"/>
  <c r="E272" i="20"/>
  <c r="C272" i="20"/>
  <c r="M271" i="20"/>
  <c r="L271" i="20"/>
  <c r="W271" i="20" s="1"/>
  <c r="E271" i="20"/>
  <c r="C271" i="20"/>
  <c r="M270" i="20"/>
  <c r="L270" i="20"/>
  <c r="X270" i="20" s="1"/>
  <c r="E270" i="20"/>
  <c r="C270" i="20"/>
  <c r="M269" i="20"/>
  <c r="L269" i="20"/>
  <c r="X269" i="20" s="1"/>
  <c r="E269" i="20"/>
  <c r="C269" i="20"/>
  <c r="M268" i="20"/>
  <c r="L268" i="20"/>
  <c r="E268" i="20"/>
  <c r="C268" i="20"/>
  <c r="M267" i="20"/>
  <c r="L267" i="20"/>
  <c r="E267" i="20"/>
  <c r="C267" i="20"/>
  <c r="M266" i="20"/>
  <c r="L266" i="20"/>
  <c r="E266" i="20"/>
  <c r="C266" i="20"/>
  <c r="M265" i="20"/>
  <c r="L265" i="20"/>
  <c r="E265" i="20"/>
  <c r="C265" i="20"/>
  <c r="M264" i="20"/>
  <c r="L264" i="20"/>
  <c r="U264" i="20" s="1"/>
  <c r="E264" i="20"/>
  <c r="C264" i="20"/>
  <c r="M263" i="20"/>
  <c r="L263" i="20"/>
  <c r="E263" i="20"/>
  <c r="C263" i="20"/>
  <c r="M262" i="20"/>
  <c r="L262" i="20"/>
  <c r="E262" i="20"/>
  <c r="C262" i="20"/>
  <c r="M261" i="20"/>
  <c r="L261" i="20"/>
  <c r="E261" i="20"/>
  <c r="C261" i="20"/>
  <c r="M260" i="20"/>
  <c r="L260" i="20"/>
  <c r="E260" i="20"/>
  <c r="C260" i="20"/>
  <c r="M259" i="20"/>
  <c r="L259" i="20"/>
  <c r="E259" i="20"/>
  <c r="C259" i="20"/>
  <c r="M258" i="20"/>
  <c r="L258" i="20"/>
  <c r="E258" i="20"/>
  <c r="C258" i="20"/>
  <c r="M257" i="20"/>
  <c r="L257" i="20"/>
  <c r="E257" i="20"/>
  <c r="C257" i="20"/>
  <c r="M256" i="20"/>
  <c r="L256" i="20"/>
  <c r="E256" i="20"/>
  <c r="C256" i="20"/>
  <c r="M255" i="20"/>
  <c r="L255" i="20"/>
  <c r="E255" i="20"/>
  <c r="C255" i="20"/>
  <c r="M254" i="20"/>
  <c r="L254" i="20"/>
  <c r="E254" i="20"/>
  <c r="C254" i="20"/>
  <c r="M253" i="20"/>
  <c r="L253" i="20"/>
  <c r="E253" i="20"/>
  <c r="C253" i="20"/>
  <c r="M252" i="20"/>
  <c r="L252" i="20"/>
  <c r="E252" i="20"/>
  <c r="C252" i="20"/>
  <c r="M251" i="20"/>
  <c r="L251" i="20"/>
  <c r="E251" i="20"/>
  <c r="C251" i="20"/>
  <c r="M250" i="20"/>
  <c r="L250" i="20"/>
  <c r="E250" i="20"/>
  <c r="C250" i="20"/>
  <c r="M249" i="20"/>
  <c r="L249" i="20"/>
  <c r="E249" i="20"/>
  <c r="C249" i="20"/>
  <c r="M248" i="20"/>
  <c r="L248" i="20"/>
  <c r="E248" i="20"/>
  <c r="C248" i="20"/>
  <c r="M247" i="20"/>
  <c r="L247" i="20"/>
  <c r="E247" i="20"/>
  <c r="C247" i="20"/>
  <c r="M246" i="20"/>
  <c r="L246" i="20"/>
  <c r="E246" i="20"/>
  <c r="C246" i="20"/>
  <c r="M245" i="20"/>
  <c r="L245" i="20"/>
  <c r="T245" i="20" s="1"/>
  <c r="E245" i="20"/>
  <c r="C245" i="20"/>
  <c r="M244" i="20"/>
  <c r="L244" i="20"/>
  <c r="U244" i="20" s="1"/>
  <c r="E244" i="20"/>
  <c r="C244" i="20"/>
  <c r="M243" i="20"/>
  <c r="L243" i="20"/>
  <c r="E243" i="20"/>
  <c r="C243" i="20"/>
  <c r="M242" i="20"/>
  <c r="L242" i="20"/>
  <c r="E242" i="20"/>
  <c r="C242" i="20"/>
  <c r="M241" i="20"/>
  <c r="L241" i="20"/>
  <c r="U241" i="20" s="1"/>
  <c r="E241" i="20"/>
  <c r="C241" i="20"/>
  <c r="M240" i="20"/>
  <c r="L240" i="20"/>
  <c r="E240" i="20"/>
  <c r="C240" i="20"/>
  <c r="M239" i="20"/>
  <c r="L239" i="20"/>
  <c r="E239" i="20"/>
  <c r="C239" i="20"/>
  <c r="M238" i="20"/>
  <c r="L238" i="20"/>
  <c r="E238" i="20"/>
  <c r="C238" i="20"/>
  <c r="M237" i="20"/>
  <c r="L237" i="20"/>
  <c r="U237" i="20" s="1"/>
  <c r="E237" i="20"/>
  <c r="C237" i="20"/>
  <c r="M236" i="20"/>
  <c r="L236" i="20"/>
  <c r="E236" i="20"/>
  <c r="C236" i="20"/>
  <c r="M235" i="20"/>
  <c r="L235" i="20"/>
  <c r="E235" i="20"/>
  <c r="C235" i="20"/>
  <c r="M234" i="20"/>
  <c r="L234" i="20"/>
  <c r="E234" i="20"/>
  <c r="C234" i="20"/>
  <c r="M233" i="20"/>
  <c r="L233" i="20"/>
  <c r="U233" i="20" s="1"/>
  <c r="E233" i="20"/>
  <c r="C233" i="20"/>
  <c r="M232" i="20"/>
  <c r="L232" i="20"/>
  <c r="E232" i="20"/>
  <c r="C232" i="20"/>
  <c r="M231" i="20"/>
  <c r="L231" i="20"/>
  <c r="E231" i="20"/>
  <c r="C231" i="20"/>
  <c r="M230" i="20"/>
  <c r="L230" i="20"/>
  <c r="E230" i="20"/>
  <c r="C230" i="20"/>
  <c r="M229" i="20"/>
  <c r="L229" i="20"/>
  <c r="T229" i="20" s="1"/>
  <c r="E229" i="20"/>
  <c r="C229" i="20"/>
  <c r="M228" i="20"/>
  <c r="L228" i="20"/>
  <c r="T228" i="20" s="1"/>
  <c r="E228" i="20"/>
  <c r="C228" i="20"/>
  <c r="M227" i="20"/>
  <c r="L227" i="20"/>
  <c r="E227" i="20"/>
  <c r="C227" i="20"/>
  <c r="M226" i="20"/>
  <c r="L226" i="20"/>
  <c r="E226" i="20"/>
  <c r="C226" i="20"/>
  <c r="M225" i="20"/>
  <c r="L225" i="20"/>
  <c r="T225" i="20" s="1"/>
  <c r="E225" i="20"/>
  <c r="C225" i="20"/>
  <c r="M224" i="20"/>
  <c r="L224" i="20"/>
  <c r="U224" i="20" s="1"/>
  <c r="E224" i="20"/>
  <c r="C224" i="20"/>
  <c r="M223" i="20"/>
  <c r="L223" i="20"/>
  <c r="E223" i="20"/>
  <c r="C223" i="20"/>
  <c r="M222" i="20"/>
  <c r="L222" i="20"/>
  <c r="E222" i="20"/>
  <c r="C222" i="20"/>
  <c r="M221" i="20"/>
  <c r="L221" i="20"/>
  <c r="E221" i="20"/>
  <c r="C221" i="20"/>
  <c r="M220" i="20"/>
  <c r="L220" i="20"/>
  <c r="U220" i="20" s="1"/>
  <c r="E220" i="20"/>
  <c r="C220" i="20"/>
  <c r="M219" i="20"/>
  <c r="L219" i="20"/>
  <c r="E219" i="20"/>
  <c r="C219" i="20"/>
  <c r="M218" i="20"/>
  <c r="L218" i="20"/>
  <c r="X218" i="20" s="1"/>
  <c r="E218" i="20"/>
  <c r="C218" i="20"/>
  <c r="M217" i="20"/>
  <c r="L217" i="20"/>
  <c r="E217" i="20"/>
  <c r="C217" i="20"/>
  <c r="M216" i="20"/>
  <c r="L216" i="20"/>
  <c r="E216" i="20"/>
  <c r="C216" i="20"/>
  <c r="M215" i="20"/>
  <c r="L215" i="20"/>
  <c r="X215" i="20" s="1"/>
  <c r="E215" i="20"/>
  <c r="C215" i="20"/>
  <c r="M214" i="20"/>
  <c r="L214" i="20"/>
  <c r="E214" i="20"/>
  <c r="C214" i="20"/>
  <c r="M213" i="20"/>
  <c r="L213" i="20"/>
  <c r="E213" i="20"/>
  <c r="C213" i="20"/>
  <c r="M212" i="20"/>
  <c r="L212" i="20"/>
  <c r="X212" i="20" s="1"/>
  <c r="E212" i="20"/>
  <c r="C212" i="20"/>
  <c r="M211" i="20"/>
  <c r="L211" i="20"/>
  <c r="E211" i="20"/>
  <c r="C211" i="20"/>
  <c r="M210" i="20"/>
  <c r="L210" i="20"/>
  <c r="E210" i="20"/>
  <c r="C210" i="20"/>
  <c r="M209" i="20"/>
  <c r="L209" i="20"/>
  <c r="X209" i="20" s="1"/>
  <c r="E209" i="20"/>
  <c r="C209" i="20"/>
  <c r="M208" i="20"/>
  <c r="L208" i="20"/>
  <c r="E208" i="20"/>
  <c r="C208" i="20"/>
  <c r="M207" i="20"/>
  <c r="L207" i="20"/>
  <c r="E207" i="20"/>
  <c r="C207" i="20"/>
  <c r="M206" i="20"/>
  <c r="L206" i="20"/>
  <c r="X206" i="20" s="1"/>
  <c r="E206" i="20"/>
  <c r="C206" i="20"/>
  <c r="M205" i="20"/>
  <c r="L205" i="20"/>
  <c r="E205" i="20"/>
  <c r="C205" i="20"/>
  <c r="M204" i="20"/>
  <c r="L204" i="20"/>
  <c r="E204" i="20"/>
  <c r="C204" i="20"/>
  <c r="M203" i="20"/>
  <c r="L203" i="20"/>
  <c r="X203" i="20" s="1"/>
  <c r="E203" i="20"/>
  <c r="C203" i="20"/>
  <c r="M202" i="20"/>
  <c r="L202" i="20"/>
  <c r="E202" i="20"/>
  <c r="C202" i="20"/>
  <c r="M201" i="20"/>
  <c r="L201" i="20"/>
  <c r="E201" i="20"/>
  <c r="C201" i="20"/>
  <c r="M200" i="20"/>
  <c r="L200" i="20"/>
  <c r="X200" i="20" s="1"/>
  <c r="E200" i="20"/>
  <c r="C200" i="20"/>
  <c r="M199" i="20"/>
  <c r="L199" i="20"/>
  <c r="E199" i="20"/>
  <c r="C199" i="20"/>
  <c r="M198" i="20"/>
  <c r="L198" i="20"/>
  <c r="E198" i="20"/>
  <c r="C198" i="20"/>
  <c r="M197" i="20"/>
  <c r="L197" i="20"/>
  <c r="X197" i="20" s="1"/>
  <c r="E197" i="20"/>
  <c r="C197" i="20"/>
  <c r="M196" i="20"/>
  <c r="L196" i="20"/>
  <c r="E196" i="20"/>
  <c r="C196" i="20"/>
  <c r="M195" i="20"/>
  <c r="L195" i="20"/>
  <c r="E195" i="20"/>
  <c r="C195" i="20"/>
  <c r="M194" i="20"/>
  <c r="L194" i="20"/>
  <c r="E194" i="20"/>
  <c r="C194" i="20"/>
  <c r="M193" i="20"/>
  <c r="L193" i="20"/>
  <c r="X193" i="20" s="1"/>
  <c r="E193" i="20"/>
  <c r="C193" i="20"/>
  <c r="M192" i="20"/>
  <c r="L192" i="20"/>
  <c r="E192" i="20"/>
  <c r="C192" i="20"/>
  <c r="M191" i="20"/>
  <c r="L191" i="20"/>
  <c r="E191" i="20"/>
  <c r="C191" i="20"/>
  <c r="M190" i="20"/>
  <c r="L190" i="20"/>
  <c r="E190" i="20"/>
  <c r="C190" i="20"/>
  <c r="M189" i="20"/>
  <c r="L189" i="20"/>
  <c r="X189" i="20" s="1"/>
  <c r="E189" i="20"/>
  <c r="C189" i="20"/>
  <c r="M188" i="20"/>
  <c r="L188" i="20"/>
  <c r="X188" i="20" s="1"/>
  <c r="E188" i="20"/>
  <c r="C188" i="20"/>
  <c r="M187" i="20"/>
  <c r="L187" i="20"/>
  <c r="E187" i="20"/>
  <c r="C187" i="20"/>
  <c r="M186" i="20"/>
  <c r="L186" i="20"/>
  <c r="E186" i="20"/>
  <c r="C186" i="20"/>
  <c r="M185" i="20"/>
  <c r="L185" i="20"/>
  <c r="X185" i="20" s="1"/>
  <c r="E185" i="20"/>
  <c r="C185" i="20"/>
  <c r="M184" i="20"/>
  <c r="L184" i="20"/>
  <c r="E184" i="20"/>
  <c r="C184" i="20"/>
  <c r="M183" i="20"/>
  <c r="L183" i="20"/>
  <c r="E183" i="20"/>
  <c r="C183" i="20"/>
  <c r="M182" i="20"/>
  <c r="L182" i="20"/>
  <c r="E182" i="20"/>
  <c r="C182" i="20"/>
  <c r="M181" i="20"/>
  <c r="L181" i="20"/>
  <c r="E181" i="20"/>
  <c r="C181" i="20"/>
  <c r="M180" i="20"/>
  <c r="L180" i="20"/>
  <c r="E180" i="20"/>
  <c r="C180" i="20"/>
  <c r="M179" i="20"/>
  <c r="L179" i="20"/>
  <c r="X179" i="20" s="1"/>
  <c r="E179" i="20"/>
  <c r="C179" i="20"/>
  <c r="M178" i="20"/>
  <c r="L178" i="20"/>
  <c r="V178" i="20" s="1"/>
  <c r="E178" i="20"/>
  <c r="C178" i="20"/>
  <c r="M177" i="20"/>
  <c r="L177" i="20"/>
  <c r="E177" i="20"/>
  <c r="C177" i="20"/>
  <c r="M176" i="20"/>
  <c r="L176" i="20"/>
  <c r="E176" i="20"/>
  <c r="C176" i="20"/>
  <c r="M175" i="20"/>
  <c r="L175" i="20"/>
  <c r="E175" i="20"/>
  <c r="C175" i="20"/>
  <c r="M174" i="20"/>
  <c r="L174" i="20"/>
  <c r="X174" i="20" s="1"/>
  <c r="E174" i="20"/>
  <c r="C174" i="20"/>
  <c r="M173" i="20"/>
  <c r="L173" i="20"/>
  <c r="E173" i="20"/>
  <c r="C173" i="20"/>
  <c r="M172" i="20"/>
  <c r="L172" i="20"/>
  <c r="X172" i="20" s="1"/>
  <c r="E172" i="20"/>
  <c r="C172" i="20"/>
  <c r="M171" i="20"/>
  <c r="L171" i="20"/>
  <c r="W171" i="20" s="1"/>
  <c r="E171" i="20"/>
  <c r="C171" i="20"/>
  <c r="M170" i="20"/>
  <c r="L170" i="20"/>
  <c r="W170" i="20" s="1"/>
  <c r="E170" i="20"/>
  <c r="C170" i="20"/>
  <c r="M169" i="20"/>
  <c r="L169" i="20"/>
  <c r="W169" i="20" s="1"/>
  <c r="E169" i="20"/>
  <c r="C169" i="20"/>
  <c r="M168" i="20"/>
  <c r="L168" i="20"/>
  <c r="E168" i="20"/>
  <c r="C168" i="20"/>
  <c r="M167" i="20"/>
  <c r="L167" i="20"/>
  <c r="E167" i="20"/>
  <c r="C167" i="20"/>
  <c r="M166" i="20"/>
  <c r="L166" i="20"/>
  <c r="E166" i="20"/>
  <c r="C166" i="20"/>
  <c r="M165" i="20"/>
  <c r="L165" i="20"/>
  <c r="E165" i="20"/>
  <c r="C165" i="20"/>
  <c r="M164" i="20"/>
  <c r="L164" i="20"/>
  <c r="E164" i="20"/>
  <c r="C164" i="20"/>
  <c r="M163" i="20"/>
  <c r="L163" i="20"/>
  <c r="E163" i="20"/>
  <c r="C163" i="20"/>
  <c r="M162" i="20"/>
  <c r="L162" i="20"/>
  <c r="W162" i="20" s="1"/>
  <c r="E162" i="20"/>
  <c r="C162" i="20"/>
  <c r="M161" i="20"/>
  <c r="L161" i="20"/>
  <c r="W161" i="20" s="1"/>
  <c r="E161" i="20"/>
  <c r="C161" i="20"/>
  <c r="M160" i="20"/>
  <c r="L160" i="20"/>
  <c r="T160" i="20" s="1"/>
  <c r="E160" i="20"/>
  <c r="C160" i="20"/>
  <c r="M159" i="20"/>
  <c r="L159" i="20"/>
  <c r="X159" i="20" s="1"/>
  <c r="E159" i="20"/>
  <c r="C159" i="20"/>
  <c r="M158" i="20"/>
  <c r="L158" i="20"/>
  <c r="X158" i="20" s="1"/>
  <c r="E158" i="20"/>
  <c r="C158" i="20"/>
  <c r="M157" i="20"/>
  <c r="L157" i="20"/>
  <c r="W157" i="20" s="1"/>
  <c r="E157" i="20"/>
  <c r="C157" i="20"/>
  <c r="M156" i="20"/>
  <c r="L156" i="20"/>
  <c r="E156" i="20"/>
  <c r="C156" i="20"/>
  <c r="M155" i="20"/>
  <c r="L155" i="20"/>
  <c r="E155" i="20"/>
  <c r="C155" i="20"/>
  <c r="M154" i="20"/>
  <c r="L154" i="20"/>
  <c r="E154" i="20"/>
  <c r="C154" i="20"/>
  <c r="M153" i="20"/>
  <c r="L153" i="20"/>
  <c r="E153" i="20"/>
  <c r="C153" i="20"/>
  <c r="M152" i="20"/>
  <c r="L152" i="20"/>
  <c r="X152" i="20" s="1"/>
  <c r="E152" i="20"/>
  <c r="C152" i="20"/>
  <c r="M151" i="20"/>
  <c r="L151" i="20"/>
  <c r="E151" i="20"/>
  <c r="C151" i="20"/>
  <c r="M150" i="20"/>
  <c r="L150" i="20"/>
  <c r="W150" i="20" s="1"/>
  <c r="E150" i="20"/>
  <c r="C150" i="20"/>
  <c r="M149" i="20"/>
  <c r="L149" i="20"/>
  <c r="W149" i="20" s="1"/>
  <c r="E149" i="20"/>
  <c r="C149" i="20"/>
  <c r="M148" i="20"/>
  <c r="L148" i="20"/>
  <c r="T148" i="20" s="1"/>
  <c r="E148" i="20"/>
  <c r="C148" i="20"/>
  <c r="M147" i="20"/>
  <c r="L147" i="20"/>
  <c r="X147" i="20" s="1"/>
  <c r="E147" i="20"/>
  <c r="C147" i="20"/>
  <c r="M146" i="20"/>
  <c r="L146" i="20"/>
  <c r="U146" i="20" s="1"/>
  <c r="E146" i="20"/>
  <c r="C146" i="20"/>
  <c r="M145" i="20"/>
  <c r="L145" i="20"/>
  <c r="W145" i="20" s="1"/>
  <c r="E145" i="20"/>
  <c r="C145" i="20"/>
  <c r="M144" i="20"/>
  <c r="L144" i="20"/>
  <c r="E144" i="20"/>
  <c r="C144" i="20"/>
  <c r="M143" i="20"/>
  <c r="L143" i="20"/>
  <c r="E143" i="20"/>
  <c r="C143" i="20"/>
  <c r="M142" i="20"/>
  <c r="L142" i="20"/>
  <c r="E142" i="20"/>
  <c r="C142" i="20"/>
  <c r="M141" i="20"/>
  <c r="L141" i="20"/>
  <c r="E141" i="20"/>
  <c r="C141" i="20"/>
  <c r="M140" i="20"/>
  <c r="L140" i="20"/>
  <c r="X140" i="20" s="1"/>
  <c r="E140" i="20"/>
  <c r="C140" i="20"/>
  <c r="M139" i="20"/>
  <c r="L139" i="20"/>
  <c r="W139" i="20" s="1"/>
  <c r="E139" i="20"/>
  <c r="C139" i="20"/>
  <c r="M138" i="20"/>
  <c r="L138" i="20"/>
  <c r="E138" i="20"/>
  <c r="C138" i="20"/>
  <c r="M137" i="20"/>
  <c r="L137" i="20"/>
  <c r="W137" i="20" s="1"/>
  <c r="E137" i="20"/>
  <c r="C137" i="20"/>
  <c r="M136" i="20"/>
  <c r="L136" i="20"/>
  <c r="W136" i="20" s="1"/>
  <c r="E136" i="20"/>
  <c r="C136" i="20"/>
  <c r="M135" i="20"/>
  <c r="L135" i="20"/>
  <c r="E135" i="20"/>
  <c r="C135" i="20"/>
  <c r="M134" i="20"/>
  <c r="L134" i="20"/>
  <c r="E134" i="20"/>
  <c r="C134" i="20"/>
  <c r="M133" i="20"/>
  <c r="L133" i="20"/>
  <c r="E133" i="20"/>
  <c r="C133" i="20"/>
  <c r="M132" i="20"/>
  <c r="L132" i="20"/>
  <c r="C132" i="20"/>
  <c r="M131" i="20"/>
  <c r="L131" i="20"/>
  <c r="C131" i="20"/>
  <c r="M130" i="20"/>
  <c r="L130" i="20"/>
  <c r="C130" i="20"/>
  <c r="M129" i="20"/>
  <c r="L129" i="20"/>
  <c r="X129" i="20" s="1"/>
  <c r="C129" i="20"/>
  <c r="M128" i="20"/>
  <c r="L128" i="20"/>
  <c r="C128" i="20"/>
  <c r="M127" i="20"/>
  <c r="L127" i="20"/>
  <c r="C127" i="20"/>
  <c r="M126" i="20"/>
  <c r="L126" i="20"/>
  <c r="V126" i="20" s="1"/>
  <c r="C126" i="20"/>
  <c r="M125" i="20"/>
  <c r="L125" i="20"/>
  <c r="W125" i="20" s="1"/>
  <c r="C125" i="20"/>
  <c r="M124" i="20"/>
  <c r="L124" i="20"/>
  <c r="C124" i="20"/>
  <c r="M123" i="20"/>
  <c r="L123" i="20"/>
  <c r="W123" i="20" s="1"/>
  <c r="C123" i="20"/>
  <c r="M122" i="20"/>
  <c r="L122" i="20"/>
  <c r="U122" i="20" s="1"/>
  <c r="C122" i="20"/>
  <c r="M121" i="20"/>
  <c r="L121" i="20"/>
  <c r="C121" i="20"/>
  <c r="M120" i="20"/>
  <c r="L120" i="20"/>
  <c r="C120" i="20"/>
  <c r="M119" i="20"/>
  <c r="L119" i="20"/>
  <c r="V119" i="20" s="1"/>
  <c r="C119" i="20"/>
  <c r="M118" i="20"/>
  <c r="L118" i="20"/>
  <c r="U118" i="20" s="1"/>
  <c r="C118" i="20"/>
  <c r="M117" i="20"/>
  <c r="L117" i="20"/>
  <c r="C117" i="20"/>
  <c r="M116" i="20"/>
  <c r="L116" i="20"/>
  <c r="V116" i="20" s="1"/>
  <c r="C116" i="20"/>
  <c r="M115" i="20"/>
  <c r="L115" i="20"/>
  <c r="C115" i="20"/>
  <c r="M114" i="20"/>
  <c r="L114" i="20"/>
  <c r="C114" i="20"/>
  <c r="M113" i="20"/>
  <c r="L113" i="20"/>
  <c r="C113" i="20"/>
  <c r="M112" i="20"/>
  <c r="L112" i="20"/>
  <c r="X112" i="20" s="1"/>
  <c r="C112" i="20"/>
  <c r="M111" i="20"/>
  <c r="L111" i="20"/>
  <c r="V111" i="20" s="1"/>
  <c r="C111" i="20"/>
  <c r="M110" i="20"/>
  <c r="L110" i="20"/>
  <c r="C110" i="20"/>
  <c r="M109" i="20"/>
  <c r="L109" i="20"/>
  <c r="X109" i="20" s="1"/>
  <c r="C109" i="20"/>
  <c r="M108" i="20"/>
  <c r="L108" i="20"/>
  <c r="W108" i="20" s="1"/>
  <c r="C108" i="20"/>
  <c r="M107" i="20"/>
  <c r="L107" i="20"/>
  <c r="C107" i="20"/>
  <c r="M106" i="20"/>
  <c r="L106" i="20"/>
  <c r="C106" i="20"/>
  <c r="M105" i="20"/>
  <c r="L105" i="20"/>
  <c r="T105" i="20" s="1"/>
  <c r="C105" i="20"/>
  <c r="M104" i="20"/>
  <c r="L104" i="20"/>
  <c r="C104" i="20"/>
  <c r="M103" i="20"/>
  <c r="L103" i="20"/>
  <c r="T103" i="20" s="1"/>
  <c r="C103" i="20"/>
  <c r="M102" i="20"/>
  <c r="L102" i="20"/>
  <c r="X102" i="20" s="1"/>
  <c r="C102" i="20"/>
  <c r="M101" i="20"/>
  <c r="L101" i="20"/>
  <c r="C101" i="20"/>
  <c r="M100" i="20"/>
  <c r="L100" i="20"/>
  <c r="U100" i="20" s="1"/>
  <c r="C100" i="20"/>
  <c r="M99" i="20"/>
  <c r="L99" i="20"/>
  <c r="C99" i="20"/>
  <c r="M98" i="20"/>
  <c r="L98" i="20"/>
  <c r="X98" i="20" s="1"/>
  <c r="C98" i="20"/>
  <c r="M97" i="20"/>
  <c r="L97" i="20"/>
  <c r="W97" i="20" s="1"/>
  <c r="C97" i="20"/>
  <c r="M96" i="20"/>
  <c r="L96" i="20"/>
  <c r="C96" i="20"/>
  <c r="M95" i="20"/>
  <c r="L95" i="20"/>
  <c r="T95" i="20" s="1"/>
  <c r="C95" i="20"/>
  <c r="M94" i="20"/>
  <c r="L94" i="20"/>
  <c r="X94" i="20" s="1"/>
  <c r="C94" i="20"/>
  <c r="M93" i="20"/>
  <c r="L93" i="20"/>
  <c r="C93" i="20"/>
  <c r="M92" i="20"/>
  <c r="L92" i="20"/>
  <c r="T92" i="20" s="1"/>
  <c r="C92" i="20"/>
  <c r="M91" i="20"/>
  <c r="L91" i="20"/>
  <c r="C91" i="20"/>
  <c r="M90" i="20"/>
  <c r="L90" i="20"/>
  <c r="T90" i="20" s="1"/>
  <c r="C90" i="20"/>
  <c r="M89" i="20"/>
  <c r="L89" i="20"/>
  <c r="C89" i="20"/>
  <c r="M88" i="20"/>
  <c r="L88" i="20"/>
  <c r="C88" i="20"/>
  <c r="M87" i="20"/>
  <c r="L87" i="20"/>
  <c r="C87" i="20"/>
  <c r="M86" i="20"/>
  <c r="L86" i="20"/>
  <c r="X86" i="20" s="1"/>
  <c r="C86" i="20"/>
  <c r="M85" i="20"/>
  <c r="L85" i="20"/>
  <c r="X85" i="20" s="1"/>
  <c r="C85" i="20"/>
  <c r="M84" i="20"/>
  <c r="L84" i="20"/>
  <c r="U84" i="20" s="1"/>
  <c r="C84" i="20"/>
  <c r="M83" i="20"/>
  <c r="L83" i="20"/>
  <c r="U83" i="20" s="1"/>
  <c r="C83" i="20"/>
  <c r="M82" i="20"/>
  <c r="L82" i="20"/>
  <c r="C82" i="20"/>
  <c r="M81" i="20"/>
  <c r="L81" i="20"/>
  <c r="T81" i="20" s="1"/>
  <c r="C81" i="20"/>
  <c r="M80" i="20"/>
  <c r="L80" i="20"/>
  <c r="X80" i="20" s="1"/>
  <c r="C80" i="20"/>
  <c r="M79" i="20"/>
  <c r="L79" i="20"/>
  <c r="X79" i="20" s="1"/>
  <c r="C79" i="20"/>
  <c r="M78" i="20"/>
  <c r="L78" i="20"/>
  <c r="U78" i="20" s="1"/>
  <c r="C78" i="20"/>
  <c r="M77" i="20"/>
  <c r="L77" i="20"/>
  <c r="C77" i="20"/>
  <c r="M76" i="20"/>
  <c r="L76" i="20"/>
  <c r="C76" i="20"/>
  <c r="M75" i="20"/>
  <c r="L75" i="20"/>
  <c r="C75" i="20"/>
  <c r="M74" i="20"/>
  <c r="L74" i="20"/>
  <c r="C74" i="20"/>
  <c r="M73" i="20"/>
  <c r="L73" i="20"/>
  <c r="W73" i="20" s="1"/>
  <c r="C73" i="20"/>
  <c r="M72" i="20"/>
  <c r="L72" i="20"/>
  <c r="U72" i="20" s="1"/>
  <c r="C72" i="20"/>
  <c r="M71" i="20"/>
  <c r="L71" i="20"/>
  <c r="X71" i="20" s="1"/>
  <c r="C71" i="20"/>
  <c r="M70" i="20"/>
  <c r="L70" i="20"/>
  <c r="V70" i="20" s="1"/>
  <c r="C70" i="20"/>
  <c r="M69" i="20"/>
  <c r="L69" i="20"/>
  <c r="X69" i="20" s="1"/>
  <c r="C69" i="20"/>
  <c r="M68" i="20"/>
  <c r="L68" i="20"/>
  <c r="C68" i="20"/>
  <c r="M67" i="20"/>
  <c r="L67" i="20"/>
  <c r="C67" i="20"/>
  <c r="M66" i="20"/>
  <c r="L66" i="20"/>
  <c r="C66" i="20"/>
  <c r="M65" i="20"/>
  <c r="L65" i="20"/>
  <c r="C65" i="20"/>
  <c r="M64" i="20"/>
  <c r="L64" i="20"/>
  <c r="C64" i="20"/>
  <c r="M63" i="20"/>
  <c r="L63" i="20"/>
  <c r="C63" i="20"/>
  <c r="M62" i="20"/>
  <c r="L62" i="20"/>
  <c r="C62" i="20"/>
  <c r="M61" i="20"/>
  <c r="L61" i="20"/>
  <c r="C61" i="20"/>
  <c r="M60" i="20"/>
  <c r="L60" i="20"/>
  <c r="W60" i="20" s="1"/>
  <c r="C60" i="20"/>
  <c r="M59" i="20"/>
  <c r="L59" i="20"/>
  <c r="T59" i="20" s="1"/>
  <c r="C59" i="20"/>
  <c r="M58" i="20"/>
  <c r="L58" i="20"/>
  <c r="X58" i="20" s="1"/>
  <c r="C58" i="20"/>
  <c r="M57" i="20"/>
  <c r="L57" i="20"/>
  <c r="T57" i="20" s="1"/>
  <c r="C57" i="20"/>
  <c r="M56" i="20"/>
  <c r="L56" i="20"/>
  <c r="T56" i="20" s="1"/>
  <c r="C56" i="20"/>
  <c r="M55" i="20"/>
  <c r="L55" i="20"/>
  <c r="W55" i="20" s="1"/>
  <c r="C55" i="20"/>
  <c r="M54" i="20"/>
  <c r="L54" i="20"/>
  <c r="T54" i="20" s="1"/>
  <c r="C54" i="20"/>
  <c r="M53" i="20"/>
  <c r="L53" i="20"/>
  <c r="C53" i="20"/>
  <c r="M52" i="20"/>
  <c r="L52" i="20"/>
  <c r="C52" i="20"/>
  <c r="M51" i="20"/>
  <c r="L51" i="20"/>
  <c r="C51" i="20"/>
  <c r="M50" i="20"/>
  <c r="L50" i="20"/>
  <c r="C50" i="20"/>
  <c r="M49" i="20"/>
  <c r="L49" i="20"/>
  <c r="X49" i="20" s="1"/>
  <c r="C49" i="20"/>
  <c r="M48" i="20"/>
  <c r="L48" i="20"/>
  <c r="U48" i="20" s="1"/>
  <c r="C48" i="20"/>
  <c r="M47" i="20"/>
  <c r="L47" i="20"/>
  <c r="C47" i="20"/>
  <c r="M46" i="20"/>
  <c r="L46" i="20"/>
  <c r="U46" i="20" s="1"/>
  <c r="C46" i="20"/>
  <c r="M45" i="20"/>
  <c r="L45" i="20"/>
  <c r="C45" i="20"/>
  <c r="M44" i="20"/>
  <c r="L44" i="20"/>
  <c r="T44" i="20" s="1"/>
  <c r="C44" i="20"/>
  <c r="M43" i="20"/>
  <c r="L43" i="20"/>
  <c r="X43" i="20" s="1"/>
  <c r="C43" i="20"/>
  <c r="M42" i="20"/>
  <c r="L42" i="20"/>
  <c r="X42" i="20" s="1"/>
  <c r="C42" i="20"/>
  <c r="M41" i="20"/>
  <c r="L41" i="20"/>
  <c r="C41" i="20"/>
  <c r="M40" i="20"/>
  <c r="L40" i="20"/>
  <c r="C40" i="20"/>
  <c r="M39" i="20"/>
  <c r="L39" i="20"/>
  <c r="C39" i="20"/>
  <c r="M38" i="20"/>
  <c r="L38" i="20"/>
  <c r="C38" i="20"/>
  <c r="M37" i="20"/>
  <c r="L37" i="20"/>
  <c r="C37" i="20"/>
  <c r="M36" i="20"/>
  <c r="L36" i="20"/>
  <c r="U36" i="20" s="1"/>
  <c r="C36" i="20"/>
  <c r="M35" i="20"/>
  <c r="L35" i="20"/>
  <c r="C35" i="20"/>
  <c r="M34" i="20"/>
  <c r="L34" i="20"/>
  <c r="C34" i="20"/>
  <c r="M33" i="20"/>
  <c r="L33" i="20"/>
  <c r="C33" i="20"/>
  <c r="S31" i="20"/>
  <c r="R31" i="20"/>
  <c r="O31" i="20"/>
  <c r="M30" i="20"/>
  <c r="M29" i="20"/>
  <c r="M28" i="20"/>
  <c r="A27" i="20"/>
  <c r="A26" i="20"/>
  <c r="G32" i="20" s="1"/>
  <c r="A25" i="20"/>
  <c r="I32" i="20" s="1"/>
  <c r="M305" i="19"/>
  <c r="K305" i="19"/>
  <c r="J305" i="19"/>
  <c r="I305" i="19"/>
  <c r="H305" i="19"/>
  <c r="F305" i="19"/>
  <c r="D305" i="19"/>
  <c r="L305" i="19" s="1"/>
  <c r="M304" i="19"/>
  <c r="K304" i="19"/>
  <c r="J304" i="19"/>
  <c r="I304" i="19"/>
  <c r="H304" i="19"/>
  <c r="F304" i="19"/>
  <c r="D304" i="19"/>
  <c r="L304" i="19" s="1"/>
  <c r="M303" i="19"/>
  <c r="K303" i="19"/>
  <c r="J303" i="19"/>
  <c r="I303" i="19"/>
  <c r="H303" i="19"/>
  <c r="F303" i="19"/>
  <c r="D303" i="19"/>
  <c r="L303" i="19" s="1"/>
  <c r="M302" i="19"/>
  <c r="K302" i="19"/>
  <c r="J302" i="19"/>
  <c r="I302" i="19"/>
  <c r="H302" i="19"/>
  <c r="F302" i="19"/>
  <c r="D302" i="19"/>
  <c r="L302" i="19" s="1"/>
  <c r="M301" i="19"/>
  <c r="K301" i="19"/>
  <c r="J301" i="19"/>
  <c r="I301" i="19"/>
  <c r="H301" i="19"/>
  <c r="F301" i="19"/>
  <c r="D301" i="19"/>
  <c r="L301" i="19" s="1"/>
  <c r="M300" i="19"/>
  <c r="K300" i="19"/>
  <c r="J300" i="19"/>
  <c r="I300" i="19"/>
  <c r="H300" i="19"/>
  <c r="F300" i="19"/>
  <c r="D300" i="19"/>
  <c r="L300" i="19" s="1"/>
  <c r="M299" i="19"/>
  <c r="K299" i="19"/>
  <c r="J299" i="19"/>
  <c r="I299" i="19"/>
  <c r="H299" i="19"/>
  <c r="F299" i="19"/>
  <c r="D299" i="19"/>
  <c r="L299" i="19" s="1"/>
  <c r="M298" i="19"/>
  <c r="K298" i="19"/>
  <c r="J298" i="19"/>
  <c r="I298" i="19"/>
  <c r="H298" i="19"/>
  <c r="F298" i="19"/>
  <c r="D298" i="19"/>
  <c r="L298" i="19" s="1"/>
  <c r="M297" i="19"/>
  <c r="K297" i="19"/>
  <c r="J297" i="19"/>
  <c r="I297" i="19"/>
  <c r="H297" i="19"/>
  <c r="F297" i="19"/>
  <c r="D297" i="19"/>
  <c r="L297" i="19" s="1"/>
  <c r="M296" i="19"/>
  <c r="K296" i="19"/>
  <c r="J296" i="19"/>
  <c r="I296" i="19"/>
  <c r="H296" i="19"/>
  <c r="F296" i="19"/>
  <c r="D296" i="19"/>
  <c r="L296" i="19" s="1"/>
  <c r="M295" i="19"/>
  <c r="K295" i="19"/>
  <c r="J295" i="19"/>
  <c r="I295" i="19"/>
  <c r="H295" i="19"/>
  <c r="F295" i="19"/>
  <c r="D295" i="19"/>
  <c r="L295" i="19" s="1"/>
  <c r="M294" i="19"/>
  <c r="K294" i="19"/>
  <c r="J294" i="19"/>
  <c r="I294" i="19"/>
  <c r="H294" i="19"/>
  <c r="F294" i="19"/>
  <c r="D294" i="19"/>
  <c r="L294" i="19" s="1"/>
  <c r="M293" i="19"/>
  <c r="K293" i="19"/>
  <c r="J293" i="19"/>
  <c r="I293" i="19"/>
  <c r="H293" i="19"/>
  <c r="F293" i="19"/>
  <c r="D293" i="19"/>
  <c r="L293" i="19" s="1"/>
  <c r="M292" i="19"/>
  <c r="K292" i="19"/>
  <c r="J292" i="19"/>
  <c r="I292" i="19"/>
  <c r="H292" i="19"/>
  <c r="F292" i="19"/>
  <c r="D292" i="19"/>
  <c r="L292" i="19" s="1"/>
  <c r="M291" i="19"/>
  <c r="K291" i="19"/>
  <c r="J291" i="19"/>
  <c r="I291" i="19"/>
  <c r="H291" i="19"/>
  <c r="F291" i="19"/>
  <c r="D291" i="19"/>
  <c r="L291" i="19" s="1"/>
  <c r="M290" i="19"/>
  <c r="K290" i="19"/>
  <c r="J290" i="19"/>
  <c r="I290" i="19"/>
  <c r="H290" i="19"/>
  <c r="F290" i="19"/>
  <c r="D290" i="19"/>
  <c r="L290" i="19" s="1"/>
  <c r="M289" i="19"/>
  <c r="K289" i="19"/>
  <c r="J289" i="19"/>
  <c r="I289" i="19"/>
  <c r="H289" i="19"/>
  <c r="F289" i="19"/>
  <c r="D289" i="19"/>
  <c r="L289" i="19" s="1"/>
  <c r="M288" i="19"/>
  <c r="K288" i="19"/>
  <c r="J288" i="19"/>
  <c r="I288" i="19"/>
  <c r="H288" i="19"/>
  <c r="F288" i="19"/>
  <c r="D288" i="19"/>
  <c r="L288" i="19" s="1"/>
  <c r="M287" i="19"/>
  <c r="K287" i="19"/>
  <c r="J287" i="19"/>
  <c r="I287" i="19"/>
  <c r="H287" i="19"/>
  <c r="F287" i="19"/>
  <c r="D287" i="19"/>
  <c r="L287" i="19" s="1"/>
  <c r="M286" i="19"/>
  <c r="K286" i="19"/>
  <c r="J286" i="19"/>
  <c r="I286" i="19"/>
  <c r="H286" i="19"/>
  <c r="F286" i="19"/>
  <c r="D286" i="19"/>
  <c r="L286" i="19" s="1"/>
  <c r="M285" i="19"/>
  <c r="K285" i="19"/>
  <c r="J285" i="19"/>
  <c r="I285" i="19"/>
  <c r="H285" i="19"/>
  <c r="F285" i="19"/>
  <c r="D285" i="19"/>
  <c r="L285" i="19" s="1"/>
  <c r="M284" i="19"/>
  <c r="K284" i="19"/>
  <c r="J284" i="19"/>
  <c r="I284" i="19"/>
  <c r="H284" i="19"/>
  <c r="F284" i="19"/>
  <c r="D284" i="19"/>
  <c r="L284" i="19" s="1"/>
  <c r="M283" i="19"/>
  <c r="K283" i="19"/>
  <c r="J283" i="19"/>
  <c r="I283" i="19"/>
  <c r="H283" i="19"/>
  <c r="F283" i="19"/>
  <c r="D283" i="19"/>
  <c r="L283" i="19" s="1"/>
  <c r="M282" i="19"/>
  <c r="K282" i="19"/>
  <c r="J282" i="19"/>
  <c r="I282" i="19"/>
  <c r="H282" i="19"/>
  <c r="F282" i="19"/>
  <c r="D282" i="19"/>
  <c r="L282" i="19" s="1"/>
  <c r="M281" i="19"/>
  <c r="K281" i="19"/>
  <c r="J281" i="19"/>
  <c r="I281" i="19"/>
  <c r="H281" i="19"/>
  <c r="F281" i="19"/>
  <c r="D281" i="19"/>
  <c r="L281" i="19" s="1"/>
  <c r="M280" i="19"/>
  <c r="K280" i="19"/>
  <c r="J280" i="19"/>
  <c r="I280" i="19"/>
  <c r="H280" i="19"/>
  <c r="F280" i="19"/>
  <c r="D280" i="19"/>
  <c r="L280" i="19" s="1"/>
  <c r="M279" i="19"/>
  <c r="K279" i="19"/>
  <c r="J279" i="19"/>
  <c r="I279" i="19"/>
  <c r="H279" i="19"/>
  <c r="F279" i="19"/>
  <c r="D279" i="19"/>
  <c r="L279" i="19" s="1"/>
  <c r="M278" i="19"/>
  <c r="K278" i="19"/>
  <c r="J278" i="19"/>
  <c r="I278" i="19"/>
  <c r="H278" i="19"/>
  <c r="F278" i="19"/>
  <c r="D278" i="19"/>
  <c r="L278" i="19" s="1"/>
  <c r="M277" i="19"/>
  <c r="K277" i="19"/>
  <c r="J277" i="19"/>
  <c r="I277" i="19"/>
  <c r="H277" i="19"/>
  <c r="F277" i="19"/>
  <c r="D277" i="19"/>
  <c r="L277" i="19" s="1"/>
  <c r="M276" i="19"/>
  <c r="K276" i="19"/>
  <c r="J276" i="19"/>
  <c r="I276" i="19"/>
  <c r="H276" i="19"/>
  <c r="F276" i="19"/>
  <c r="D276" i="19"/>
  <c r="L276" i="19" s="1"/>
  <c r="M275" i="19"/>
  <c r="K275" i="19"/>
  <c r="J275" i="19"/>
  <c r="I275" i="19"/>
  <c r="H275" i="19"/>
  <c r="F275" i="19"/>
  <c r="D275" i="19"/>
  <c r="L275" i="19" s="1"/>
  <c r="J274" i="19"/>
  <c r="M274" i="19" s="1"/>
  <c r="I274" i="19"/>
  <c r="H274" i="19"/>
  <c r="K274" i="19" s="1"/>
  <c r="F274" i="19"/>
  <c r="D274" i="19"/>
  <c r="L274" i="19" s="1"/>
  <c r="D432" i="20"/>
  <c r="D431" i="20"/>
  <c r="D430" i="20"/>
  <c r="D429" i="20"/>
  <c r="D428" i="20"/>
  <c r="D427" i="20"/>
  <c r="D426" i="20"/>
  <c r="D425" i="20"/>
  <c r="D424" i="20"/>
  <c r="D423" i="20"/>
  <c r="D422" i="20"/>
  <c r="D421" i="20"/>
  <c r="D420" i="20"/>
  <c r="D419" i="20"/>
  <c r="D418" i="20"/>
  <c r="D417" i="20"/>
  <c r="D416" i="20"/>
  <c r="D415" i="20"/>
  <c r="D414" i="20"/>
  <c r="D413" i="20"/>
  <c r="D412" i="20"/>
  <c r="D411" i="20"/>
  <c r="D410" i="20"/>
  <c r="D409" i="20"/>
  <c r="D408" i="20"/>
  <c r="D407" i="20"/>
  <c r="D406" i="20"/>
  <c r="D405" i="20"/>
  <c r="D404" i="20"/>
  <c r="D403" i="20"/>
  <c r="D402" i="20"/>
  <c r="D401" i="20"/>
  <c r="D400" i="20"/>
  <c r="D399" i="20"/>
  <c r="D398" i="20"/>
  <c r="D397" i="20"/>
  <c r="D396" i="20"/>
  <c r="D395" i="20"/>
  <c r="D394" i="20"/>
  <c r="D393" i="20"/>
  <c r="D392" i="20"/>
  <c r="D391" i="20"/>
  <c r="D390" i="20"/>
  <c r="D389" i="20"/>
  <c r="D388" i="20"/>
  <c r="D387" i="20"/>
  <c r="D386" i="20"/>
  <c r="D385" i="20"/>
  <c r="D384" i="20"/>
  <c r="D383" i="20"/>
  <c r="D382" i="20"/>
  <c r="D381" i="20"/>
  <c r="D380" i="20"/>
  <c r="D379" i="20"/>
  <c r="D378" i="20"/>
  <c r="D377" i="20"/>
  <c r="D376" i="20"/>
  <c r="D375" i="20"/>
  <c r="D374" i="20"/>
  <c r="D373" i="20"/>
  <c r="D372" i="20"/>
  <c r="D371" i="20"/>
  <c r="D370" i="20"/>
  <c r="D369" i="20"/>
  <c r="D368" i="20"/>
  <c r="D367" i="20"/>
  <c r="D366" i="20"/>
  <c r="D365" i="20"/>
  <c r="D364" i="20"/>
  <c r="D363" i="20"/>
  <c r="D362" i="20"/>
  <c r="D361" i="20"/>
  <c r="D360" i="20"/>
  <c r="D359" i="20"/>
  <c r="D358" i="20"/>
  <c r="D357" i="20"/>
  <c r="D356" i="20"/>
  <c r="D355" i="20"/>
  <c r="D354" i="20"/>
  <c r="D353" i="20"/>
  <c r="D352" i="20"/>
  <c r="D351" i="20"/>
  <c r="D350" i="20"/>
  <c r="D349" i="20"/>
  <c r="D348" i="20"/>
  <c r="D347" i="20"/>
  <c r="D346" i="20"/>
  <c r="D345" i="20"/>
  <c r="D344" i="20"/>
  <c r="D343" i="20"/>
  <c r="D342" i="20"/>
  <c r="D341" i="20"/>
  <c r="D340" i="20"/>
  <c r="D339" i="20"/>
  <c r="D338" i="20"/>
  <c r="D337" i="20"/>
  <c r="D336" i="20"/>
  <c r="D335" i="20"/>
  <c r="D334" i="20"/>
  <c r="D333" i="20"/>
  <c r="D332" i="20"/>
  <c r="D331" i="20"/>
  <c r="D330" i="20"/>
  <c r="D329" i="20"/>
  <c r="D328" i="20"/>
  <c r="D327" i="20"/>
  <c r="D326" i="20"/>
  <c r="D325" i="20"/>
  <c r="D324" i="20"/>
  <c r="D323" i="20"/>
  <c r="D322" i="20"/>
  <c r="D321" i="20"/>
  <c r="D320" i="20"/>
  <c r="D319" i="20"/>
  <c r="D318" i="20"/>
  <c r="D317" i="20"/>
  <c r="D316" i="20"/>
  <c r="D315" i="20"/>
  <c r="D314" i="20"/>
  <c r="D313" i="20"/>
  <c r="D312" i="20"/>
  <c r="D311" i="20"/>
  <c r="D310" i="20"/>
  <c r="D309" i="20"/>
  <c r="D308" i="20"/>
  <c r="D307" i="20"/>
  <c r="D306" i="20"/>
  <c r="D305" i="20"/>
  <c r="D304" i="20"/>
  <c r="D303" i="20"/>
  <c r="D302" i="20"/>
  <c r="D301" i="20"/>
  <c r="D300" i="20"/>
  <c r="D299" i="20"/>
  <c r="D298" i="20"/>
  <c r="D297" i="20"/>
  <c r="D296" i="20"/>
  <c r="D295" i="20"/>
  <c r="D294" i="20"/>
  <c r="D293" i="20"/>
  <c r="D292" i="20"/>
  <c r="D291" i="20"/>
  <c r="D290" i="20"/>
  <c r="D289" i="20"/>
  <c r="D288" i="20"/>
  <c r="D287" i="20"/>
  <c r="D286" i="20"/>
  <c r="D285" i="20"/>
  <c r="D284" i="20"/>
  <c r="D283" i="20"/>
  <c r="D282" i="20"/>
  <c r="D281" i="20"/>
  <c r="D280" i="20"/>
  <c r="D279" i="20"/>
  <c r="D278" i="20"/>
  <c r="D277" i="20"/>
  <c r="D276" i="20"/>
  <c r="D275" i="20"/>
  <c r="D274" i="20"/>
  <c r="D273" i="20"/>
  <c r="D272" i="20"/>
  <c r="D271" i="20"/>
  <c r="D270" i="20"/>
  <c r="D269" i="20"/>
  <c r="D268" i="20"/>
  <c r="D267" i="20"/>
  <c r="D266" i="20"/>
  <c r="D265" i="20"/>
  <c r="D264" i="20"/>
  <c r="D263" i="20"/>
  <c r="D262" i="20"/>
  <c r="D261" i="20"/>
  <c r="D260" i="20"/>
  <c r="D259" i="20"/>
  <c r="D258" i="20"/>
  <c r="D257" i="20"/>
  <c r="D256" i="20"/>
  <c r="D255" i="20"/>
  <c r="D254" i="20"/>
  <c r="D253" i="20"/>
  <c r="D252" i="20"/>
  <c r="D251" i="20"/>
  <c r="D250" i="20"/>
  <c r="D249" i="20"/>
  <c r="D248" i="20"/>
  <c r="D247" i="20"/>
  <c r="D246" i="20"/>
  <c r="D245" i="20"/>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D121" i="20"/>
  <c r="D120" i="20"/>
  <c r="D119" i="20"/>
  <c r="D118" i="20"/>
  <c r="D117" i="20"/>
  <c r="D116" i="20"/>
  <c r="D115" i="20"/>
  <c r="D114" i="20"/>
  <c r="D113" i="20"/>
  <c r="D112" i="20"/>
  <c r="D111" i="20"/>
  <c r="D110" i="20"/>
  <c r="D109" i="20"/>
  <c r="D108" i="20"/>
  <c r="D107" i="20"/>
  <c r="D106" i="20"/>
  <c r="D105" i="20"/>
  <c r="D104" i="20"/>
  <c r="D103" i="20"/>
  <c r="D102" i="20"/>
  <c r="D101" i="20"/>
  <c r="D100" i="20"/>
  <c r="D99" i="20"/>
  <c r="D98" i="20"/>
  <c r="D97" i="20"/>
  <c r="D96" i="20"/>
  <c r="D95" i="20"/>
  <c r="D94" i="20"/>
  <c r="D93" i="20"/>
  <c r="D92" i="20"/>
  <c r="D91" i="20"/>
  <c r="D90" i="20"/>
  <c r="D89" i="20"/>
  <c r="D88" i="20"/>
  <c r="D87" i="20"/>
  <c r="D86" i="20"/>
  <c r="D85" i="20"/>
  <c r="D84" i="20"/>
  <c r="D83" i="20"/>
  <c r="D82" i="20"/>
  <c r="D81" i="20"/>
  <c r="D80" i="20"/>
  <c r="D79" i="20"/>
  <c r="D78" i="20"/>
  <c r="D77" i="20"/>
  <c r="D76" i="20"/>
  <c r="D75" i="20"/>
  <c r="D74" i="20"/>
  <c r="D73" i="20"/>
  <c r="D72" i="20"/>
  <c r="D71" i="20"/>
  <c r="D70" i="20"/>
  <c r="D69" i="20"/>
  <c r="D68" i="20"/>
  <c r="D67" i="20"/>
  <c r="D66" i="20"/>
  <c r="D65" i="20"/>
  <c r="D64" i="20"/>
  <c r="D63"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E79" i="54"/>
  <c r="D79" i="54"/>
  <c r="J78" i="54"/>
  <c r="I78" i="54"/>
  <c r="H78" i="54"/>
  <c r="A78" i="54"/>
  <c r="E71" i="54"/>
  <c r="D71" i="54"/>
  <c r="J70" i="54"/>
  <c r="I70" i="54"/>
  <c r="H70" i="54"/>
  <c r="B31" i="54"/>
  <c r="B30" i="54"/>
  <c r="B29" i="54"/>
  <c r="B27" i="54"/>
  <c r="C12" i="54"/>
  <c r="B12" i="54"/>
  <c r="C11" i="54"/>
  <c r="B11" i="54"/>
  <c r="B156" i="13"/>
  <c r="B154" i="13"/>
  <c r="B152" i="13"/>
  <c r="B151" i="13"/>
  <c r="B150" i="13"/>
  <c r="B149" i="13"/>
  <c r="B148" i="13"/>
  <c r="B147" i="13"/>
  <c r="N145" i="13"/>
  <c r="B145" i="13"/>
  <c r="N144" i="13"/>
  <c r="B144" i="13"/>
  <c r="M143" i="13"/>
  <c r="B143" i="13"/>
  <c r="M142" i="13"/>
  <c r="B142" i="13"/>
  <c r="N141" i="13"/>
  <c r="B141" i="13"/>
  <c r="N140" i="13"/>
  <c r="B140" i="13"/>
  <c r="N139" i="13"/>
  <c r="B139" i="13"/>
  <c r="N138" i="13"/>
  <c r="B138" i="13"/>
  <c r="M137" i="13"/>
  <c r="B137" i="13"/>
  <c r="N136" i="13"/>
  <c r="B136" i="13"/>
  <c r="M135" i="13"/>
  <c r="B135" i="13"/>
  <c r="N134" i="13"/>
  <c r="B134" i="13"/>
  <c r="N133" i="13"/>
  <c r="B133" i="13"/>
  <c r="N132" i="13"/>
  <c r="B132" i="13"/>
  <c r="M131" i="13"/>
  <c r="B131" i="13"/>
  <c r="M130" i="13"/>
  <c r="B130" i="13"/>
  <c r="N129" i="13"/>
  <c r="B129" i="13"/>
  <c r="B128" i="13"/>
  <c r="B127" i="13"/>
  <c r="M126" i="13"/>
  <c r="B126" i="13"/>
  <c r="N125" i="13"/>
  <c r="B125" i="13"/>
  <c r="N124" i="13"/>
  <c r="B124" i="13"/>
  <c r="N123" i="13"/>
  <c r="B123" i="13"/>
  <c r="N122" i="13"/>
  <c r="B122" i="13"/>
  <c r="N121" i="13"/>
  <c r="B121" i="13"/>
  <c r="M120" i="13"/>
  <c r="B120" i="13"/>
  <c r="N119" i="13"/>
  <c r="B119" i="13"/>
  <c r="N118" i="13"/>
  <c r="B118" i="13"/>
  <c r="N117" i="13"/>
  <c r="B117" i="13"/>
  <c r="N116" i="13"/>
  <c r="B116" i="13"/>
  <c r="M115" i="13"/>
  <c r="B115" i="13"/>
  <c r="N114" i="13"/>
  <c r="B114" i="13"/>
  <c r="N113" i="13"/>
  <c r="B113" i="13"/>
  <c r="N112" i="13"/>
  <c r="B112" i="13"/>
  <c r="N111" i="13"/>
  <c r="B111" i="13"/>
  <c r="F109" i="13"/>
  <c r="D101" i="13"/>
  <c r="D156" i="13" s="1"/>
  <c r="B101" i="13"/>
  <c r="C101" i="13" s="1"/>
  <c r="L101" i="13" s="1"/>
  <c r="D99" i="13"/>
  <c r="D154" i="13" s="1"/>
  <c r="B99" i="13"/>
  <c r="E99" i="13" s="1"/>
  <c r="F99" i="13" s="1"/>
  <c r="F154" i="13" s="1"/>
  <c r="D98" i="13"/>
  <c r="B98" i="13"/>
  <c r="D96" i="13"/>
  <c r="D151" i="13" s="1"/>
  <c r="B96" i="13"/>
  <c r="C96" i="13" s="1"/>
  <c r="L96" i="13" s="1"/>
  <c r="D95" i="13"/>
  <c r="D150" i="13" s="1"/>
  <c r="B95" i="13"/>
  <c r="E95" i="13" s="1"/>
  <c r="F95" i="13" s="1"/>
  <c r="F150" i="13" s="1"/>
  <c r="D94" i="13"/>
  <c r="D149" i="13" s="1"/>
  <c r="B94" i="13"/>
  <c r="C94" i="13" s="1"/>
  <c r="D93" i="13"/>
  <c r="D148" i="13" s="1"/>
  <c r="B93" i="13"/>
  <c r="E93" i="13" s="1"/>
  <c r="F93" i="13" s="1"/>
  <c r="F148" i="13" s="1"/>
  <c r="D92" i="13"/>
  <c r="D147" i="13" s="1"/>
  <c r="B92" i="13"/>
  <c r="C92" i="13" s="1"/>
  <c r="L92" i="13" s="1"/>
  <c r="D91" i="13"/>
  <c r="B91" i="13"/>
  <c r="E91" i="13" s="1"/>
  <c r="F91" i="13" s="1"/>
  <c r="M89" i="13"/>
  <c r="D89" i="13"/>
  <c r="D145" i="13" s="1"/>
  <c r="B89" i="13"/>
  <c r="C89" i="13" s="1"/>
  <c r="M88" i="13"/>
  <c r="D88" i="13"/>
  <c r="D144" i="13" s="1"/>
  <c r="B88" i="13"/>
  <c r="E88" i="13" s="1"/>
  <c r="M87" i="13"/>
  <c r="D87" i="13"/>
  <c r="D143" i="13" s="1"/>
  <c r="B87" i="13"/>
  <c r="C87" i="13" s="1"/>
  <c r="M86" i="13"/>
  <c r="D86" i="13"/>
  <c r="D142" i="13" s="1"/>
  <c r="B86" i="13"/>
  <c r="M85" i="13"/>
  <c r="D85" i="13"/>
  <c r="D141" i="13" s="1"/>
  <c r="B85" i="13"/>
  <c r="M84" i="13"/>
  <c r="D84" i="13"/>
  <c r="D140" i="13" s="1"/>
  <c r="B84" i="13"/>
  <c r="C84" i="13" s="1"/>
  <c r="M83" i="13"/>
  <c r="D83" i="13"/>
  <c r="D139" i="13" s="1"/>
  <c r="B83" i="13"/>
  <c r="C83" i="13" s="1"/>
  <c r="M82" i="13"/>
  <c r="D82" i="13"/>
  <c r="D138" i="13" s="1"/>
  <c r="B82" i="13"/>
  <c r="C82" i="13" s="1"/>
  <c r="M81" i="13"/>
  <c r="D81" i="13"/>
  <c r="D137" i="13" s="1"/>
  <c r="B81" i="13"/>
  <c r="M80" i="13"/>
  <c r="D80" i="13"/>
  <c r="D136" i="13" s="1"/>
  <c r="B80" i="13"/>
  <c r="M79" i="13"/>
  <c r="D79" i="13"/>
  <c r="D135" i="13" s="1"/>
  <c r="B79" i="13"/>
  <c r="M78" i="13"/>
  <c r="D78" i="13"/>
  <c r="D134" i="13" s="1"/>
  <c r="B78" i="13"/>
  <c r="E78" i="13" s="1"/>
  <c r="F78" i="13" s="1"/>
  <c r="F134" i="13" s="1"/>
  <c r="M77" i="13"/>
  <c r="D77" i="13"/>
  <c r="D133" i="13" s="1"/>
  <c r="B77" i="13"/>
  <c r="M76" i="13"/>
  <c r="D76" i="13"/>
  <c r="D132" i="13" s="1"/>
  <c r="B76" i="13"/>
  <c r="M75" i="13"/>
  <c r="D75" i="13"/>
  <c r="D131" i="13" s="1"/>
  <c r="B75" i="13"/>
  <c r="C75" i="13" s="1"/>
  <c r="M74" i="13"/>
  <c r="D74" i="13"/>
  <c r="D130" i="13" s="1"/>
  <c r="B74" i="13"/>
  <c r="M73" i="13"/>
  <c r="D73" i="13"/>
  <c r="D129" i="13" s="1"/>
  <c r="B73" i="13"/>
  <c r="M72" i="13"/>
  <c r="D72" i="13"/>
  <c r="D128" i="13" s="1"/>
  <c r="B72" i="13"/>
  <c r="E72" i="13" s="1"/>
  <c r="F72" i="13" s="1"/>
  <c r="F128" i="13" s="1"/>
  <c r="M71" i="13"/>
  <c r="D71" i="13"/>
  <c r="D127" i="13" s="1"/>
  <c r="B71" i="13"/>
  <c r="M70" i="13"/>
  <c r="D70" i="13"/>
  <c r="D126" i="13" s="1"/>
  <c r="B70" i="13"/>
  <c r="M69" i="13"/>
  <c r="D69" i="13"/>
  <c r="D125" i="13" s="1"/>
  <c r="B69" i="13"/>
  <c r="M68" i="13"/>
  <c r="D68" i="13"/>
  <c r="D124" i="13" s="1"/>
  <c r="B68" i="13"/>
  <c r="M67" i="13"/>
  <c r="D67" i="13"/>
  <c r="D123" i="13" s="1"/>
  <c r="B67" i="13"/>
  <c r="C67" i="13" s="1"/>
  <c r="M66" i="13"/>
  <c r="D66" i="13"/>
  <c r="D122" i="13" s="1"/>
  <c r="B66" i="13"/>
  <c r="M65" i="13"/>
  <c r="D65" i="13"/>
  <c r="D121" i="13" s="1"/>
  <c r="B65" i="13"/>
  <c r="M64" i="13"/>
  <c r="D64" i="13"/>
  <c r="D120" i="13" s="1"/>
  <c r="B64" i="13"/>
  <c r="M63" i="13"/>
  <c r="D63" i="13"/>
  <c r="D119" i="13" s="1"/>
  <c r="B63" i="13"/>
  <c r="M62" i="13"/>
  <c r="D62" i="13"/>
  <c r="D118" i="13" s="1"/>
  <c r="B62" i="13"/>
  <c r="M61" i="13"/>
  <c r="D61" i="13"/>
  <c r="D117" i="13" s="1"/>
  <c r="B61" i="13"/>
  <c r="M60" i="13"/>
  <c r="D60" i="13"/>
  <c r="D116" i="13" s="1"/>
  <c r="B60" i="13"/>
  <c r="M59" i="13"/>
  <c r="D59" i="13"/>
  <c r="D115" i="13" s="1"/>
  <c r="B59" i="13"/>
  <c r="M58" i="13"/>
  <c r="D58" i="13"/>
  <c r="D114" i="13" s="1"/>
  <c r="B58" i="13"/>
  <c r="M57" i="13"/>
  <c r="D57" i="13"/>
  <c r="D113" i="13" s="1"/>
  <c r="B57" i="13"/>
  <c r="C57" i="13" s="1"/>
  <c r="K57" i="13" s="1"/>
  <c r="M56" i="13"/>
  <c r="D56" i="13"/>
  <c r="D112" i="13" s="1"/>
  <c r="B56" i="13"/>
  <c r="C56" i="13" s="1"/>
  <c r="M55" i="13"/>
  <c r="D55" i="13"/>
  <c r="D111" i="13" s="1"/>
  <c r="B55" i="13"/>
  <c r="F53" i="13"/>
  <c r="E53" i="13"/>
  <c r="C10" i="13"/>
  <c r="D10" i="13" s="1"/>
  <c r="B10" i="13"/>
  <c r="G17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G66" i="3"/>
  <c r="B10" i="3"/>
  <c r="B10" i="2"/>
  <c r="D32" i="36"/>
  <c r="D31" i="36"/>
  <c r="D29" i="36"/>
  <c r="D27" i="36"/>
  <c r="D21" i="61"/>
  <c r="D20" i="61"/>
  <c r="E19" i="61"/>
  <c r="D19" i="61"/>
  <c r="N274" i="19" l="1"/>
  <c r="K190" i="3"/>
  <c r="M190" i="3" s="1"/>
  <c r="C147" i="13"/>
  <c r="H147" i="13"/>
  <c r="C149" i="13"/>
  <c r="H149" i="13"/>
  <c r="C150" i="13"/>
  <c r="H150" i="13"/>
  <c r="C151" i="13"/>
  <c r="H151" i="13"/>
  <c r="C154" i="13"/>
  <c r="H154" i="13"/>
  <c r="C156" i="13"/>
  <c r="H156" i="13"/>
  <c r="H155" i="13"/>
  <c r="J153" i="13"/>
  <c r="K153" i="13"/>
  <c r="K155" i="13"/>
  <c r="J155" i="13"/>
  <c r="I153" i="13"/>
  <c r="I155" i="13"/>
  <c r="H153" i="13"/>
  <c r="C148" i="13"/>
  <c r="H148" i="13"/>
  <c r="H152" i="13"/>
  <c r="C113" i="13"/>
  <c r="K113" i="13"/>
  <c r="C119" i="13"/>
  <c r="C125" i="13"/>
  <c r="C132" i="13"/>
  <c r="C138" i="13"/>
  <c r="C144" i="13"/>
  <c r="C114" i="13"/>
  <c r="C126" i="13"/>
  <c r="N126" i="13" s="1"/>
  <c r="C145" i="13"/>
  <c r="C111" i="13"/>
  <c r="C117" i="13"/>
  <c r="C123" i="13"/>
  <c r="C130" i="13"/>
  <c r="N130" i="13" s="1"/>
  <c r="C136" i="13"/>
  <c r="C142" i="13"/>
  <c r="N142" i="13" s="1"/>
  <c r="D152" i="13"/>
  <c r="C120" i="13"/>
  <c r="N120" i="13" s="1"/>
  <c r="C133" i="13"/>
  <c r="C139" i="13"/>
  <c r="C115" i="13"/>
  <c r="N115" i="13" s="1"/>
  <c r="C121" i="13"/>
  <c r="C127" i="13"/>
  <c r="N127" i="13" s="1"/>
  <c r="C134" i="13"/>
  <c r="C140" i="13"/>
  <c r="C128" i="13"/>
  <c r="N128" i="13" s="1"/>
  <c r="C116" i="13"/>
  <c r="C122" i="13"/>
  <c r="C129" i="13"/>
  <c r="C135" i="13"/>
  <c r="N135" i="13" s="1"/>
  <c r="C141" i="13"/>
  <c r="C112" i="13"/>
  <c r="C118" i="13"/>
  <c r="C124" i="13"/>
  <c r="C131" i="13"/>
  <c r="N131" i="13" s="1"/>
  <c r="C137" i="13"/>
  <c r="N137" i="13" s="1"/>
  <c r="C143" i="13"/>
  <c r="N143" i="13" s="1"/>
  <c r="C152" i="13"/>
  <c r="G99" i="13"/>
  <c r="G154" i="13" s="1"/>
  <c r="G98" i="13"/>
  <c r="G152" i="13" s="1"/>
  <c r="G97" i="13"/>
  <c r="G153" i="13" s="1"/>
  <c r="G96" i="13"/>
  <c r="G151" i="13" s="1"/>
  <c r="G95" i="13"/>
  <c r="G150" i="13" s="1"/>
  <c r="G93" i="13"/>
  <c r="G148" i="13" s="1"/>
  <c r="G92" i="13"/>
  <c r="G147" i="13" s="1"/>
  <c r="G101" i="13"/>
  <c r="G156" i="13" s="1"/>
  <c r="G100" i="13"/>
  <c r="G155" i="13" s="1"/>
  <c r="L94" i="13"/>
  <c r="J94" i="13"/>
  <c r="J149" i="13" s="1"/>
  <c r="I94" i="13"/>
  <c r="I149" i="13" s="1"/>
  <c r="G94" i="13"/>
  <c r="G149" i="13" s="1"/>
  <c r="E190" i="3"/>
  <c r="E191" i="3"/>
  <c r="E193" i="3"/>
  <c r="E192" i="3"/>
  <c r="L70" i="3"/>
  <c r="Y147" i="57"/>
  <c r="Y141" i="57"/>
  <c r="Z141" i="57" s="1"/>
  <c r="O33" i="20"/>
  <c r="S37" i="20"/>
  <c r="O41" i="20"/>
  <c r="S49" i="20"/>
  <c r="O53" i="20"/>
  <c r="R57" i="20"/>
  <c r="S61" i="20"/>
  <c r="R65" i="20"/>
  <c r="R69" i="20"/>
  <c r="S73" i="20"/>
  <c r="S77" i="20"/>
  <c r="R81" i="20"/>
  <c r="S85" i="20"/>
  <c r="O89" i="20"/>
  <c r="O93" i="20"/>
  <c r="S97" i="20"/>
  <c r="S105" i="20"/>
  <c r="O109" i="20"/>
  <c r="S113" i="20"/>
  <c r="O117" i="20"/>
  <c r="S121" i="20"/>
  <c r="S125" i="20"/>
  <c r="O129" i="20"/>
  <c r="S34" i="20"/>
  <c r="R42" i="20"/>
  <c r="S46" i="20"/>
  <c r="R54" i="20"/>
  <c r="S58" i="20"/>
  <c r="S70" i="20"/>
  <c r="R78" i="20"/>
  <c r="S82" i="20"/>
  <c r="S90" i="20"/>
  <c r="S94" i="20"/>
  <c r="O102" i="20"/>
  <c r="S118" i="20"/>
  <c r="R122" i="20"/>
  <c r="R35" i="20"/>
  <c r="O43" i="20"/>
  <c r="O51" i="20"/>
  <c r="R59" i="20"/>
  <c r="O63" i="20"/>
  <c r="S67" i="20"/>
  <c r="O75" i="20"/>
  <c r="O79" i="20"/>
  <c r="R83" i="20"/>
  <c r="S36" i="20"/>
  <c r="O40" i="20"/>
  <c r="O44" i="20"/>
  <c r="S48" i="20"/>
  <c r="S52" i="20"/>
  <c r="O56" i="20"/>
  <c r="S60" i="20"/>
  <c r="S64" i="20"/>
  <c r="O68" i="20"/>
  <c r="S72" i="20"/>
  <c r="S76" i="20"/>
  <c r="O80" i="20"/>
  <c r="S84" i="20"/>
  <c r="S88" i="20"/>
  <c r="S133" i="20"/>
  <c r="R136" i="20"/>
  <c r="S139" i="20"/>
  <c r="O142" i="20"/>
  <c r="O145" i="20"/>
  <c r="R148" i="20"/>
  <c r="S151" i="20"/>
  <c r="R157" i="20"/>
  <c r="R160" i="20"/>
  <c r="S163" i="20"/>
  <c r="R172" i="20"/>
  <c r="S175" i="20"/>
  <c r="S178" i="20"/>
  <c r="S181" i="20"/>
  <c r="R187" i="20"/>
  <c r="R193" i="20"/>
  <c r="S199" i="20"/>
  <c r="O202" i="20"/>
  <c r="S208" i="20"/>
  <c r="S214" i="20"/>
  <c r="S217" i="20"/>
  <c r="S220" i="20"/>
  <c r="O223" i="20"/>
  <c r="S226" i="20"/>
  <c r="S229" i="20"/>
  <c r="O232" i="20"/>
  <c r="S235" i="20"/>
  <c r="S238" i="20"/>
  <c r="S241" i="20"/>
  <c r="S244" i="20"/>
  <c r="S247" i="20"/>
  <c r="S250" i="20"/>
  <c r="S253" i="20"/>
  <c r="S256" i="20"/>
  <c r="S259" i="20"/>
  <c r="S262" i="20"/>
  <c r="S265" i="20"/>
  <c r="S271" i="20"/>
  <c r="S277" i="20"/>
  <c r="S280" i="20"/>
  <c r="S283" i="20"/>
  <c r="S286" i="20"/>
  <c r="S292" i="20"/>
  <c r="S295" i="20"/>
  <c r="O298" i="20"/>
  <c r="S301" i="20"/>
  <c r="S304" i="20"/>
  <c r="S307" i="20"/>
  <c r="S310" i="20"/>
  <c r="O313" i="20"/>
  <c r="S316" i="20"/>
  <c r="S319" i="20"/>
  <c r="S325" i="20"/>
  <c r="S331" i="20"/>
  <c r="S334" i="20"/>
  <c r="S337" i="20"/>
  <c r="S343" i="20"/>
  <c r="S346" i="20"/>
  <c r="S349" i="20"/>
  <c r="S352" i="20"/>
  <c r="S355" i="20"/>
  <c r="S361" i="20"/>
  <c r="S364" i="20"/>
  <c r="S367" i="20"/>
  <c r="S376" i="20"/>
  <c r="S382" i="20"/>
  <c r="O388" i="20"/>
  <c r="O403" i="20"/>
  <c r="O406" i="20"/>
  <c r="R409" i="20"/>
  <c r="S412" i="20"/>
  <c r="S418" i="20"/>
  <c r="R421" i="20"/>
  <c r="S424" i="20"/>
  <c r="R430" i="20"/>
  <c r="S134" i="20"/>
  <c r="S137" i="20"/>
  <c r="S140" i="20"/>
  <c r="S143" i="20"/>
  <c r="S149" i="20"/>
  <c r="S152" i="20"/>
  <c r="S155" i="20"/>
  <c r="S161" i="20"/>
  <c r="S167" i="20"/>
  <c r="S170" i="20"/>
  <c r="S173" i="20"/>
  <c r="R179" i="20"/>
  <c r="O182" i="20"/>
  <c r="R185" i="20"/>
  <c r="O188" i="20"/>
  <c r="S191" i="20"/>
  <c r="R197" i="20"/>
  <c r="R200" i="20"/>
  <c r="R215" i="20"/>
  <c r="R218" i="20"/>
  <c r="S221" i="20"/>
  <c r="S224" i="20"/>
  <c r="S230" i="20"/>
  <c r="R233" i="20"/>
  <c r="S236" i="20"/>
  <c r="S242" i="20"/>
  <c r="O245" i="20"/>
  <c r="S248" i="20"/>
  <c r="S254" i="20"/>
  <c r="S260" i="20"/>
  <c r="O266" i="20"/>
  <c r="S269" i="20"/>
  <c r="S272" i="20"/>
  <c r="S275" i="20"/>
  <c r="S278" i="20"/>
  <c r="S284" i="20"/>
  <c r="S287" i="20"/>
  <c r="R290" i="20"/>
  <c r="R293" i="20"/>
  <c r="O296" i="20"/>
  <c r="R299" i="20"/>
  <c r="S302" i="20"/>
  <c r="S305" i="20"/>
  <c r="S311" i="20"/>
  <c r="S317" i="20"/>
  <c r="S323" i="20"/>
  <c r="S329" i="20"/>
  <c r="S332" i="20"/>
  <c r="S335" i="20"/>
  <c r="S341" i="20"/>
  <c r="S344" i="20"/>
  <c r="O347" i="20"/>
  <c r="S350" i="20"/>
  <c r="S353" i="20"/>
  <c r="S356" i="20"/>
  <c r="S359" i="20"/>
  <c r="S362" i="20"/>
  <c r="S365" i="20"/>
  <c r="S368" i="20"/>
  <c r="R371" i="20"/>
  <c r="S374" i="20"/>
  <c r="O380" i="20"/>
  <c r="R383" i="20"/>
  <c r="O392" i="20"/>
  <c r="S395" i="20"/>
  <c r="O398" i="20"/>
  <c r="S401" i="20"/>
  <c r="O404" i="20"/>
  <c r="S410" i="20"/>
  <c r="R413" i="20"/>
  <c r="R419" i="20"/>
  <c r="O422" i="20"/>
  <c r="S425" i="20"/>
  <c r="O428" i="20"/>
  <c r="S431" i="20"/>
  <c r="O87" i="20"/>
  <c r="R95" i="20"/>
  <c r="R103" i="20"/>
  <c r="S107" i="20"/>
  <c r="R111" i="20"/>
  <c r="R115" i="20"/>
  <c r="S119" i="20"/>
  <c r="S123" i="20"/>
  <c r="O92" i="20"/>
  <c r="S96" i="20"/>
  <c r="S100" i="20"/>
  <c r="S104" i="20"/>
  <c r="O108" i="20"/>
  <c r="S112" i="20"/>
  <c r="S116" i="20"/>
  <c r="S128" i="20"/>
  <c r="S132" i="20"/>
  <c r="R135" i="20"/>
  <c r="R144" i="20"/>
  <c r="R147" i="20"/>
  <c r="R150" i="20"/>
  <c r="S156" i="20"/>
  <c r="R162" i="20"/>
  <c r="R168" i="20"/>
  <c r="O171" i="20"/>
  <c r="R174" i="20"/>
  <c r="S177" i="20"/>
  <c r="O183" i="20"/>
  <c r="R189" i="20"/>
  <c r="S195" i="20"/>
  <c r="S201" i="20"/>
  <c r="S204" i="20"/>
  <c r="S207" i="20"/>
  <c r="S210" i="20"/>
  <c r="S213" i="20"/>
  <c r="S216" i="20"/>
  <c r="S219" i="20"/>
  <c r="S222" i="20"/>
  <c r="S231" i="20"/>
  <c r="S234" i="20"/>
  <c r="R237" i="20"/>
  <c r="S243" i="20"/>
  <c r="S246" i="20"/>
  <c r="S255" i="20"/>
  <c r="S258" i="20"/>
  <c r="S264" i="20"/>
  <c r="S267" i="20"/>
  <c r="S270" i="20"/>
  <c r="S273" i="20"/>
  <c r="S279" i="20"/>
  <c r="S282" i="20"/>
  <c r="S285" i="20"/>
  <c r="R288" i="20"/>
  <c r="R291" i="20"/>
  <c r="R294" i="20"/>
  <c r="R297" i="20"/>
  <c r="R300" i="20"/>
  <c r="S303" i="20"/>
  <c r="S306" i="20"/>
  <c r="S315" i="20"/>
  <c r="S318" i="20"/>
  <c r="S321" i="20"/>
  <c r="S327" i="20"/>
  <c r="S330" i="20"/>
  <c r="S333" i="20"/>
  <c r="S339" i="20"/>
  <c r="S342" i="20"/>
  <c r="S345" i="20"/>
  <c r="S348" i="20"/>
  <c r="S351" i="20"/>
  <c r="S360" i="20"/>
  <c r="S363" i="20"/>
  <c r="S366" i="20"/>
  <c r="S369" i="20"/>
  <c r="O372" i="20"/>
  <c r="S375" i="20"/>
  <c r="O378" i="20"/>
  <c r="S381" i="20"/>
  <c r="O384" i="20"/>
  <c r="S387" i="20"/>
  <c r="S390" i="20"/>
  <c r="R393" i="20"/>
  <c r="R396" i="20"/>
  <c r="R399" i="20"/>
  <c r="S402" i="20"/>
  <c r="O405" i="20"/>
  <c r="S408" i="20"/>
  <c r="S411" i="20"/>
  <c r="S414" i="20"/>
  <c r="S417" i="20"/>
  <c r="O423" i="20"/>
  <c r="S429" i="20"/>
  <c r="S432" i="20"/>
  <c r="R405" i="20"/>
  <c r="O425" i="20"/>
  <c r="W405" i="20"/>
  <c r="S405" i="20"/>
  <c r="R425" i="20"/>
  <c r="U405" i="20"/>
  <c r="Y113" i="57"/>
  <c r="Z113" i="57" s="1"/>
  <c r="Y114" i="57"/>
  <c r="Z114" i="57" s="1"/>
  <c r="K186" i="3"/>
  <c r="M186" i="3" s="1"/>
  <c r="G174" i="56"/>
  <c r="G175" i="56"/>
  <c r="J175" i="56" s="1"/>
  <c r="G176" i="56"/>
  <c r="J176" i="56" s="1"/>
  <c r="G169" i="56"/>
  <c r="J169" i="56" s="1"/>
  <c r="G166" i="56"/>
  <c r="J166" i="56" s="1"/>
  <c r="G168" i="56"/>
  <c r="J168" i="56" s="1"/>
  <c r="G171" i="56"/>
  <c r="J171" i="56" s="1"/>
  <c r="G173" i="56"/>
  <c r="J173" i="56" s="1"/>
  <c r="G167" i="56"/>
  <c r="J167" i="56" s="1"/>
  <c r="G170" i="56"/>
  <c r="J170" i="56" s="1"/>
  <c r="G172" i="56"/>
  <c r="J172" i="56" s="1"/>
  <c r="Y186" i="57"/>
  <c r="Z186" i="57" s="1"/>
  <c r="J189" i="3"/>
  <c r="L189" i="3" s="1"/>
  <c r="X127" i="18"/>
  <c r="J83" i="17" s="1"/>
  <c r="X360" i="20"/>
  <c r="U111" i="20"/>
  <c r="W72" i="20"/>
  <c r="X72" i="20"/>
  <c r="V72" i="20"/>
  <c r="S171" i="20"/>
  <c r="U245" i="20"/>
  <c r="V174" i="20"/>
  <c r="X108" i="20"/>
  <c r="S245" i="20"/>
  <c r="U169" i="20"/>
  <c r="O360" i="20"/>
  <c r="V59" i="20"/>
  <c r="V149" i="20"/>
  <c r="O201" i="20"/>
  <c r="R360" i="20"/>
  <c r="W59" i="20"/>
  <c r="U70" i="20"/>
  <c r="X149" i="20"/>
  <c r="X271" i="20"/>
  <c r="U345" i="20"/>
  <c r="X59" i="20"/>
  <c r="V345" i="20"/>
  <c r="W70" i="20"/>
  <c r="X90" i="20"/>
  <c r="X70" i="20"/>
  <c r="T393" i="20"/>
  <c r="R406" i="20"/>
  <c r="U406" i="20"/>
  <c r="U81" i="20"/>
  <c r="X125" i="20"/>
  <c r="S185" i="20"/>
  <c r="T270" i="20"/>
  <c r="T284" i="20"/>
  <c r="U348" i="20"/>
  <c r="X376" i="20"/>
  <c r="W393" i="20"/>
  <c r="G415" i="20"/>
  <c r="V81" i="20"/>
  <c r="W118" i="20"/>
  <c r="U270" i="20"/>
  <c r="W332" i="20"/>
  <c r="V348" i="20"/>
  <c r="V78" i="20"/>
  <c r="W81" i="20"/>
  <c r="X118" i="20"/>
  <c r="V270" i="20"/>
  <c r="X332" i="20"/>
  <c r="W348" i="20"/>
  <c r="T70" i="20"/>
  <c r="V90" i="20"/>
  <c r="W90" i="20"/>
  <c r="V355" i="20"/>
  <c r="W345" i="20"/>
  <c r="S393" i="20"/>
  <c r="O348" i="20"/>
  <c r="O264" i="20"/>
  <c r="R348" i="20"/>
  <c r="X81" i="20"/>
  <c r="R245" i="20"/>
  <c r="X348" i="20"/>
  <c r="V84" i="20"/>
  <c r="U103" i="20"/>
  <c r="X136" i="20"/>
  <c r="S299" i="20"/>
  <c r="R310" i="20"/>
  <c r="W100" i="20"/>
  <c r="R116" i="20"/>
  <c r="U229" i="20"/>
  <c r="T310" i="20"/>
  <c r="T323" i="20"/>
  <c r="T359" i="20"/>
  <c r="W369" i="20"/>
  <c r="U43" i="20"/>
  <c r="X97" i="20"/>
  <c r="W103" i="20"/>
  <c r="R170" i="20"/>
  <c r="T241" i="20"/>
  <c r="S294" i="20"/>
  <c r="W310" i="20"/>
  <c r="U331" i="20"/>
  <c r="U347" i="20"/>
  <c r="U359" i="20"/>
  <c r="X369" i="20"/>
  <c r="R401" i="20"/>
  <c r="V57" i="20"/>
  <c r="T272" i="20"/>
  <c r="X310" i="20"/>
  <c r="V331" i="20"/>
  <c r="X335" i="20"/>
  <c r="V347" i="20"/>
  <c r="S421" i="20"/>
  <c r="W54" i="20"/>
  <c r="O73" i="20"/>
  <c r="V95" i="20"/>
  <c r="X116" i="20"/>
  <c r="X170" i="20"/>
  <c r="R178" i="20"/>
  <c r="T244" i="20"/>
  <c r="V272" i="20"/>
  <c r="O316" i="20"/>
  <c r="W347" i="20"/>
  <c r="W359" i="20"/>
  <c r="U399" i="20"/>
  <c r="S419" i="20"/>
  <c r="R423" i="20"/>
  <c r="X54" i="20"/>
  <c r="T80" i="20"/>
  <c r="W95" i="20"/>
  <c r="V157" i="20"/>
  <c r="X178" i="20"/>
  <c r="R271" i="20"/>
  <c r="W272" i="20"/>
  <c r="R316" i="20"/>
  <c r="T346" i="20"/>
  <c r="X347" i="20"/>
  <c r="X359" i="20"/>
  <c r="W399" i="20"/>
  <c r="R301" i="20"/>
  <c r="O200" i="20"/>
  <c r="O229" i="20"/>
  <c r="S288" i="20"/>
  <c r="U54" i="20"/>
  <c r="U145" i="20"/>
  <c r="O248" i="20"/>
  <c r="W335" i="20"/>
  <c r="O419" i="20"/>
  <c r="X103" i="20"/>
  <c r="W116" i="20"/>
  <c r="V170" i="20"/>
  <c r="W44" i="20"/>
  <c r="U80" i="20"/>
  <c r="X95" i="20"/>
  <c r="X157" i="20"/>
  <c r="T271" i="20"/>
  <c r="X272" i="20"/>
  <c r="U346" i="20"/>
  <c r="R381" i="20"/>
  <c r="W394" i="20"/>
  <c r="R403" i="20"/>
  <c r="V100" i="20"/>
  <c r="U335" i="20"/>
  <c r="S403" i="20"/>
  <c r="T43" i="20"/>
  <c r="W84" i="20"/>
  <c r="O97" i="20"/>
  <c r="V103" i="20"/>
  <c r="T145" i="20"/>
  <c r="S200" i="20"/>
  <c r="V335" i="20"/>
  <c r="O421" i="20"/>
  <c r="X84" i="20"/>
  <c r="X100" i="20"/>
  <c r="V54" i="20"/>
  <c r="R329" i="20"/>
  <c r="S372" i="20"/>
  <c r="S396" i="20"/>
  <c r="X44" i="20"/>
  <c r="O61" i="20"/>
  <c r="V80" i="20"/>
  <c r="T108" i="20"/>
  <c r="U271" i="20"/>
  <c r="W316" i="20"/>
  <c r="V346" i="20"/>
  <c r="T78" i="20"/>
  <c r="U108" i="20"/>
  <c r="V169" i="20"/>
  <c r="O270" i="20"/>
  <c r="V271" i="20"/>
  <c r="X316" i="20"/>
  <c r="R332" i="20"/>
  <c r="W346" i="20"/>
  <c r="V108" i="20"/>
  <c r="X169" i="20"/>
  <c r="R270" i="20"/>
  <c r="T332" i="20"/>
  <c r="T345" i="20"/>
  <c r="O390" i="20"/>
  <c r="W406" i="20"/>
  <c r="S43" i="20"/>
  <c r="S150" i="20"/>
  <c r="O237" i="20"/>
  <c r="O307" i="20"/>
  <c r="O327" i="20"/>
  <c r="T424" i="20"/>
  <c r="U129" i="20"/>
  <c r="R351" i="20"/>
  <c r="R363" i="20"/>
  <c r="S409" i="20"/>
  <c r="V36" i="20"/>
  <c r="T42" i="20"/>
  <c r="V43" i="20"/>
  <c r="X48" i="20"/>
  <c r="T58" i="20"/>
  <c r="T69" i="20"/>
  <c r="W80" i="20"/>
  <c r="T94" i="20"/>
  <c r="V109" i="20"/>
  <c r="X119" i="20"/>
  <c r="X122" i="20"/>
  <c r="O125" i="20"/>
  <c r="X126" i="20"/>
  <c r="W129" i="20"/>
  <c r="T137" i="20"/>
  <c r="X139" i="20"/>
  <c r="V146" i="20"/>
  <c r="X150" i="20"/>
  <c r="V162" i="20"/>
  <c r="T179" i="20"/>
  <c r="S218" i="20"/>
  <c r="U228" i="20"/>
  <c r="R235" i="20"/>
  <c r="T237" i="20"/>
  <c r="U269" i="20"/>
  <c r="W270" i="20"/>
  <c r="O283" i="20"/>
  <c r="U284" i="20"/>
  <c r="O303" i="20"/>
  <c r="R305" i="20"/>
  <c r="U307" i="20"/>
  <c r="R313" i="20"/>
  <c r="U334" i="20"/>
  <c r="O356" i="20"/>
  <c r="R361" i="20"/>
  <c r="W363" i="20"/>
  <c r="V375" i="20"/>
  <c r="R392" i="20"/>
  <c r="S398" i="20"/>
  <c r="O402" i="20"/>
  <c r="O412" i="20"/>
  <c r="S413" i="20"/>
  <c r="S80" i="20"/>
  <c r="O284" i="20"/>
  <c r="O42" i="20"/>
  <c r="O113" i="20"/>
  <c r="V48" i="20"/>
  <c r="O218" i="20"/>
  <c r="S237" i="20"/>
  <c r="X36" i="20"/>
  <c r="U42" i="20"/>
  <c r="W43" i="20"/>
  <c r="U58" i="20"/>
  <c r="O67" i="20"/>
  <c r="U69" i="20"/>
  <c r="T79" i="20"/>
  <c r="U94" i="20"/>
  <c r="W109" i="20"/>
  <c r="T112" i="20"/>
  <c r="R125" i="20"/>
  <c r="U137" i="20"/>
  <c r="X146" i="20"/>
  <c r="U158" i="20"/>
  <c r="X162" i="20"/>
  <c r="V179" i="20"/>
  <c r="S233" i="20"/>
  <c r="V269" i="20"/>
  <c r="T283" i="20"/>
  <c r="R303" i="20"/>
  <c r="O311" i="20"/>
  <c r="S313" i="20"/>
  <c r="R333" i="20"/>
  <c r="V334" i="20"/>
  <c r="R341" i="20"/>
  <c r="U356" i="20"/>
  <c r="O383" i="20"/>
  <c r="S392" i="20"/>
  <c r="U400" i="20"/>
  <c r="R402" i="20"/>
  <c r="R412" i="20"/>
  <c r="R284" i="20"/>
  <c r="R384" i="20"/>
  <c r="O409" i="20"/>
  <c r="S422" i="20"/>
  <c r="R428" i="20"/>
  <c r="T109" i="20"/>
  <c r="V122" i="20"/>
  <c r="S129" i="20"/>
  <c r="U150" i="20"/>
  <c r="S162" i="20"/>
  <c r="X315" i="20"/>
  <c r="S384" i="20"/>
  <c r="O413" i="20"/>
  <c r="S42" i="20"/>
  <c r="W122" i="20"/>
  <c r="T269" i="20"/>
  <c r="R280" i="20"/>
  <c r="O305" i="20"/>
  <c r="T334" i="20"/>
  <c r="R398" i="20"/>
  <c r="V42" i="20"/>
  <c r="V58" i="20"/>
  <c r="R67" i="20"/>
  <c r="V69" i="20"/>
  <c r="X73" i="20"/>
  <c r="U79" i="20"/>
  <c r="V94" i="20"/>
  <c r="U112" i="20"/>
  <c r="V137" i="20"/>
  <c r="V158" i="20"/>
  <c r="O170" i="20"/>
  <c r="T171" i="20"/>
  <c r="O178" i="20"/>
  <c r="T233" i="20"/>
  <c r="W269" i="20"/>
  <c r="U283" i="20"/>
  <c r="O301" i="20"/>
  <c r="O310" i="20"/>
  <c r="R311" i="20"/>
  <c r="R323" i="20"/>
  <c r="O332" i="20"/>
  <c r="T333" i="20"/>
  <c r="W334" i="20"/>
  <c r="R344" i="20"/>
  <c r="V356" i="20"/>
  <c r="R378" i="20"/>
  <c r="S383" i="20"/>
  <c r="R390" i="20"/>
  <c r="W400" i="20"/>
  <c r="O69" i="20"/>
  <c r="S144" i="20"/>
  <c r="V172" i="20"/>
  <c r="T220" i="20"/>
  <c r="R269" i="20"/>
  <c r="S291" i="20"/>
  <c r="R307" i="20"/>
  <c r="O351" i="20"/>
  <c r="R375" i="20"/>
  <c r="U424" i="20"/>
  <c r="S428" i="20"/>
  <c r="W42" i="20"/>
  <c r="T46" i="20"/>
  <c r="W58" i="20"/>
  <c r="O64" i="20"/>
  <c r="W69" i="20"/>
  <c r="V79" i="20"/>
  <c r="W94" i="20"/>
  <c r="V112" i="20"/>
  <c r="T125" i="20"/>
  <c r="X137" i="20"/>
  <c r="U171" i="20"/>
  <c r="U333" i="20"/>
  <c r="T360" i="20"/>
  <c r="O381" i="20"/>
  <c r="U383" i="20"/>
  <c r="U394" i="20"/>
  <c r="T412" i="20"/>
  <c r="S423" i="20"/>
  <c r="R43" i="20"/>
  <c r="W126" i="20"/>
  <c r="W79" i="20"/>
  <c r="W112" i="20"/>
  <c r="R123" i="20"/>
  <c r="U125" i="20"/>
  <c r="T136" i="20"/>
  <c r="V171" i="20"/>
  <c r="O224" i="20"/>
  <c r="R253" i="20"/>
  <c r="S290" i="20"/>
  <c r="O292" i="20"/>
  <c r="S297" i="20"/>
  <c r="V333" i="20"/>
  <c r="R339" i="20"/>
  <c r="R347" i="20"/>
  <c r="U360" i="20"/>
  <c r="U412" i="20"/>
  <c r="S300" i="20"/>
  <c r="R353" i="20"/>
  <c r="S109" i="20"/>
  <c r="S69" i="20"/>
  <c r="R44" i="20"/>
  <c r="O81" i="20"/>
  <c r="T100" i="20"/>
  <c r="T118" i="20"/>
  <c r="V125" i="20"/>
  <c r="U136" i="20"/>
  <c r="O140" i="20"/>
  <c r="V145" i="20"/>
  <c r="T157" i="20"/>
  <c r="X161" i="20"/>
  <c r="T170" i="20"/>
  <c r="X171" i="20"/>
  <c r="T178" i="20"/>
  <c r="T224" i="20"/>
  <c r="R277" i="20"/>
  <c r="O279" i="20"/>
  <c r="R292" i="20"/>
  <c r="U310" i="20"/>
  <c r="O331" i="20"/>
  <c r="U332" i="20"/>
  <c r="W333" i="20"/>
  <c r="O346" i="20"/>
  <c r="S347" i="20"/>
  <c r="T355" i="20"/>
  <c r="V360" i="20"/>
  <c r="O374" i="20"/>
  <c r="S399" i="20"/>
  <c r="S406" i="20"/>
  <c r="R422" i="20"/>
  <c r="R327" i="20"/>
  <c r="R94" i="20"/>
  <c r="U109" i="20"/>
  <c r="V150" i="20"/>
  <c r="U162" i="20"/>
  <c r="R278" i="20"/>
  <c r="S44" i="20"/>
  <c r="S81" i="20"/>
  <c r="U90" i="20"/>
  <c r="V118" i="20"/>
  <c r="V136" i="20"/>
  <c r="X145" i="20"/>
  <c r="U157" i="20"/>
  <c r="T169" i="20"/>
  <c r="U170" i="20"/>
  <c r="R279" i="20"/>
  <c r="R331" i="20"/>
  <c r="R346" i="20"/>
  <c r="O362" i="20"/>
  <c r="R372" i="20"/>
  <c r="X196" i="20"/>
  <c r="T196" i="20"/>
  <c r="S91" i="20"/>
  <c r="R91" i="20"/>
  <c r="V45" i="20"/>
  <c r="U45" i="20"/>
  <c r="T45" i="20"/>
  <c r="X45" i="20"/>
  <c r="W45" i="20"/>
  <c r="X124" i="20"/>
  <c r="W124" i="20"/>
  <c r="U124" i="20"/>
  <c r="T124" i="20"/>
  <c r="V124" i="20"/>
  <c r="W151" i="20"/>
  <c r="X151" i="20"/>
  <c r="V151" i="20"/>
  <c r="T273" i="20"/>
  <c r="X273" i="20"/>
  <c r="W273" i="20"/>
  <c r="O275" i="20"/>
  <c r="R296" i="20"/>
  <c r="S309" i="20"/>
  <c r="R309" i="20"/>
  <c r="O309" i="20"/>
  <c r="S322" i="20"/>
  <c r="R322" i="20"/>
  <c r="O322" i="20"/>
  <c r="O337" i="20"/>
  <c r="R359" i="20"/>
  <c r="S371" i="20"/>
  <c r="S373" i="20"/>
  <c r="R373" i="20"/>
  <c r="O124" i="20"/>
  <c r="S124" i="20"/>
  <c r="O236" i="20"/>
  <c r="R275" i="20"/>
  <c r="T282" i="20"/>
  <c r="S296" i="20"/>
  <c r="R337" i="20"/>
  <c r="X340" i="20"/>
  <c r="T340" i="20"/>
  <c r="S357" i="20"/>
  <c r="R357" i="20"/>
  <c r="O373" i="20"/>
  <c r="O418" i="20"/>
  <c r="R58" i="20"/>
  <c r="O148" i="20"/>
  <c r="O265" i="20"/>
  <c r="X328" i="20"/>
  <c r="W328" i="20"/>
  <c r="T328" i="20"/>
  <c r="O431" i="20"/>
  <c r="T35" i="20"/>
  <c r="X35" i="20"/>
  <c r="W35" i="20"/>
  <c r="V35" i="20"/>
  <c r="O37" i="20"/>
  <c r="W105" i="20"/>
  <c r="S108" i="20"/>
  <c r="W133" i="20"/>
  <c r="X133" i="20"/>
  <c r="V133" i="20"/>
  <c r="U133" i="20"/>
  <c r="T133" i="20"/>
  <c r="S148" i="20"/>
  <c r="R188" i="20"/>
  <c r="S193" i="20"/>
  <c r="U225" i="20"/>
  <c r="R228" i="20"/>
  <c r="S228" i="20"/>
  <c r="O228" i="20"/>
  <c r="S257" i="20"/>
  <c r="R257" i="20"/>
  <c r="O257" i="20"/>
  <c r="R265" i="20"/>
  <c r="S268" i="20"/>
  <c r="R268" i="20"/>
  <c r="O268" i="20"/>
  <c r="S328" i="20"/>
  <c r="R328" i="20"/>
  <c r="O328" i="20"/>
  <c r="R431" i="20"/>
  <c r="R56" i="20"/>
  <c r="X105" i="20"/>
  <c r="S188" i="20"/>
  <c r="O196" i="20"/>
  <c r="S196" i="20"/>
  <c r="R196" i="20"/>
  <c r="X287" i="20"/>
  <c r="W287" i="20"/>
  <c r="V287" i="20"/>
  <c r="U287" i="20"/>
  <c r="T287" i="20"/>
  <c r="X293" i="20"/>
  <c r="W293" i="20"/>
  <c r="V293" i="20"/>
  <c r="U293" i="20"/>
  <c r="T293" i="20"/>
  <c r="S326" i="20"/>
  <c r="R326" i="20"/>
  <c r="W429" i="20"/>
  <c r="U429" i="20"/>
  <c r="T429" i="20"/>
  <c r="S35" i="20"/>
  <c r="T47" i="20"/>
  <c r="U47" i="20"/>
  <c r="X47" i="20"/>
  <c r="V47" i="20"/>
  <c r="W47" i="20"/>
  <c r="S56" i="20"/>
  <c r="X91" i="20"/>
  <c r="U91" i="20"/>
  <c r="T91" i="20"/>
  <c r="W91" i="20"/>
  <c r="V91" i="20"/>
  <c r="V110" i="20"/>
  <c r="U110" i="20"/>
  <c r="T110" i="20"/>
  <c r="W110" i="20"/>
  <c r="X110" i="20"/>
  <c r="X130" i="20"/>
  <c r="V130" i="20"/>
  <c r="S164" i="20"/>
  <c r="O164" i="20"/>
  <c r="T188" i="20"/>
  <c r="U221" i="20"/>
  <c r="T221" i="20"/>
  <c r="T249" i="20"/>
  <c r="U249" i="20"/>
  <c r="X289" i="20"/>
  <c r="W289" i="20"/>
  <c r="V289" i="20"/>
  <c r="U289" i="20"/>
  <c r="T289" i="20"/>
  <c r="O326" i="20"/>
  <c r="S427" i="20"/>
  <c r="R427" i="20"/>
  <c r="U35" i="20"/>
  <c r="R47" i="20"/>
  <c r="S47" i="20"/>
  <c r="T83" i="20"/>
  <c r="X83" i="20"/>
  <c r="W83" i="20"/>
  <c r="V83" i="20"/>
  <c r="R130" i="20"/>
  <c r="S130" i="20"/>
  <c r="O136" i="20"/>
  <c r="O160" i="20"/>
  <c r="U240" i="20"/>
  <c r="T240" i="20"/>
  <c r="S249" i="20"/>
  <c r="R249" i="20"/>
  <c r="O249" i="20"/>
  <c r="U261" i="20"/>
  <c r="T261" i="20"/>
  <c r="O287" i="20"/>
  <c r="S289" i="20"/>
  <c r="R289" i="20"/>
  <c r="X296" i="20"/>
  <c r="W296" i="20"/>
  <c r="V296" i="20"/>
  <c r="U296" i="20"/>
  <c r="T296" i="20"/>
  <c r="X302" i="20"/>
  <c r="U302" i="20"/>
  <c r="T302" i="20"/>
  <c r="S312" i="20"/>
  <c r="R312" i="20"/>
  <c r="O312" i="20"/>
  <c r="S389" i="20"/>
  <c r="R389" i="20"/>
  <c r="O389" i="20"/>
  <c r="W411" i="20"/>
  <c r="U411" i="20"/>
  <c r="T411" i="20"/>
  <c r="O427" i="20"/>
  <c r="V33" i="20"/>
  <c r="U33" i="20"/>
  <c r="T33" i="20"/>
  <c r="X33" i="20"/>
  <c r="O85" i="20"/>
  <c r="O91" i="20"/>
  <c r="S136" i="20"/>
  <c r="S160" i="20"/>
  <c r="X184" i="20"/>
  <c r="T184" i="20"/>
  <c r="R240" i="20"/>
  <c r="S240" i="20"/>
  <c r="S261" i="20"/>
  <c r="R261" i="20"/>
  <c r="R287" i="20"/>
  <c r="O289" i="20"/>
  <c r="X298" i="20"/>
  <c r="W298" i="20"/>
  <c r="V298" i="20"/>
  <c r="U298" i="20"/>
  <c r="T298" i="20"/>
  <c r="X366" i="20"/>
  <c r="W366" i="20"/>
  <c r="V366" i="20"/>
  <c r="U366" i="20"/>
  <c r="T366" i="20"/>
  <c r="O371" i="20"/>
  <c r="R33" i="20"/>
  <c r="S33" i="20"/>
  <c r="X68" i="20"/>
  <c r="W68" i="20"/>
  <c r="V68" i="20"/>
  <c r="U68" i="20"/>
  <c r="T68" i="20"/>
  <c r="S83" i="20"/>
  <c r="U96" i="20"/>
  <c r="X96" i="20"/>
  <c r="O181" i="20"/>
  <c r="U236" i="20"/>
  <c r="T236" i="20"/>
  <c r="O240" i="20"/>
  <c r="O261" i="20"/>
  <c r="S298" i="20"/>
  <c r="R298" i="20"/>
  <c r="X309" i="20"/>
  <c r="W309" i="20"/>
  <c r="V309" i="20"/>
  <c r="U309" i="20"/>
  <c r="T309" i="20"/>
  <c r="X322" i="20"/>
  <c r="W322" i="20"/>
  <c r="V322" i="20"/>
  <c r="U322" i="20"/>
  <c r="T322" i="20"/>
  <c r="O359" i="20"/>
  <c r="W373" i="20"/>
  <c r="V373" i="20"/>
  <c r="U373" i="20"/>
  <c r="T373" i="20"/>
  <c r="X373" i="20"/>
  <c r="W387" i="20"/>
  <c r="U387" i="20"/>
  <c r="T387" i="20"/>
  <c r="W418" i="20"/>
  <c r="U418" i="20"/>
  <c r="T418" i="20"/>
  <c r="W33" i="20"/>
  <c r="R45" i="20"/>
  <c r="S45" i="20"/>
  <c r="O45" i="20"/>
  <c r="V96" i="20"/>
  <c r="S101" i="20"/>
  <c r="R101" i="20"/>
  <c r="O101" i="20"/>
  <c r="V66" i="20"/>
  <c r="U66" i="20"/>
  <c r="T66" i="20"/>
  <c r="W66" i="20"/>
  <c r="X66" i="20"/>
  <c r="W96" i="20"/>
  <c r="W135" i="20"/>
  <c r="X135" i="20"/>
  <c r="T135" i="20"/>
  <c r="U135" i="20"/>
  <c r="V135" i="20"/>
  <c r="W173" i="20"/>
  <c r="X173" i="20"/>
  <c r="V173" i="20"/>
  <c r="U173" i="20"/>
  <c r="T173" i="20"/>
  <c r="U232" i="20"/>
  <c r="T232" i="20"/>
  <c r="U273" i="20"/>
  <c r="U282" i="20"/>
  <c r="S340" i="20"/>
  <c r="R340" i="20"/>
  <c r="O340" i="20"/>
  <c r="X343" i="20"/>
  <c r="W343" i="20"/>
  <c r="V343" i="20"/>
  <c r="T343" i="20"/>
  <c r="U343" i="20"/>
  <c r="O357" i="20"/>
  <c r="O396" i="20"/>
  <c r="W407" i="20"/>
  <c r="U407" i="20"/>
  <c r="R418" i="20"/>
  <c r="X37" i="20"/>
  <c r="W37" i="20"/>
  <c r="X93" i="20"/>
  <c r="W93" i="20"/>
  <c r="U93" i="20"/>
  <c r="T93" i="20"/>
  <c r="V93" i="20"/>
  <c r="S169" i="20"/>
  <c r="R169" i="20"/>
  <c r="R203" i="20"/>
  <c r="S203" i="20"/>
  <c r="O203" i="20"/>
  <c r="R206" i="20"/>
  <c r="S206" i="20"/>
  <c r="O206" i="20"/>
  <c r="R212" i="20"/>
  <c r="S212" i="20"/>
  <c r="O212" i="20"/>
  <c r="S416" i="20"/>
  <c r="R416" i="20"/>
  <c r="O416" i="20"/>
  <c r="X56" i="20"/>
  <c r="W56" i="20"/>
  <c r="V56" i="20"/>
  <c r="U56" i="20"/>
  <c r="R93" i="20"/>
  <c r="S93" i="20"/>
  <c r="R108" i="20"/>
  <c r="T117" i="20"/>
  <c r="X117" i="20"/>
  <c r="W117" i="20"/>
  <c r="V117" i="20"/>
  <c r="U117" i="20"/>
  <c r="S146" i="20"/>
  <c r="R146" i="20"/>
  <c r="O146" i="20"/>
  <c r="O169" i="20"/>
  <c r="S223" i="20"/>
  <c r="R223" i="20"/>
  <c r="S225" i="20"/>
  <c r="R225" i="20"/>
  <c r="O225" i="20"/>
  <c r="U257" i="20"/>
  <c r="T257" i="20"/>
  <c r="V268" i="20"/>
  <c r="U268" i="20"/>
  <c r="T268" i="20"/>
  <c r="O184" i="20"/>
  <c r="S184" i="20"/>
  <c r="R184" i="20"/>
  <c r="S40" i="20"/>
  <c r="R40" i="20"/>
  <c r="S66" i="20"/>
  <c r="R66" i="20"/>
  <c r="O66" i="20"/>
  <c r="O135" i="20"/>
  <c r="S135" i="20"/>
  <c r="W148" i="20"/>
  <c r="X148" i="20"/>
  <c r="V148" i="20"/>
  <c r="U148" i="20"/>
  <c r="S232" i="20"/>
  <c r="R232" i="20"/>
  <c r="V273" i="20"/>
  <c r="V320" i="20"/>
  <c r="U320" i="20"/>
  <c r="T320" i="20"/>
  <c r="W320" i="20"/>
  <c r="X320" i="20"/>
  <c r="S385" i="20"/>
  <c r="R385" i="20"/>
  <c r="O385" i="20"/>
  <c r="S394" i="20"/>
  <c r="R394" i="20"/>
  <c r="O394" i="20"/>
  <c r="S400" i="20"/>
  <c r="R400" i="20"/>
  <c r="O400" i="20"/>
  <c r="S404" i="20"/>
  <c r="R404" i="20"/>
  <c r="S407" i="20"/>
  <c r="R407" i="20"/>
  <c r="O407" i="20"/>
  <c r="R252" i="20"/>
  <c r="S252" i="20"/>
  <c r="S55" i="20"/>
  <c r="R55" i="20"/>
  <c r="S117" i="20"/>
  <c r="R345" i="20"/>
  <c r="R53" i="20"/>
  <c r="O55" i="20"/>
  <c r="O57" i="20"/>
  <c r="S79" i="20"/>
  <c r="W82" i="20"/>
  <c r="V82" i="20"/>
  <c r="U82" i="20"/>
  <c r="T82" i="20"/>
  <c r="X92" i="20"/>
  <c r="W92" i="20"/>
  <c r="V92" i="20"/>
  <c r="U92" i="20"/>
  <c r="U102" i="20"/>
  <c r="T104" i="20"/>
  <c r="X104" i="20"/>
  <c r="W104" i="20"/>
  <c r="V104" i="20"/>
  <c r="U104" i="20"/>
  <c r="O134" i="20"/>
  <c r="R161" i="20"/>
  <c r="O210" i="20"/>
  <c r="O215" i="20"/>
  <c r="S274" i="20"/>
  <c r="R274" i="20"/>
  <c r="O274" i="20"/>
  <c r="O286" i="20"/>
  <c r="X290" i="20"/>
  <c r="W290" i="20"/>
  <c r="V290" i="20"/>
  <c r="U290" i="20"/>
  <c r="S293" i="20"/>
  <c r="O295" i="20"/>
  <c r="X299" i="20"/>
  <c r="W299" i="20"/>
  <c r="V299" i="20"/>
  <c r="U299" i="20"/>
  <c r="X306" i="20"/>
  <c r="W306" i="20"/>
  <c r="V306" i="20"/>
  <c r="U306" i="20"/>
  <c r="T306" i="20"/>
  <c r="O315" i="20"/>
  <c r="R318" i="20"/>
  <c r="R352" i="20"/>
  <c r="V358" i="20"/>
  <c r="O370" i="20"/>
  <c r="S370" i="20"/>
  <c r="R370" i="20"/>
  <c r="R380" i="20"/>
  <c r="O382" i="20"/>
  <c r="O408" i="20"/>
  <c r="O417" i="20"/>
  <c r="S430" i="20"/>
  <c r="T71" i="20"/>
  <c r="W71" i="20"/>
  <c r="V71" i="20"/>
  <c r="U71" i="20"/>
  <c r="O147" i="20"/>
  <c r="S147" i="20"/>
  <c r="R34" i="20"/>
  <c r="X46" i="20"/>
  <c r="W46" i="20"/>
  <c r="V46" i="20"/>
  <c r="S53" i="20"/>
  <c r="V55" i="20"/>
  <c r="S57" i="20"/>
  <c r="V102" i="20"/>
  <c r="T111" i="20"/>
  <c r="X111" i="20"/>
  <c r="W111" i="20"/>
  <c r="U116" i="20"/>
  <c r="T116" i="20"/>
  <c r="X123" i="20"/>
  <c r="V123" i="20"/>
  <c r="U123" i="20"/>
  <c r="T123" i="20"/>
  <c r="R134" i="20"/>
  <c r="R149" i="20"/>
  <c r="T161" i="20"/>
  <c r="W172" i="20"/>
  <c r="T172" i="20"/>
  <c r="X180" i="20"/>
  <c r="V180" i="20"/>
  <c r="S215" i="20"/>
  <c r="U253" i="20"/>
  <c r="T253" i="20"/>
  <c r="T264" i="20"/>
  <c r="R286" i="20"/>
  <c r="R295" i="20"/>
  <c r="R315" i="20"/>
  <c r="X344" i="20"/>
  <c r="W344" i="20"/>
  <c r="V344" i="20"/>
  <c r="U344" i="20"/>
  <c r="W352" i="20"/>
  <c r="U368" i="20"/>
  <c r="T368" i="20"/>
  <c r="S380" i="20"/>
  <c r="R382" i="20"/>
  <c r="R408" i="20"/>
  <c r="R417" i="20"/>
  <c r="S426" i="20"/>
  <c r="R426" i="20"/>
  <c r="O426" i="20"/>
  <c r="W382" i="20"/>
  <c r="U382" i="20"/>
  <c r="X34" i="20"/>
  <c r="W34" i="20"/>
  <c r="V34" i="20"/>
  <c r="R79" i="20"/>
  <c r="T34" i="20"/>
  <c r="U44" i="20"/>
  <c r="X67" i="20"/>
  <c r="W67" i="20"/>
  <c r="V67" i="20"/>
  <c r="U67" i="20"/>
  <c r="T67" i="20"/>
  <c r="X78" i="20"/>
  <c r="W78" i="20"/>
  <c r="R82" i="20"/>
  <c r="R92" i="20"/>
  <c r="W102" i="20"/>
  <c r="R104" i="20"/>
  <c r="O144" i="20"/>
  <c r="T149" i="20"/>
  <c r="W158" i="20"/>
  <c r="T158" i="20"/>
  <c r="U161" i="20"/>
  <c r="R180" i="20"/>
  <c r="S180" i="20"/>
  <c r="O192" i="20"/>
  <c r="S192" i="20"/>
  <c r="R192" i="20"/>
  <c r="S197" i="20"/>
  <c r="U248" i="20"/>
  <c r="T248" i="20"/>
  <c r="U279" i="20"/>
  <c r="T279" i="20"/>
  <c r="S281" i="20"/>
  <c r="R281" i="20"/>
  <c r="O281" i="20"/>
  <c r="R283" i="20"/>
  <c r="O290" i="20"/>
  <c r="X292" i="20"/>
  <c r="W292" i="20"/>
  <c r="V292" i="20"/>
  <c r="U292" i="20"/>
  <c r="T292" i="20"/>
  <c r="O299" i="20"/>
  <c r="V301" i="20"/>
  <c r="X301" i="20"/>
  <c r="W301" i="20"/>
  <c r="U301" i="20"/>
  <c r="T301" i="20"/>
  <c r="O304" i="20"/>
  <c r="O306" i="20"/>
  <c r="X308" i="20"/>
  <c r="W308" i="20"/>
  <c r="U308" i="20"/>
  <c r="T308" i="20"/>
  <c r="T315" i="20"/>
  <c r="R374" i="20"/>
  <c r="S378" i="20"/>
  <c r="T382" i="20"/>
  <c r="S386" i="20"/>
  <c r="R386" i="20"/>
  <c r="O410" i="20"/>
  <c r="S415" i="20"/>
  <c r="R415" i="20"/>
  <c r="W430" i="20"/>
  <c r="T430" i="20"/>
  <c r="U430" i="20"/>
  <c r="U60" i="20"/>
  <c r="X60" i="20"/>
  <c r="S110" i="20"/>
  <c r="R110" i="20"/>
  <c r="W138" i="20"/>
  <c r="X138" i="20"/>
  <c r="V138" i="20"/>
  <c r="U138" i="20"/>
  <c r="W159" i="20"/>
  <c r="V159" i="20"/>
  <c r="U159" i="20"/>
  <c r="T159" i="20"/>
  <c r="S320" i="20"/>
  <c r="R320" i="20"/>
  <c r="O414" i="20"/>
  <c r="S420" i="20"/>
  <c r="R420" i="20"/>
  <c r="O420" i="20"/>
  <c r="O49" i="20"/>
  <c r="X55" i="20"/>
  <c r="U55" i="20"/>
  <c r="T55" i="20"/>
  <c r="X57" i="20"/>
  <c r="W57" i="20"/>
  <c r="R68" i="20"/>
  <c r="R117" i="20"/>
  <c r="W134" i="20"/>
  <c r="X134" i="20"/>
  <c r="V134" i="20"/>
  <c r="U134" i="20"/>
  <c r="R138" i="20"/>
  <c r="S138" i="20"/>
  <c r="W147" i="20"/>
  <c r="V147" i="20"/>
  <c r="U147" i="20"/>
  <c r="T147" i="20"/>
  <c r="O152" i="20"/>
  <c r="O159" i="20"/>
  <c r="S159" i="20"/>
  <c r="O167" i="20"/>
  <c r="R173" i="20"/>
  <c r="O217" i="20"/>
  <c r="O221" i="20"/>
  <c r="O252" i="20"/>
  <c r="O259" i="20"/>
  <c r="X286" i="20"/>
  <c r="W286" i="20"/>
  <c r="V286" i="20"/>
  <c r="U286" i="20"/>
  <c r="T286" i="20"/>
  <c r="O293" i="20"/>
  <c r="X295" i="20"/>
  <c r="W295" i="20"/>
  <c r="V295" i="20"/>
  <c r="U295" i="20"/>
  <c r="T295" i="20"/>
  <c r="O302" i="20"/>
  <c r="O320" i="20"/>
  <c r="S324" i="20"/>
  <c r="R324" i="20"/>
  <c r="O345" i="20"/>
  <c r="O350" i="20"/>
  <c r="S354" i="20"/>
  <c r="R354" i="20"/>
  <c r="X358" i="20"/>
  <c r="U358" i="20"/>
  <c r="T358" i="20"/>
  <c r="S391" i="20"/>
  <c r="R391" i="20"/>
  <c r="R414" i="20"/>
  <c r="W417" i="20"/>
  <c r="U417" i="20"/>
  <c r="T417" i="20"/>
  <c r="O430" i="20"/>
  <c r="V60" i="20"/>
  <c r="S68" i="20"/>
  <c r="R71" i="20"/>
  <c r="S71" i="20"/>
  <c r="T102" i="20"/>
  <c r="R159" i="20"/>
  <c r="R167" i="20"/>
  <c r="R217" i="20"/>
  <c r="O219" i="20"/>
  <c r="R221" i="20"/>
  <c r="R259" i="20"/>
  <c r="S266" i="20"/>
  <c r="R266" i="20"/>
  <c r="R302" i="20"/>
  <c r="O318" i="20"/>
  <c r="O324" i="20"/>
  <c r="R350" i="20"/>
  <c r="O352" i="20"/>
  <c r="O354" i="20"/>
  <c r="S358" i="20"/>
  <c r="R358" i="20"/>
  <c r="O358" i="20"/>
  <c r="W370" i="20"/>
  <c r="V370" i="20"/>
  <c r="U370" i="20"/>
  <c r="T370" i="20"/>
  <c r="X370" i="20"/>
  <c r="X374" i="20"/>
  <c r="W374" i="20"/>
  <c r="V374" i="20"/>
  <c r="U374" i="20"/>
  <c r="O391" i="20"/>
  <c r="U34" i="20"/>
  <c r="V44" i="20"/>
  <c r="R46" i="20"/>
  <c r="U57" i="20"/>
  <c r="X82" i="20"/>
  <c r="S92" i="20"/>
  <c r="S111" i="20"/>
  <c r="R118" i="20"/>
  <c r="O123" i="20"/>
  <c r="T134" i="20"/>
  <c r="V139" i="20"/>
  <c r="W146" i="20"/>
  <c r="T146" i="20"/>
  <c r="U149" i="20"/>
  <c r="S158" i="20"/>
  <c r="R158" i="20"/>
  <c r="O158" i="20"/>
  <c r="W160" i="20"/>
  <c r="X160" i="20"/>
  <c r="V160" i="20"/>
  <c r="U160" i="20"/>
  <c r="V161" i="20"/>
  <c r="W163" i="20"/>
  <c r="X163" i="20"/>
  <c r="V163" i="20"/>
  <c r="U172" i="20"/>
  <c r="S174" i="20"/>
  <c r="O180" i="20"/>
  <c r="S205" i="20"/>
  <c r="R205" i="20"/>
  <c r="O205" i="20"/>
  <c r="O253" i="20"/>
  <c r="O269" i="20"/>
  <c r="O277" i="20"/>
  <c r="R304" i="20"/>
  <c r="R306" i="20"/>
  <c r="S308" i="20"/>
  <c r="R308" i="20"/>
  <c r="O308" i="20"/>
  <c r="X319" i="20"/>
  <c r="T319" i="20"/>
  <c r="W319" i="20"/>
  <c r="V319" i="20"/>
  <c r="W321" i="20"/>
  <c r="V321" i="20"/>
  <c r="U321" i="20"/>
  <c r="T321" i="20"/>
  <c r="X321" i="20"/>
  <c r="O329" i="20"/>
  <c r="O339" i="20"/>
  <c r="O344" i="20"/>
  <c r="W371" i="20"/>
  <c r="V371" i="20"/>
  <c r="U371" i="20"/>
  <c r="T371" i="20"/>
  <c r="T374" i="20"/>
  <c r="W376" i="20"/>
  <c r="O386" i="20"/>
  <c r="R410" i="20"/>
  <c r="O415" i="20"/>
  <c r="S211" i="20"/>
  <c r="R211" i="20"/>
  <c r="U260" i="20"/>
  <c r="T260" i="20"/>
  <c r="X288" i="20"/>
  <c r="W288" i="20"/>
  <c r="V288" i="20"/>
  <c r="U288" i="20"/>
  <c r="X291" i="20"/>
  <c r="W291" i="20"/>
  <c r="V291" i="20"/>
  <c r="U291" i="20"/>
  <c r="X294" i="20"/>
  <c r="W294" i="20"/>
  <c r="V294" i="20"/>
  <c r="U294" i="20"/>
  <c r="X297" i="20"/>
  <c r="W297" i="20"/>
  <c r="V297" i="20"/>
  <c r="U297" i="20"/>
  <c r="X300" i="20"/>
  <c r="W300" i="20"/>
  <c r="V300" i="20"/>
  <c r="U300" i="20"/>
  <c r="S314" i="20"/>
  <c r="R314" i="20"/>
  <c r="S338" i="20"/>
  <c r="R338" i="20"/>
  <c r="O338" i="20"/>
  <c r="X375" i="20"/>
  <c r="W375" i="20"/>
  <c r="U388" i="20"/>
  <c r="T388" i="20"/>
  <c r="O172" i="20"/>
  <c r="O211" i="20"/>
  <c r="O241" i="20"/>
  <c r="O247" i="20"/>
  <c r="U256" i="20"/>
  <c r="T256" i="20"/>
  <c r="O282" i="20"/>
  <c r="O314" i="20"/>
  <c r="O321" i="20"/>
  <c r="X323" i="20"/>
  <c r="W323" i="20"/>
  <c r="V323" i="20"/>
  <c r="O343" i="20"/>
  <c r="W372" i="20"/>
  <c r="V372" i="20"/>
  <c r="U372" i="20"/>
  <c r="T372" i="20"/>
  <c r="S379" i="20"/>
  <c r="R379" i="20"/>
  <c r="O379" i="20"/>
  <c r="S388" i="20"/>
  <c r="R388" i="20"/>
  <c r="O395" i="20"/>
  <c r="S397" i="20"/>
  <c r="R397" i="20"/>
  <c r="O397" i="20"/>
  <c r="O411" i="20"/>
  <c r="O424" i="20"/>
  <c r="O429" i="20"/>
  <c r="S59" i="20"/>
  <c r="S95" i="20"/>
  <c r="S103" i="20"/>
  <c r="R113" i="20"/>
  <c r="T122" i="20"/>
  <c r="S172" i="20"/>
  <c r="O179" i="20"/>
  <c r="R209" i="20"/>
  <c r="S209" i="20"/>
  <c r="R241" i="20"/>
  <c r="R247" i="20"/>
  <c r="X276" i="20"/>
  <c r="W276" i="20"/>
  <c r="R282" i="20"/>
  <c r="O288" i="20"/>
  <c r="O291" i="20"/>
  <c r="O294" i="20"/>
  <c r="O297" i="20"/>
  <c r="O300" i="20"/>
  <c r="X307" i="20"/>
  <c r="W307" i="20"/>
  <c r="V307" i="20"/>
  <c r="R321" i="20"/>
  <c r="S336" i="20"/>
  <c r="R336" i="20"/>
  <c r="O336" i="20"/>
  <c r="R343" i="20"/>
  <c r="O355" i="20"/>
  <c r="R395" i="20"/>
  <c r="R411" i="20"/>
  <c r="R424" i="20"/>
  <c r="R429" i="20"/>
  <c r="W36" i="20"/>
  <c r="W48" i="20"/>
  <c r="U59" i="20"/>
  <c r="R64" i="20"/>
  <c r="R70" i="20"/>
  <c r="R80" i="20"/>
  <c r="U95" i="20"/>
  <c r="R109" i="20"/>
  <c r="W119" i="20"/>
  <c r="R129" i="20"/>
  <c r="R137" i="20"/>
  <c r="R171" i="20"/>
  <c r="O175" i="20"/>
  <c r="S179" i="20"/>
  <c r="S189" i="20"/>
  <c r="X192" i="20"/>
  <c r="T192" i="20"/>
  <c r="O204" i="20"/>
  <c r="O209" i="20"/>
  <c r="O216" i="20"/>
  <c r="U252" i="20"/>
  <c r="T252" i="20"/>
  <c r="U265" i="20"/>
  <c r="T265" i="20"/>
  <c r="S276" i="20"/>
  <c r="R276" i="20"/>
  <c r="O276" i="20"/>
  <c r="O280" i="20"/>
  <c r="O323" i="20"/>
  <c r="O341" i="20"/>
  <c r="O353" i="20"/>
  <c r="R355" i="20"/>
  <c r="R362" i="20"/>
  <c r="R364" i="20"/>
  <c r="T375" i="20"/>
  <c r="O377" i="20"/>
  <c r="S377" i="20"/>
  <c r="R377" i="20"/>
  <c r="W388" i="20"/>
  <c r="O401" i="20"/>
  <c r="W423" i="20"/>
  <c r="U423" i="20"/>
  <c r="O213" i="20"/>
  <c r="O260" i="20"/>
  <c r="O273" i="20"/>
  <c r="O285" i="20"/>
  <c r="O317" i="20"/>
  <c r="O319" i="20"/>
  <c r="O325" i="20"/>
  <c r="O330" i="20"/>
  <c r="O335" i="20"/>
  <c r="O387" i="20"/>
  <c r="O207" i="20"/>
  <c r="R229" i="20"/>
  <c r="O233" i="20"/>
  <c r="R264" i="20"/>
  <c r="O267" i="20"/>
  <c r="O272" i="20"/>
  <c r="R273" i="20"/>
  <c r="R285" i="20"/>
  <c r="R317" i="20"/>
  <c r="R319" i="20"/>
  <c r="R325" i="20"/>
  <c r="R330" i="20"/>
  <c r="O334" i="20"/>
  <c r="R335" i="20"/>
  <c r="O342" i="20"/>
  <c r="O349" i="20"/>
  <c r="R387" i="20"/>
  <c r="O393" i="20"/>
  <c r="O399" i="20"/>
  <c r="O235" i="20"/>
  <c r="R267" i="20"/>
  <c r="O271" i="20"/>
  <c r="R272" i="20"/>
  <c r="O278" i="20"/>
  <c r="O333" i="20"/>
  <c r="R334" i="20"/>
  <c r="R342" i="20"/>
  <c r="R349" i="20"/>
  <c r="R356" i="20"/>
  <c r="O361" i="20"/>
  <c r="X354" i="20"/>
  <c r="W354" i="20"/>
  <c r="V354" i="20"/>
  <c r="U354" i="20"/>
  <c r="T354" i="20"/>
  <c r="R41" i="20"/>
  <c r="R52" i="20"/>
  <c r="S54" i="20"/>
  <c r="R74" i="20"/>
  <c r="S74" i="20"/>
  <c r="O74" i="20"/>
  <c r="X77" i="20"/>
  <c r="W77" i="20"/>
  <c r="U77" i="20"/>
  <c r="V77" i="20"/>
  <c r="T77" i="20"/>
  <c r="X88" i="20"/>
  <c r="W88" i="20"/>
  <c r="T88" i="20"/>
  <c r="V88" i="20"/>
  <c r="U88" i="20"/>
  <c r="S102" i="20"/>
  <c r="X121" i="20"/>
  <c r="W121" i="20"/>
  <c r="T121" i="20"/>
  <c r="V121" i="20"/>
  <c r="U121" i="20"/>
  <c r="R141" i="20"/>
  <c r="S141" i="20"/>
  <c r="O141" i="20"/>
  <c r="R145" i="20"/>
  <c r="W154" i="20"/>
  <c r="X154" i="20"/>
  <c r="V154" i="20"/>
  <c r="U154" i="20"/>
  <c r="T154" i="20"/>
  <c r="S168" i="20"/>
  <c r="S187" i="20"/>
  <c r="R191" i="20"/>
  <c r="O195" i="20"/>
  <c r="R214" i="20"/>
  <c r="R220" i="20"/>
  <c r="O256" i="20"/>
  <c r="T336" i="20"/>
  <c r="X336" i="20"/>
  <c r="W336" i="20"/>
  <c r="V336" i="20"/>
  <c r="U336" i="20"/>
  <c r="W62" i="20"/>
  <c r="V62" i="20"/>
  <c r="U62" i="20"/>
  <c r="T62" i="20"/>
  <c r="U128" i="20"/>
  <c r="X128" i="20"/>
  <c r="W128" i="20"/>
  <c r="V128" i="20"/>
  <c r="R165" i="20"/>
  <c r="S165" i="20"/>
  <c r="O165" i="20"/>
  <c r="U275" i="20"/>
  <c r="T275" i="20"/>
  <c r="X275" i="20"/>
  <c r="W275" i="20"/>
  <c r="V275" i="20"/>
  <c r="X402" i="20"/>
  <c r="V402" i="20"/>
  <c r="W402" i="20"/>
  <c r="U402" i="20"/>
  <c r="T402" i="20"/>
  <c r="R62" i="20"/>
  <c r="S62" i="20"/>
  <c r="O62" i="20"/>
  <c r="O100" i="20"/>
  <c r="O122" i="20"/>
  <c r="W183" i="20"/>
  <c r="V183" i="20"/>
  <c r="U183" i="20"/>
  <c r="X183" i="20"/>
  <c r="T183" i="20"/>
  <c r="S89" i="20"/>
  <c r="V113" i="20"/>
  <c r="U113" i="20"/>
  <c r="T113" i="20"/>
  <c r="S122" i="20"/>
  <c r="S153" i="20"/>
  <c r="R153" i="20"/>
  <c r="O153" i="20"/>
  <c r="W166" i="20"/>
  <c r="X166" i="20"/>
  <c r="V166" i="20"/>
  <c r="U166" i="20"/>
  <c r="T166" i="20"/>
  <c r="W181" i="20"/>
  <c r="U181" i="20"/>
  <c r="X181" i="20"/>
  <c r="V181" i="20"/>
  <c r="T181" i="20"/>
  <c r="W191" i="20"/>
  <c r="V191" i="20"/>
  <c r="U191" i="20"/>
  <c r="X191" i="20"/>
  <c r="T191" i="20"/>
  <c r="R202" i="20"/>
  <c r="X227" i="20"/>
  <c r="W227" i="20"/>
  <c r="V227" i="20"/>
  <c r="U227" i="20"/>
  <c r="T227" i="20"/>
  <c r="X263" i="20"/>
  <c r="W263" i="20"/>
  <c r="V263" i="20"/>
  <c r="U263" i="20"/>
  <c r="T263" i="20"/>
  <c r="X389" i="20"/>
  <c r="V389" i="20"/>
  <c r="T389" i="20"/>
  <c r="W389" i="20"/>
  <c r="U389" i="20"/>
  <c r="W49" i="20"/>
  <c r="O54" i="20"/>
  <c r="W74" i="20"/>
  <c r="V74" i="20"/>
  <c r="U74" i="20"/>
  <c r="T74" i="20"/>
  <c r="W156" i="20"/>
  <c r="X156" i="20"/>
  <c r="U156" i="20"/>
  <c r="V156" i="20"/>
  <c r="T156" i="20"/>
  <c r="W164" i="20"/>
  <c r="V164" i="20"/>
  <c r="U164" i="20"/>
  <c r="T164" i="20"/>
  <c r="S183" i="20"/>
  <c r="O191" i="20"/>
  <c r="O220" i="20"/>
  <c r="V61" i="20"/>
  <c r="U61" i="20"/>
  <c r="T61" i="20"/>
  <c r="S39" i="20"/>
  <c r="R39" i="20"/>
  <c r="S41" i="20"/>
  <c r="W50" i="20"/>
  <c r="V50" i="20"/>
  <c r="U50" i="20"/>
  <c r="T50" i="20"/>
  <c r="X74" i="20"/>
  <c r="W85" i="20"/>
  <c r="O90" i="20"/>
  <c r="X99" i="20"/>
  <c r="W99" i="20"/>
  <c r="V99" i="20"/>
  <c r="U99" i="20"/>
  <c r="T99" i="20"/>
  <c r="S145" i="20"/>
  <c r="S154" i="20"/>
  <c r="R154" i="20"/>
  <c r="O156" i="20"/>
  <c r="W175" i="20"/>
  <c r="U175" i="20"/>
  <c r="X175" i="20"/>
  <c r="V175" i="20"/>
  <c r="T175" i="20"/>
  <c r="O177" i="20"/>
  <c r="R195" i="20"/>
  <c r="O199" i="20"/>
  <c r="W201" i="20"/>
  <c r="V201" i="20"/>
  <c r="U201" i="20"/>
  <c r="T201" i="20"/>
  <c r="X201" i="20"/>
  <c r="W205" i="20"/>
  <c r="V205" i="20"/>
  <c r="U205" i="20"/>
  <c r="T205" i="20"/>
  <c r="X205" i="20"/>
  <c r="X239" i="20"/>
  <c r="W239" i="20"/>
  <c r="V239" i="20"/>
  <c r="U239" i="20"/>
  <c r="T239" i="20"/>
  <c r="R256" i="20"/>
  <c r="X330" i="20"/>
  <c r="W330" i="20"/>
  <c r="V330" i="20"/>
  <c r="U330" i="20"/>
  <c r="T330" i="20"/>
  <c r="S51" i="20"/>
  <c r="R51" i="20"/>
  <c r="W176" i="20"/>
  <c r="U176" i="20"/>
  <c r="X176" i="20"/>
  <c r="V176" i="20"/>
  <c r="T176" i="20"/>
  <c r="S190" i="20"/>
  <c r="R190" i="20"/>
  <c r="O190" i="20"/>
  <c r="X230" i="20"/>
  <c r="W230" i="20"/>
  <c r="V230" i="20"/>
  <c r="U230" i="20"/>
  <c r="T230" i="20"/>
  <c r="X280" i="20"/>
  <c r="W280" i="20"/>
  <c r="V280" i="20"/>
  <c r="U280" i="20"/>
  <c r="T280" i="20"/>
  <c r="O155" i="20"/>
  <c r="S176" i="20"/>
  <c r="R176" i="20"/>
  <c r="R194" i="20"/>
  <c r="S194" i="20"/>
  <c r="O194" i="20"/>
  <c r="W38" i="20"/>
  <c r="V38" i="20"/>
  <c r="U38" i="20"/>
  <c r="T38" i="20"/>
  <c r="R89" i="20"/>
  <c r="R100" i="20"/>
  <c r="O128" i="20"/>
  <c r="R155" i="20"/>
  <c r="W168" i="20"/>
  <c r="X168" i="20"/>
  <c r="U168" i="20"/>
  <c r="V168" i="20"/>
  <c r="T168" i="20"/>
  <c r="O176" i="20"/>
  <c r="S198" i="20"/>
  <c r="R198" i="20"/>
  <c r="O198" i="20"/>
  <c r="W204" i="20"/>
  <c r="V204" i="20"/>
  <c r="U204" i="20"/>
  <c r="T204" i="20"/>
  <c r="X204" i="20"/>
  <c r="W208" i="20"/>
  <c r="V208" i="20"/>
  <c r="U208" i="20"/>
  <c r="T208" i="20"/>
  <c r="X208" i="20"/>
  <c r="O244" i="20"/>
  <c r="X41" i="20"/>
  <c r="W41" i="20"/>
  <c r="U41" i="20"/>
  <c r="V41" i="20"/>
  <c r="T41" i="20"/>
  <c r="W120" i="20"/>
  <c r="X120" i="20"/>
  <c r="V120" i="20"/>
  <c r="U120" i="20"/>
  <c r="T120" i="20"/>
  <c r="S78" i="20"/>
  <c r="S120" i="20"/>
  <c r="R120" i="20"/>
  <c r="O120" i="20"/>
  <c r="O143" i="20"/>
  <c r="O168" i="20"/>
  <c r="O187" i="20"/>
  <c r="W195" i="20"/>
  <c r="V195" i="20"/>
  <c r="U195" i="20"/>
  <c r="X195" i="20"/>
  <c r="T195" i="20"/>
  <c r="S202" i="20"/>
  <c r="O208" i="20"/>
  <c r="S227" i="20"/>
  <c r="R227" i="20"/>
  <c r="O227" i="20"/>
  <c r="R102" i="20"/>
  <c r="W199" i="20"/>
  <c r="V199" i="20"/>
  <c r="U199" i="20"/>
  <c r="T199" i="20"/>
  <c r="X199" i="20"/>
  <c r="V37" i="20"/>
  <c r="U37" i="20"/>
  <c r="T37" i="20"/>
  <c r="O39" i="20"/>
  <c r="R50" i="20"/>
  <c r="S50" i="20"/>
  <c r="O50" i="20"/>
  <c r="X53" i="20"/>
  <c r="U53" i="20"/>
  <c r="W53" i="20"/>
  <c r="V53" i="20"/>
  <c r="T53" i="20"/>
  <c r="X64" i="20"/>
  <c r="W64" i="20"/>
  <c r="V64" i="20"/>
  <c r="U64" i="20"/>
  <c r="T64" i="20"/>
  <c r="O77" i="20"/>
  <c r="O88" i="20"/>
  <c r="R90" i="20"/>
  <c r="S99" i="20"/>
  <c r="R99" i="20"/>
  <c r="W113" i="20"/>
  <c r="O121" i="20"/>
  <c r="X131" i="20"/>
  <c r="V131" i="20"/>
  <c r="W131" i="20"/>
  <c r="U131" i="20"/>
  <c r="T131" i="20"/>
  <c r="O133" i="20"/>
  <c r="W144" i="20"/>
  <c r="X144" i="20"/>
  <c r="U144" i="20"/>
  <c r="V144" i="20"/>
  <c r="T144" i="20"/>
  <c r="W152" i="20"/>
  <c r="V152" i="20"/>
  <c r="U152" i="20"/>
  <c r="T152" i="20"/>
  <c r="O154" i="20"/>
  <c r="R156" i="20"/>
  <c r="X164" i="20"/>
  <c r="W167" i="20"/>
  <c r="X167" i="20"/>
  <c r="V167" i="20"/>
  <c r="U167" i="20"/>
  <c r="T167" i="20"/>
  <c r="R177" i="20"/>
  <c r="W182" i="20"/>
  <c r="U182" i="20"/>
  <c r="X182" i="20"/>
  <c r="V182" i="20"/>
  <c r="T182" i="20"/>
  <c r="R199" i="20"/>
  <c r="W211" i="20"/>
  <c r="V211" i="20"/>
  <c r="U211" i="20"/>
  <c r="T211" i="20"/>
  <c r="X211" i="20"/>
  <c r="S239" i="20"/>
  <c r="R239" i="20"/>
  <c r="O239" i="20"/>
  <c r="X254" i="20"/>
  <c r="W254" i="20"/>
  <c r="V254" i="20"/>
  <c r="U254" i="20"/>
  <c r="T254" i="20"/>
  <c r="R106" i="20"/>
  <c r="S106" i="20"/>
  <c r="O106" i="20"/>
  <c r="W194" i="20"/>
  <c r="V194" i="20"/>
  <c r="U194" i="20"/>
  <c r="X194" i="20"/>
  <c r="T194" i="20"/>
  <c r="W202" i="20"/>
  <c r="V202" i="20"/>
  <c r="U202" i="20"/>
  <c r="T202" i="20"/>
  <c r="X202" i="20"/>
  <c r="S251" i="20"/>
  <c r="R251" i="20"/>
  <c r="O251" i="20"/>
  <c r="U65" i="20"/>
  <c r="X65" i="20"/>
  <c r="W65" i="20"/>
  <c r="V65" i="20"/>
  <c r="T65" i="20"/>
  <c r="X76" i="20"/>
  <c r="W76" i="20"/>
  <c r="V76" i="20"/>
  <c r="U76" i="20"/>
  <c r="T76" i="20"/>
  <c r="X62" i="20"/>
  <c r="O78" i="20"/>
  <c r="X87" i="20"/>
  <c r="W87" i="20"/>
  <c r="V87" i="20"/>
  <c r="U87" i="20"/>
  <c r="T87" i="20"/>
  <c r="V107" i="20"/>
  <c r="X107" i="20"/>
  <c r="T107" i="20"/>
  <c r="W107" i="20"/>
  <c r="U107" i="20"/>
  <c r="X115" i="20"/>
  <c r="W115" i="20"/>
  <c r="V115" i="20"/>
  <c r="U115" i="20"/>
  <c r="T115" i="20"/>
  <c r="R132" i="20"/>
  <c r="W143" i="20"/>
  <c r="X143" i="20"/>
  <c r="T143" i="20"/>
  <c r="V143" i="20"/>
  <c r="U143" i="20"/>
  <c r="W153" i="20"/>
  <c r="X153" i="20"/>
  <c r="V153" i="20"/>
  <c r="U153" i="20"/>
  <c r="T153" i="20"/>
  <c r="O157" i="20"/>
  <c r="W187" i="20"/>
  <c r="V187" i="20"/>
  <c r="U187" i="20"/>
  <c r="X187" i="20"/>
  <c r="T187" i="20"/>
  <c r="X404" i="20"/>
  <c r="V404" i="20"/>
  <c r="W404" i="20"/>
  <c r="T404" i="20"/>
  <c r="U404" i="20"/>
  <c r="X52" i="20"/>
  <c r="W52" i="20"/>
  <c r="V52" i="20"/>
  <c r="T52" i="20"/>
  <c r="U52" i="20"/>
  <c r="X38" i="20"/>
  <c r="X63" i="20"/>
  <c r="W63" i="20"/>
  <c r="V63" i="20"/>
  <c r="U63" i="20"/>
  <c r="T63" i="20"/>
  <c r="R98" i="20"/>
  <c r="S98" i="20"/>
  <c r="O98" i="20"/>
  <c r="O107" i="20"/>
  <c r="O115" i="20"/>
  <c r="T128" i="20"/>
  <c r="S157" i="20"/>
  <c r="S166" i="20"/>
  <c r="R166" i="20"/>
  <c r="R183" i="20"/>
  <c r="X242" i="20"/>
  <c r="W242" i="20"/>
  <c r="V242" i="20"/>
  <c r="U242" i="20"/>
  <c r="T242" i="20"/>
  <c r="S263" i="20"/>
  <c r="R263" i="20"/>
  <c r="O263" i="20"/>
  <c r="X385" i="20"/>
  <c r="V385" i="20"/>
  <c r="W385" i="20"/>
  <c r="U385" i="20"/>
  <c r="T385" i="20"/>
  <c r="S65" i="20"/>
  <c r="R107" i="20"/>
  <c r="S115" i="20"/>
  <c r="R143" i="20"/>
  <c r="W177" i="20"/>
  <c r="U177" i="20"/>
  <c r="X177" i="20"/>
  <c r="V177" i="20"/>
  <c r="T177" i="20"/>
  <c r="R208" i="20"/>
  <c r="X50" i="20"/>
  <c r="W61" i="20"/>
  <c r="X75" i="20"/>
  <c r="W75" i="20"/>
  <c r="V75" i="20"/>
  <c r="U75" i="20"/>
  <c r="T75" i="20"/>
  <c r="R77" i="20"/>
  <c r="R88" i="20"/>
  <c r="V97" i="20"/>
  <c r="U97" i="20"/>
  <c r="T97" i="20"/>
  <c r="O99" i="20"/>
  <c r="X101" i="20"/>
  <c r="W101" i="20"/>
  <c r="U101" i="20"/>
  <c r="V101" i="20"/>
  <c r="T101" i="20"/>
  <c r="X113" i="20"/>
  <c r="O116" i="20"/>
  <c r="R121" i="20"/>
  <c r="T127" i="20"/>
  <c r="X127" i="20"/>
  <c r="W127" i="20"/>
  <c r="V127" i="20"/>
  <c r="U127" i="20"/>
  <c r="S131" i="20"/>
  <c r="R131" i="20"/>
  <c r="O131" i="20"/>
  <c r="R133" i="20"/>
  <c r="W142" i="20"/>
  <c r="X142" i="20"/>
  <c r="V142" i="20"/>
  <c r="U142" i="20"/>
  <c r="T142" i="20"/>
  <c r="S182" i="20"/>
  <c r="R182" i="20"/>
  <c r="W207" i="20"/>
  <c r="V207" i="20"/>
  <c r="U207" i="20"/>
  <c r="T207" i="20"/>
  <c r="X207" i="20"/>
  <c r="W217" i="20"/>
  <c r="V217" i="20"/>
  <c r="U217" i="20"/>
  <c r="T217" i="20"/>
  <c r="X217" i="20"/>
  <c r="U327" i="20"/>
  <c r="T327" i="20"/>
  <c r="X327" i="20"/>
  <c r="W327" i="20"/>
  <c r="V327" i="20"/>
  <c r="O114" i="20"/>
  <c r="S114" i="20"/>
  <c r="R114" i="20"/>
  <c r="V49" i="20"/>
  <c r="U49" i="20"/>
  <c r="T49" i="20"/>
  <c r="O132" i="20"/>
  <c r="W198" i="20"/>
  <c r="V198" i="20"/>
  <c r="U198" i="20"/>
  <c r="X198" i="20"/>
  <c r="T198" i="20"/>
  <c r="X266" i="20"/>
  <c r="W266" i="20"/>
  <c r="V266" i="20"/>
  <c r="U266" i="20"/>
  <c r="T266" i="20"/>
  <c r="X398" i="20"/>
  <c r="V398" i="20"/>
  <c r="W398" i="20"/>
  <c r="T398" i="20"/>
  <c r="U398" i="20"/>
  <c r="R38" i="20"/>
  <c r="S38" i="20"/>
  <c r="O38" i="20"/>
  <c r="O65" i="20"/>
  <c r="O76" i="20"/>
  <c r="S87" i="20"/>
  <c r="R87" i="20"/>
  <c r="W98" i="20"/>
  <c r="V98" i="20"/>
  <c r="U98" i="20"/>
  <c r="T98" i="20"/>
  <c r="R128" i="20"/>
  <c r="W214" i="20"/>
  <c r="V214" i="20"/>
  <c r="U214" i="20"/>
  <c r="T214" i="20"/>
  <c r="X214" i="20"/>
  <c r="R244" i="20"/>
  <c r="R76" i="20"/>
  <c r="V85" i="20"/>
  <c r="U85" i="20"/>
  <c r="T85" i="20"/>
  <c r="O52" i="20"/>
  <c r="S63" i="20"/>
  <c r="R63" i="20"/>
  <c r="W141" i="20"/>
  <c r="X141" i="20"/>
  <c r="V141" i="20"/>
  <c r="U141" i="20"/>
  <c r="T141" i="20"/>
  <c r="O166" i="20"/>
  <c r="O214" i="20"/>
  <c r="X39" i="20"/>
  <c r="W39" i="20"/>
  <c r="V39" i="20"/>
  <c r="U39" i="20"/>
  <c r="T39" i="20"/>
  <c r="T40" i="20"/>
  <c r="X40" i="20"/>
  <c r="W40" i="20"/>
  <c r="V40" i="20"/>
  <c r="U40" i="20"/>
  <c r="X61" i="20"/>
  <c r="S75" i="20"/>
  <c r="R75" i="20"/>
  <c r="W86" i="20"/>
  <c r="V86" i="20"/>
  <c r="U86" i="20"/>
  <c r="T86" i="20"/>
  <c r="R127" i="20"/>
  <c r="S127" i="20"/>
  <c r="O127" i="20"/>
  <c r="S142" i="20"/>
  <c r="R142" i="20"/>
  <c r="W186" i="20"/>
  <c r="V186" i="20"/>
  <c r="U186" i="20"/>
  <c r="X186" i="20"/>
  <c r="T186" i="20"/>
  <c r="X305" i="20"/>
  <c r="W305" i="20"/>
  <c r="V305" i="20"/>
  <c r="U305" i="20"/>
  <c r="T305" i="20"/>
  <c r="T311" i="20"/>
  <c r="U311" i="20"/>
  <c r="X311" i="20"/>
  <c r="W311" i="20"/>
  <c r="V311" i="20"/>
  <c r="X51" i="20"/>
  <c r="W51" i="20"/>
  <c r="V51" i="20"/>
  <c r="U51" i="20"/>
  <c r="T51" i="20"/>
  <c r="V73" i="20"/>
  <c r="U73" i="20"/>
  <c r="T73" i="20"/>
  <c r="S86" i="20"/>
  <c r="R86" i="20"/>
  <c r="O86" i="20"/>
  <c r="X89" i="20"/>
  <c r="W89" i="20"/>
  <c r="U89" i="20"/>
  <c r="V89" i="20"/>
  <c r="T89" i="20"/>
  <c r="U106" i="20"/>
  <c r="X106" i="20"/>
  <c r="W106" i="20"/>
  <c r="V106" i="20"/>
  <c r="T106" i="20"/>
  <c r="X114" i="20"/>
  <c r="W114" i="20"/>
  <c r="V114" i="20"/>
  <c r="U114" i="20"/>
  <c r="T114" i="20"/>
  <c r="W132" i="20"/>
  <c r="X132" i="20"/>
  <c r="U132" i="20"/>
  <c r="V132" i="20"/>
  <c r="T132" i="20"/>
  <c r="W140" i="20"/>
  <c r="V140" i="20"/>
  <c r="U140" i="20"/>
  <c r="T140" i="20"/>
  <c r="W155" i="20"/>
  <c r="X155" i="20"/>
  <c r="V155" i="20"/>
  <c r="U155" i="20"/>
  <c r="T155" i="20"/>
  <c r="W165" i="20"/>
  <c r="X165" i="20"/>
  <c r="V165" i="20"/>
  <c r="U165" i="20"/>
  <c r="T165" i="20"/>
  <c r="R186" i="20"/>
  <c r="S186" i="20"/>
  <c r="O186" i="20"/>
  <c r="W190" i="20"/>
  <c r="V190" i="20"/>
  <c r="U190" i="20"/>
  <c r="X190" i="20"/>
  <c r="T190" i="20"/>
  <c r="X251" i="20"/>
  <c r="W251" i="20"/>
  <c r="V251" i="20"/>
  <c r="U251" i="20"/>
  <c r="T251" i="20"/>
  <c r="W210" i="20"/>
  <c r="V210" i="20"/>
  <c r="U210" i="20"/>
  <c r="T210" i="20"/>
  <c r="W213" i="20"/>
  <c r="V213" i="20"/>
  <c r="U213" i="20"/>
  <c r="T213" i="20"/>
  <c r="W216" i="20"/>
  <c r="V216" i="20"/>
  <c r="U216" i="20"/>
  <c r="T216" i="20"/>
  <c r="X219" i="20"/>
  <c r="W219" i="20"/>
  <c r="V219" i="20"/>
  <c r="U219" i="20"/>
  <c r="T219" i="20"/>
  <c r="X342" i="20"/>
  <c r="W342" i="20"/>
  <c r="V342" i="20"/>
  <c r="X395" i="20"/>
  <c r="V395" i="20"/>
  <c r="T395" i="20"/>
  <c r="W395" i="20"/>
  <c r="U395" i="20"/>
  <c r="X222" i="20"/>
  <c r="W222" i="20"/>
  <c r="V222" i="20"/>
  <c r="U222" i="20"/>
  <c r="X318" i="20"/>
  <c r="W318" i="20"/>
  <c r="V318" i="20"/>
  <c r="U318" i="20"/>
  <c r="W377" i="20"/>
  <c r="V377" i="20"/>
  <c r="U377" i="20"/>
  <c r="X377" i="20"/>
  <c r="T377" i="20"/>
  <c r="X391" i="20"/>
  <c r="V391" i="20"/>
  <c r="W391" i="20"/>
  <c r="U391" i="20"/>
  <c r="T391" i="20"/>
  <c r="X420" i="20"/>
  <c r="V420" i="20"/>
  <c r="W420" i="20"/>
  <c r="U420" i="20"/>
  <c r="T420" i="20"/>
  <c r="W180" i="20"/>
  <c r="U180" i="20"/>
  <c r="W185" i="20"/>
  <c r="V185" i="20"/>
  <c r="U185" i="20"/>
  <c r="W193" i="20"/>
  <c r="V193" i="20"/>
  <c r="U193" i="20"/>
  <c r="X231" i="20"/>
  <c r="W231" i="20"/>
  <c r="V231" i="20"/>
  <c r="U231" i="20"/>
  <c r="T231" i="20"/>
  <c r="X255" i="20"/>
  <c r="W255" i="20"/>
  <c r="V255" i="20"/>
  <c r="U255" i="20"/>
  <c r="T255" i="20"/>
  <c r="X258" i="20"/>
  <c r="W258" i="20"/>
  <c r="V258" i="20"/>
  <c r="U258" i="20"/>
  <c r="T258" i="20"/>
  <c r="X304" i="20"/>
  <c r="W304" i="20"/>
  <c r="V304" i="20"/>
  <c r="U304" i="20"/>
  <c r="T304" i="20"/>
  <c r="W349" i="20"/>
  <c r="V349" i="20"/>
  <c r="U349" i="20"/>
  <c r="T349" i="20"/>
  <c r="X349" i="20"/>
  <c r="X426" i="20"/>
  <c r="V426" i="20"/>
  <c r="W426" i="20"/>
  <c r="U426" i="20"/>
  <c r="T426" i="20"/>
  <c r="H433" i="20"/>
  <c r="F433" i="20"/>
  <c r="G433" i="20"/>
  <c r="O36" i="20"/>
  <c r="R37" i="20"/>
  <c r="O48" i="20"/>
  <c r="R49" i="20"/>
  <c r="O60" i="20"/>
  <c r="R61" i="20"/>
  <c r="O72" i="20"/>
  <c r="R73" i="20"/>
  <c r="O84" i="20"/>
  <c r="R85" i="20"/>
  <c r="O96" i="20"/>
  <c r="R97" i="20"/>
  <c r="O105" i="20"/>
  <c r="O112" i="20"/>
  <c r="O119" i="20"/>
  <c r="S126" i="20"/>
  <c r="O126" i="20"/>
  <c r="O139" i="20"/>
  <c r="R140" i="20"/>
  <c r="O151" i="20"/>
  <c r="R152" i="20"/>
  <c r="O163" i="20"/>
  <c r="R164" i="20"/>
  <c r="R175" i="20"/>
  <c r="R181" i="20"/>
  <c r="R201" i="20"/>
  <c r="R204" i="20"/>
  <c r="R207" i="20"/>
  <c r="R210" i="20"/>
  <c r="R213" i="20"/>
  <c r="R216" i="20"/>
  <c r="R219" i="20"/>
  <c r="T222" i="20"/>
  <c r="R224" i="20"/>
  <c r="R236" i="20"/>
  <c r="R248" i="20"/>
  <c r="R260" i="20"/>
  <c r="T274" i="20"/>
  <c r="X274" i="20"/>
  <c r="W274" i="20"/>
  <c r="V274" i="20"/>
  <c r="U274" i="20"/>
  <c r="U351" i="20"/>
  <c r="T351" i="20"/>
  <c r="X351" i="20"/>
  <c r="W351" i="20"/>
  <c r="V351" i="20"/>
  <c r="X422" i="20"/>
  <c r="V422" i="20"/>
  <c r="W422" i="20"/>
  <c r="T422" i="20"/>
  <c r="U422" i="20"/>
  <c r="W174" i="20"/>
  <c r="U174" i="20"/>
  <c r="W189" i="20"/>
  <c r="V189" i="20"/>
  <c r="U189" i="20"/>
  <c r="W197" i="20"/>
  <c r="V197" i="20"/>
  <c r="U197" i="20"/>
  <c r="X234" i="20"/>
  <c r="W234" i="20"/>
  <c r="V234" i="20"/>
  <c r="U234" i="20"/>
  <c r="T234" i="20"/>
  <c r="X243" i="20"/>
  <c r="W243" i="20"/>
  <c r="V243" i="20"/>
  <c r="U243" i="20"/>
  <c r="T243" i="20"/>
  <c r="X246" i="20"/>
  <c r="W246" i="20"/>
  <c r="V246" i="20"/>
  <c r="U246" i="20"/>
  <c r="T246" i="20"/>
  <c r="V324" i="20"/>
  <c r="U324" i="20"/>
  <c r="T324" i="20"/>
  <c r="X324" i="20"/>
  <c r="W324" i="20"/>
  <c r="T337" i="20"/>
  <c r="V337" i="20"/>
  <c r="U337" i="20"/>
  <c r="X432" i="20"/>
  <c r="W432" i="20"/>
  <c r="U432" i="20"/>
  <c r="V432" i="20"/>
  <c r="T432" i="20"/>
  <c r="O35" i="20"/>
  <c r="R36" i="20"/>
  <c r="O47" i="20"/>
  <c r="R48" i="20"/>
  <c r="O59" i="20"/>
  <c r="R60" i="20"/>
  <c r="O71" i="20"/>
  <c r="R72" i="20"/>
  <c r="O83" i="20"/>
  <c r="R84" i="20"/>
  <c r="O95" i="20"/>
  <c r="R96" i="20"/>
  <c r="R105" i="20"/>
  <c r="O111" i="20"/>
  <c r="R112" i="20"/>
  <c r="R119" i="20"/>
  <c r="R126" i="20"/>
  <c r="O130" i="20"/>
  <c r="O138" i="20"/>
  <c r="R139" i="20"/>
  <c r="O150" i="20"/>
  <c r="R151" i="20"/>
  <c r="O162" i="20"/>
  <c r="R163" i="20"/>
  <c r="O174" i="20"/>
  <c r="W179" i="20"/>
  <c r="U179" i="20"/>
  <c r="O185" i="20"/>
  <c r="O189" i="20"/>
  <c r="O193" i="20"/>
  <c r="O197" i="20"/>
  <c r="W200" i="20"/>
  <c r="V200" i="20"/>
  <c r="U200" i="20"/>
  <c r="T200" i="20"/>
  <c r="W203" i="20"/>
  <c r="V203" i="20"/>
  <c r="U203" i="20"/>
  <c r="T203" i="20"/>
  <c r="W206" i="20"/>
  <c r="V206" i="20"/>
  <c r="U206" i="20"/>
  <c r="T206" i="20"/>
  <c r="W209" i="20"/>
  <c r="V209" i="20"/>
  <c r="U209" i="20"/>
  <c r="T209" i="20"/>
  <c r="W212" i="20"/>
  <c r="V212" i="20"/>
  <c r="U212" i="20"/>
  <c r="T212" i="20"/>
  <c r="W215" i="20"/>
  <c r="V215" i="20"/>
  <c r="U215" i="20"/>
  <c r="T215" i="20"/>
  <c r="W218" i="20"/>
  <c r="V218" i="20"/>
  <c r="U218" i="20"/>
  <c r="T218" i="20"/>
  <c r="O231" i="20"/>
  <c r="O243" i="20"/>
  <c r="O255" i="20"/>
  <c r="X281" i="20"/>
  <c r="W281" i="20"/>
  <c r="V281" i="20"/>
  <c r="U281" i="20"/>
  <c r="T281" i="20"/>
  <c r="U312" i="20"/>
  <c r="T312" i="20"/>
  <c r="X312" i="20"/>
  <c r="W312" i="20"/>
  <c r="V312" i="20"/>
  <c r="V339" i="20"/>
  <c r="U339" i="20"/>
  <c r="T339" i="20"/>
  <c r="X339" i="20"/>
  <c r="W339" i="20"/>
  <c r="T342" i="20"/>
  <c r="W365" i="20"/>
  <c r="X365" i="20"/>
  <c r="V365" i="20"/>
  <c r="X381" i="20"/>
  <c r="W381" i="20"/>
  <c r="U381" i="20"/>
  <c r="T381" i="20"/>
  <c r="V381" i="20"/>
  <c r="X413" i="20"/>
  <c r="V413" i="20"/>
  <c r="T413" i="20"/>
  <c r="W413" i="20"/>
  <c r="X428" i="20"/>
  <c r="V428" i="20"/>
  <c r="W428" i="20"/>
  <c r="T428" i="20"/>
  <c r="U428" i="20"/>
  <c r="W130" i="20"/>
  <c r="U130" i="20"/>
  <c r="O34" i="20"/>
  <c r="O46" i="20"/>
  <c r="O58" i="20"/>
  <c r="O70" i="20"/>
  <c r="O82" i="20"/>
  <c r="O94" i="20"/>
  <c r="O104" i="20"/>
  <c r="O110" i="20"/>
  <c r="O118" i="20"/>
  <c r="T126" i="20"/>
  <c r="V129" i="20"/>
  <c r="T129" i="20"/>
  <c r="O137" i="20"/>
  <c r="O149" i="20"/>
  <c r="O161" i="20"/>
  <c r="O173" i="20"/>
  <c r="W184" i="20"/>
  <c r="V184" i="20"/>
  <c r="U184" i="20"/>
  <c r="W188" i="20"/>
  <c r="V188" i="20"/>
  <c r="U188" i="20"/>
  <c r="W192" i="20"/>
  <c r="V192" i="20"/>
  <c r="U192" i="20"/>
  <c r="W196" i="20"/>
  <c r="V196" i="20"/>
  <c r="U196" i="20"/>
  <c r="X210" i="20"/>
  <c r="X213" i="20"/>
  <c r="X216" i="20"/>
  <c r="R231" i="20"/>
  <c r="R243" i="20"/>
  <c r="R255" i="20"/>
  <c r="X267" i="20"/>
  <c r="W267" i="20"/>
  <c r="V267" i="20"/>
  <c r="U267" i="20"/>
  <c r="T267" i="20"/>
  <c r="X285" i="20"/>
  <c r="V285" i="20"/>
  <c r="U285" i="20"/>
  <c r="T285" i="20"/>
  <c r="U314" i="20"/>
  <c r="T314" i="20"/>
  <c r="X314" i="20"/>
  <c r="W314" i="20"/>
  <c r="V314" i="20"/>
  <c r="T318" i="20"/>
  <c r="U342" i="20"/>
  <c r="X409" i="20"/>
  <c r="V409" i="20"/>
  <c r="W409" i="20"/>
  <c r="U409" i="20"/>
  <c r="T409" i="20"/>
  <c r="T36" i="20"/>
  <c r="T48" i="20"/>
  <c r="T60" i="20"/>
  <c r="T72" i="20"/>
  <c r="T84" i="20"/>
  <c r="T96" i="20"/>
  <c r="U105" i="20"/>
  <c r="T119" i="20"/>
  <c r="U126" i="20"/>
  <c r="T139" i="20"/>
  <c r="T151" i="20"/>
  <c r="T163" i="20"/>
  <c r="W178" i="20"/>
  <c r="U178" i="20"/>
  <c r="X223" i="20"/>
  <c r="W223" i="20"/>
  <c r="V223" i="20"/>
  <c r="U223" i="20"/>
  <c r="T223" i="20"/>
  <c r="X226" i="20"/>
  <c r="W226" i="20"/>
  <c r="V226" i="20"/>
  <c r="U226" i="20"/>
  <c r="T226" i="20"/>
  <c r="X235" i="20"/>
  <c r="W235" i="20"/>
  <c r="V235" i="20"/>
  <c r="U235" i="20"/>
  <c r="T235" i="20"/>
  <c r="X238" i="20"/>
  <c r="W238" i="20"/>
  <c r="V238" i="20"/>
  <c r="U238" i="20"/>
  <c r="T238" i="20"/>
  <c r="X247" i="20"/>
  <c r="W247" i="20"/>
  <c r="V247" i="20"/>
  <c r="U247" i="20"/>
  <c r="T247" i="20"/>
  <c r="X250" i="20"/>
  <c r="W250" i="20"/>
  <c r="V250" i="20"/>
  <c r="U250" i="20"/>
  <c r="T250" i="20"/>
  <c r="X259" i="20"/>
  <c r="W259" i="20"/>
  <c r="V259" i="20"/>
  <c r="U259" i="20"/>
  <c r="T259" i="20"/>
  <c r="X262" i="20"/>
  <c r="W262" i="20"/>
  <c r="V262" i="20"/>
  <c r="U262" i="20"/>
  <c r="T262" i="20"/>
  <c r="W337" i="20"/>
  <c r="X419" i="20"/>
  <c r="V419" i="20"/>
  <c r="T419" i="20"/>
  <c r="W419" i="20"/>
  <c r="U419" i="20"/>
  <c r="O103" i="20"/>
  <c r="V105" i="20"/>
  <c r="U119" i="20"/>
  <c r="R124" i="20"/>
  <c r="T130" i="20"/>
  <c r="T138" i="20"/>
  <c r="U139" i="20"/>
  <c r="T150" i="20"/>
  <c r="U151" i="20"/>
  <c r="T162" i="20"/>
  <c r="U163" i="20"/>
  <c r="T174" i="20"/>
  <c r="T180" i="20"/>
  <c r="T185" i="20"/>
  <c r="T189" i="20"/>
  <c r="T193" i="20"/>
  <c r="T197" i="20"/>
  <c r="X278" i="20"/>
  <c r="W278" i="20"/>
  <c r="V278" i="20"/>
  <c r="U278" i="20"/>
  <c r="X337" i="20"/>
  <c r="U365" i="20"/>
  <c r="X396" i="20"/>
  <c r="V396" i="20"/>
  <c r="W396" i="20"/>
  <c r="U396" i="20"/>
  <c r="T396" i="20"/>
  <c r="X415" i="20"/>
  <c r="V415" i="20"/>
  <c r="W415" i="20"/>
  <c r="U415" i="20"/>
  <c r="T415" i="20"/>
  <c r="W277" i="20"/>
  <c r="V277" i="20"/>
  <c r="U277" i="20"/>
  <c r="T277" i="20"/>
  <c r="U313" i="20"/>
  <c r="T313" i="20"/>
  <c r="X313" i="20"/>
  <c r="W313" i="20"/>
  <c r="T326" i="20"/>
  <c r="X326" i="20"/>
  <c r="W326" i="20"/>
  <c r="V326" i="20"/>
  <c r="X341" i="20"/>
  <c r="W341" i="20"/>
  <c r="V341" i="20"/>
  <c r="U341" i="20"/>
  <c r="T341" i="20"/>
  <c r="V357" i="20"/>
  <c r="U357" i="20"/>
  <c r="T357" i="20"/>
  <c r="T362" i="20"/>
  <c r="X362" i="20"/>
  <c r="V362" i="20"/>
  <c r="X384" i="20"/>
  <c r="V384" i="20"/>
  <c r="W384" i="20"/>
  <c r="U384" i="20"/>
  <c r="T384" i="20"/>
  <c r="X401" i="20"/>
  <c r="V401" i="20"/>
  <c r="T401" i="20"/>
  <c r="X408" i="20"/>
  <c r="V408" i="20"/>
  <c r="W408" i="20"/>
  <c r="U408" i="20"/>
  <c r="T408" i="20"/>
  <c r="X425" i="20"/>
  <c r="V425" i="20"/>
  <c r="T425" i="20"/>
  <c r="O222" i="20"/>
  <c r="O226" i="20"/>
  <c r="O230" i="20"/>
  <c r="O234" i="20"/>
  <c r="O238" i="20"/>
  <c r="O242" i="20"/>
  <c r="O246" i="20"/>
  <c r="O250" i="20"/>
  <c r="O254" i="20"/>
  <c r="O258" i="20"/>
  <c r="O262" i="20"/>
  <c r="X284" i="20"/>
  <c r="W284" i="20"/>
  <c r="W317" i="20"/>
  <c r="V317" i="20"/>
  <c r="X317" i="20"/>
  <c r="U317" i="20"/>
  <c r="T317" i="20"/>
  <c r="W329" i="20"/>
  <c r="V329" i="20"/>
  <c r="T329" i="20"/>
  <c r="U367" i="20"/>
  <c r="T367" i="20"/>
  <c r="X367" i="20"/>
  <c r="W367" i="20"/>
  <c r="V367" i="20"/>
  <c r="X378" i="20"/>
  <c r="W378" i="20"/>
  <c r="V378" i="20"/>
  <c r="T378" i="20"/>
  <c r="X397" i="20"/>
  <c r="V397" i="20"/>
  <c r="W397" i="20"/>
  <c r="U397" i="20"/>
  <c r="T397" i="20"/>
  <c r="X421" i="20"/>
  <c r="V421" i="20"/>
  <c r="W421" i="20"/>
  <c r="U421" i="20"/>
  <c r="T421" i="20"/>
  <c r="X221" i="20"/>
  <c r="W221" i="20"/>
  <c r="V221" i="20"/>
  <c r="R222" i="20"/>
  <c r="X225" i="20"/>
  <c r="W225" i="20"/>
  <c r="V225" i="20"/>
  <c r="R226" i="20"/>
  <c r="X229" i="20"/>
  <c r="W229" i="20"/>
  <c r="V229" i="20"/>
  <c r="R230" i="20"/>
  <c r="X233" i="20"/>
  <c r="W233" i="20"/>
  <c r="V233" i="20"/>
  <c r="R234" i="20"/>
  <c r="X237" i="20"/>
  <c r="W237" i="20"/>
  <c r="V237" i="20"/>
  <c r="R238" i="20"/>
  <c r="X241" i="20"/>
  <c r="W241" i="20"/>
  <c r="V241" i="20"/>
  <c r="R242" i="20"/>
  <c r="X245" i="20"/>
  <c r="W245" i="20"/>
  <c r="V245" i="20"/>
  <c r="R246" i="20"/>
  <c r="X249" i="20"/>
  <c r="W249" i="20"/>
  <c r="V249" i="20"/>
  <c r="R250" i="20"/>
  <c r="X253" i="20"/>
  <c r="W253" i="20"/>
  <c r="V253" i="20"/>
  <c r="R254" i="20"/>
  <c r="X257" i="20"/>
  <c r="W257" i="20"/>
  <c r="V257" i="20"/>
  <c r="R258" i="20"/>
  <c r="X261" i="20"/>
  <c r="W261" i="20"/>
  <c r="V261" i="20"/>
  <c r="R262" i="20"/>
  <c r="X265" i="20"/>
  <c r="W265" i="20"/>
  <c r="V265" i="20"/>
  <c r="X279" i="20"/>
  <c r="W279" i="20"/>
  <c r="V279" i="20"/>
  <c r="U338" i="20"/>
  <c r="T338" i="20"/>
  <c r="X338" i="20"/>
  <c r="W338" i="20"/>
  <c r="V338" i="20"/>
  <c r="X386" i="20"/>
  <c r="V386" i="20"/>
  <c r="W386" i="20"/>
  <c r="T386" i="20"/>
  <c r="X410" i="20"/>
  <c r="V410" i="20"/>
  <c r="W410" i="20"/>
  <c r="T410" i="20"/>
  <c r="X283" i="20"/>
  <c r="W283" i="20"/>
  <c r="V316" i="20"/>
  <c r="U316" i="20"/>
  <c r="X331" i="20"/>
  <c r="W331" i="20"/>
  <c r="X356" i="20"/>
  <c r="T356" i="20"/>
  <c r="X383" i="20"/>
  <c r="V383" i="20"/>
  <c r="T383" i="20"/>
  <c r="X390" i="20"/>
  <c r="V390" i="20"/>
  <c r="W390" i="20"/>
  <c r="U390" i="20"/>
  <c r="T390" i="20"/>
  <c r="X407" i="20"/>
  <c r="V407" i="20"/>
  <c r="T407" i="20"/>
  <c r="X414" i="20"/>
  <c r="V414" i="20"/>
  <c r="W414" i="20"/>
  <c r="U414" i="20"/>
  <c r="T414" i="20"/>
  <c r="X431" i="20"/>
  <c r="W431" i="20"/>
  <c r="V431" i="20"/>
  <c r="U431" i="20"/>
  <c r="T431" i="20"/>
  <c r="V276" i="20"/>
  <c r="U276" i="20"/>
  <c r="T276" i="20"/>
  <c r="X303" i="20"/>
  <c r="W303" i="20"/>
  <c r="U303" i="20"/>
  <c r="T303" i="20"/>
  <c r="T350" i="20"/>
  <c r="X350" i="20"/>
  <c r="W350" i="20"/>
  <c r="V350" i="20"/>
  <c r="W353" i="20"/>
  <c r="V353" i="20"/>
  <c r="U353" i="20"/>
  <c r="X353" i="20"/>
  <c r="T353" i="20"/>
  <c r="U362" i="20"/>
  <c r="X403" i="20"/>
  <c r="V403" i="20"/>
  <c r="W403" i="20"/>
  <c r="U403" i="20"/>
  <c r="T403" i="20"/>
  <c r="X427" i="20"/>
  <c r="V427" i="20"/>
  <c r="W427" i="20"/>
  <c r="U427" i="20"/>
  <c r="T427" i="20"/>
  <c r="X220" i="20"/>
  <c r="W220" i="20"/>
  <c r="V220" i="20"/>
  <c r="X224" i="20"/>
  <c r="W224" i="20"/>
  <c r="V224" i="20"/>
  <c r="X228" i="20"/>
  <c r="W228" i="20"/>
  <c r="V228" i="20"/>
  <c r="X232" i="20"/>
  <c r="W232" i="20"/>
  <c r="V232" i="20"/>
  <c r="X236" i="20"/>
  <c r="W236" i="20"/>
  <c r="V236" i="20"/>
  <c r="X240" i="20"/>
  <c r="W240" i="20"/>
  <c r="V240" i="20"/>
  <c r="X244" i="20"/>
  <c r="W244" i="20"/>
  <c r="V244" i="20"/>
  <c r="X248" i="20"/>
  <c r="W248" i="20"/>
  <c r="V248" i="20"/>
  <c r="X252" i="20"/>
  <c r="W252" i="20"/>
  <c r="V252" i="20"/>
  <c r="X256" i="20"/>
  <c r="W256" i="20"/>
  <c r="V256" i="20"/>
  <c r="X260" i="20"/>
  <c r="W260" i="20"/>
  <c r="V260" i="20"/>
  <c r="X264" i="20"/>
  <c r="W264" i="20"/>
  <c r="V264" i="20"/>
  <c r="X268" i="20"/>
  <c r="W268" i="20"/>
  <c r="X282" i="20"/>
  <c r="W282" i="20"/>
  <c r="V313" i="20"/>
  <c r="W325" i="20"/>
  <c r="V325" i="20"/>
  <c r="U325" i="20"/>
  <c r="T325" i="20"/>
  <c r="U329" i="20"/>
  <c r="X357" i="20"/>
  <c r="X361" i="20"/>
  <c r="W361" i="20"/>
  <c r="V361" i="20"/>
  <c r="T361" i="20"/>
  <c r="W362" i="20"/>
  <c r="X368" i="20"/>
  <c r="W368" i="20"/>
  <c r="V368" i="20"/>
  <c r="U378" i="20"/>
  <c r="X392" i="20"/>
  <c r="V392" i="20"/>
  <c r="W392" i="20"/>
  <c r="T392" i="20"/>
  <c r="U401" i="20"/>
  <c r="X416" i="20"/>
  <c r="V416" i="20"/>
  <c r="W416" i="20"/>
  <c r="T416" i="20"/>
  <c r="U425" i="20"/>
  <c r="X364" i="20"/>
  <c r="W364" i="20"/>
  <c r="V364" i="20"/>
  <c r="X380" i="20"/>
  <c r="W380" i="20"/>
  <c r="V380" i="20"/>
  <c r="T380" i="20"/>
  <c r="T364" i="20"/>
  <c r="X388" i="20"/>
  <c r="V388" i="20"/>
  <c r="X394" i="20"/>
  <c r="V394" i="20"/>
  <c r="X400" i="20"/>
  <c r="V400" i="20"/>
  <c r="X406" i="20"/>
  <c r="V406" i="20"/>
  <c r="X412" i="20"/>
  <c r="V412" i="20"/>
  <c r="X418" i="20"/>
  <c r="V418" i="20"/>
  <c r="X424" i="20"/>
  <c r="V424" i="20"/>
  <c r="X430" i="20"/>
  <c r="V430" i="20"/>
  <c r="W302" i="20"/>
  <c r="V302" i="20"/>
  <c r="W340" i="20"/>
  <c r="V340" i="20"/>
  <c r="U340" i="20"/>
  <c r="U364" i="20"/>
  <c r="T369" i="20"/>
  <c r="X379" i="20"/>
  <c r="W379" i="20"/>
  <c r="V379" i="20"/>
  <c r="T379" i="20"/>
  <c r="X382" i="20"/>
  <c r="V382" i="20"/>
  <c r="V315" i="20"/>
  <c r="U315" i="20"/>
  <c r="V328" i="20"/>
  <c r="U328" i="20"/>
  <c r="V352" i="20"/>
  <c r="U352" i="20"/>
  <c r="T352" i="20"/>
  <c r="X355" i="20"/>
  <c r="W355" i="20"/>
  <c r="V363" i="20"/>
  <c r="U363" i="20"/>
  <c r="T363" i="20"/>
  <c r="U369" i="20"/>
  <c r="U380" i="20"/>
  <c r="X387" i="20"/>
  <c r="V387" i="20"/>
  <c r="X393" i="20"/>
  <c r="V393" i="20"/>
  <c r="X399" i="20"/>
  <c r="V399" i="20"/>
  <c r="X405" i="20"/>
  <c r="V405" i="20"/>
  <c r="X411" i="20"/>
  <c r="V411" i="20"/>
  <c r="X417" i="20"/>
  <c r="V417" i="20"/>
  <c r="X423" i="20"/>
  <c r="V423" i="20"/>
  <c r="X429" i="20"/>
  <c r="V429" i="20"/>
  <c r="T376" i="20"/>
  <c r="U376" i="20"/>
  <c r="O363" i="20"/>
  <c r="O364" i="20"/>
  <c r="O365" i="20"/>
  <c r="O366" i="20"/>
  <c r="O367" i="20"/>
  <c r="O368" i="20"/>
  <c r="O369" i="20"/>
  <c r="O375" i="20"/>
  <c r="O376" i="20"/>
  <c r="O432" i="20"/>
  <c r="R365" i="20"/>
  <c r="R366" i="20"/>
  <c r="R367" i="20"/>
  <c r="R368" i="20"/>
  <c r="R369" i="20"/>
  <c r="R376" i="20"/>
  <c r="R432" i="20"/>
  <c r="J185" i="3"/>
  <c r="L185" i="3" s="1"/>
  <c r="E301" i="3"/>
  <c r="Q31" i="18"/>
  <c r="R31" i="18" s="1"/>
  <c r="K36" i="17" s="1"/>
  <c r="O31" i="18"/>
  <c r="P31" i="18" s="1"/>
  <c r="L31" i="18"/>
  <c r="N31" i="18" s="1"/>
  <c r="K226" i="57"/>
  <c r="L226" i="57" s="1"/>
  <c r="M226" i="57" s="1"/>
  <c r="H294" i="56" s="1"/>
  <c r="K223" i="57"/>
  <c r="L223" i="57" s="1"/>
  <c r="M223" i="57" s="1"/>
  <c r="H291" i="56" s="1"/>
  <c r="K227" i="57"/>
  <c r="L227" i="57" s="1"/>
  <c r="M227" i="57" s="1"/>
  <c r="H295" i="56" s="1"/>
  <c r="K238" i="57"/>
  <c r="L238" i="57" s="1"/>
  <c r="M238" i="57" s="1"/>
  <c r="H306" i="56" s="1"/>
  <c r="K224" i="57"/>
  <c r="L224" i="57" s="1"/>
  <c r="M224" i="57" s="1"/>
  <c r="H292" i="56" s="1"/>
  <c r="K239" i="57"/>
  <c r="L239" i="57" s="1"/>
  <c r="M239" i="57" s="1"/>
  <c r="H307" i="56" s="1"/>
  <c r="K235" i="57"/>
  <c r="L235" i="57" s="1"/>
  <c r="M235" i="57" s="1"/>
  <c r="H303" i="56" s="1"/>
  <c r="K236" i="57"/>
  <c r="L236" i="57" s="1"/>
  <c r="M236" i="57" s="1"/>
  <c r="H304" i="56" s="1"/>
  <c r="L233" i="57"/>
  <c r="M233" i="57" s="1"/>
  <c r="H301" i="56" s="1"/>
  <c r="Y170" i="57"/>
  <c r="Z170" i="57" s="1"/>
  <c r="Y158" i="57"/>
  <c r="Z158" i="57" s="1"/>
  <c r="L234" i="57"/>
  <c r="M234" i="57" s="1"/>
  <c r="H302" i="56" s="1"/>
  <c r="L237" i="57"/>
  <c r="M237" i="57" s="1"/>
  <c r="H305" i="56" s="1"/>
  <c r="L232" i="57"/>
  <c r="M232" i="57" s="1"/>
  <c r="H300" i="56" s="1"/>
  <c r="L225" i="57"/>
  <c r="M225" i="57" s="1"/>
  <c r="H293" i="56" s="1"/>
  <c r="L228" i="57"/>
  <c r="M228" i="57" s="1"/>
  <c r="H296" i="56" s="1"/>
  <c r="L231" i="57"/>
  <c r="M231" i="57" s="1"/>
  <c r="H299" i="56" s="1"/>
  <c r="L221" i="57"/>
  <c r="M221" i="57" s="1"/>
  <c r="H289" i="56" s="1"/>
  <c r="L230" i="57"/>
  <c r="M230" i="57" s="1"/>
  <c r="H298" i="56" s="1"/>
  <c r="L219" i="57"/>
  <c r="M219" i="57" s="1"/>
  <c r="H287" i="56" s="1"/>
  <c r="L229" i="57"/>
  <c r="M229" i="57" s="1"/>
  <c r="H297" i="56" s="1"/>
  <c r="L220" i="57"/>
  <c r="M220" i="57" s="1"/>
  <c r="H288" i="56" s="1"/>
  <c r="Y197" i="57"/>
  <c r="Z197" i="57" s="1"/>
  <c r="Y185" i="57"/>
  <c r="Z185" i="57" s="1"/>
  <c r="Y178" i="57"/>
  <c r="Z178" i="57" s="1"/>
  <c r="Y166" i="57"/>
  <c r="Z166" i="57" s="1"/>
  <c r="Y167" i="57"/>
  <c r="Z167" i="57" s="1"/>
  <c r="Y129" i="57"/>
  <c r="Z129" i="57" s="1"/>
  <c r="Y164" i="57"/>
  <c r="Z164" i="57" s="1"/>
  <c r="L222" i="57"/>
  <c r="M222" i="57" s="1"/>
  <c r="H290" i="56" s="1"/>
  <c r="Y195" i="57"/>
  <c r="Z195" i="57" s="1"/>
  <c r="Y183" i="57"/>
  <c r="Z183" i="57" s="1"/>
  <c r="Y207" i="57"/>
  <c r="Z207" i="57" s="1"/>
  <c r="Y108" i="57"/>
  <c r="Z108" i="57" s="1"/>
  <c r="Y130" i="57"/>
  <c r="Z130" i="57" s="1"/>
  <c r="Y118" i="57"/>
  <c r="Z118" i="57" s="1"/>
  <c r="Y198" i="57"/>
  <c r="Z198" i="57" s="1"/>
  <c r="Y184" i="57"/>
  <c r="Z184" i="57" s="1"/>
  <c r="Y119" i="57"/>
  <c r="Z119" i="57" s="1"/>
  <c r="Y132" i="57"/>
  <c r="Z132" i="57" s="1"/>
  <c r="Y196" i="57"/>
  <c r="Z196" i="57" s="1"/>
  <c r="Y115" i="57"/>
  <c r="Z115" i="57" s="1"/>
  <c r="Y133" i="57"/>
  <c r="Z133" i="57" s="1"/>
  <c r="Y121" i="57"/>
  <c r="Z121" i="57" s="1"/>
  <c r="Y109" i="57"/>
  <c r="Z109" i="57" s="1"/>
  <c r="Y179" i="57"/>
  <c r="Z179" i="57" s="1"/>
  <c r="Y190" i="57"/>
  <c r="Z190" i="57" s="1"/>
  <c r="Y202" i="57"/>
  <c r="Z202" i="57" s="1"/>
  <c r="Y203" i="57"/>
  <c r="Z203" i="57" s="1"/>
  <c r="Y177" i="57"/>
  <c r="Z177" i="57" s="1"/>
  <c r="Y165" i="57"/>
  <c r="Z165" i="57" s="1"/>
  <c r="Y153" i="57"/>
  <c r="Z153" i="57" s="1"/>
  <c r="Y199" i="57"/>
  <c r="Z199" i="57" s="1"/>
  <c r="Y122" i="57"/>
  <c r="Z122" i="57" s="1"/>
  <c r="Y189" i="57"/>
  <c r="Z189" i="57" s="1"/>
  <c r="Y201" i="57"/>
  <c r="Z201" i="57" s="1"/>
  <c r="Y148" i="57"/>
  <c r="Z148" i="57" s="1"/>
  <c r="Y112" i="57"/>
  <c r="Z112" i="57" s="1"/>
  <c r="Y110" i="57"/>
  <c r="Z110" i="57" s="1"/>
  <c r="Y188" i="57"/>
  <c r="Z188" i="57" s="1"/>
  <c r="Y200" i="57"/>
  <c r="Z200" i="57" s="1"/>
  <c r="Y111" i="57"/>
  <c r="Z111" i="57" s="1"/>
  <c r="Y136" i="57"/>
  <c r="Z136" i="57" s="1"/>
  <c r="Y171" i="57"/>
  <c r="Z171" i="57" s="1"/>
  <c r="Y159" i="57"/>
  <c r="Z159" i="57" s="1"/>
  <c r="Y138" i="57"/>
  <c r="Z138" i="57" s="1"/>
  <c r="Y173" i="57"/>
  <c r="Z173" i="57" s="1"/>
  <c r="Y151" i="57"/>
  <c r="Z151" i="57" s="1"/>
  <c r="Y139" i="57"/>
  <c r="Z139" i="57" s="1"/>
  <c r="Y174" i="57"/>
  <c r="Z174" i="57" s="1"/>
  <c r="Y162" i="57"/>
  <c r="Z162" i="57" s="1"/>
  <c r="Y149" i="57"/>
  <c r="Z149" i="57" s="1"/>
  <c r="Y137" i="57"/>
  <c r="Z137" i="57" s="1"/>
  <c r="Y172" i="57"/>
  <c r="Z172" i="57" s="1"/>
  <c r="Y160" i="57"/>
  <c r="Z160" i="57" s="1"/>
  <c r="Y150" i="57"/>
  <c r="Z150" i="57" s="1"/>
  <c r="Y161" i="57"/>
  <c r="Z161" i="57" s="1"/>
  <c r="Y152" i="57"/>
  <c r="Z152" i="57" s="1"/>
  <c r="Y140" i="57"/>
  <c r="Z140" i="57" s="1"/>
  <c r="Y163" i="57"/>
  <c r="Z163" i="57" s="1"/>
  <c r="J188" i="3"/>
  <c r="L188" i="3" s="1"/>
  <c r="G61" i="12"/>
  <c r="E188" i="3"/>
  <c r="E185" i="3"/>
  <c r="E187" i="3"/>
  <c r="J186" i="3"/>
  <c r="L186" i="3" s="1"/>
  <c r="J184" i="3"/>
  <c r="L184" i="3" s="1"/>
  <c r="J187" i="3"/>
  <c r="L187" i="3" s="1"/>
  <c r="E186" i="3"/>
  <c r="E189" i="3"/>
  <c r="I125" i="18"/>
  <c r="T124" i="18"/>
  <c r="T136" i="18"/>
  <c r="T162" i="18"/>
  <c r="U122" i="18"/>
  <c r="U140" i="18"/>
  <c r="U168" i="18"/>
  <c r="I148" i="18"/>
  <c r="I124" i="18"/>
  <c r="I123" i="18"/>
  <c r="I141" i="18"/>
  <c r="I150" i="18"/>
  <c r="I134" i="18"/>
  <c r="I145" i="18"/>
  <c r="I152" i="18"/>
  <c r="I140" i="18"/>
  <c r="S119" i="18"/>
  <c r="S121" i="18"/>
  <c r="S123" i="18"/>
  <c r="T157" i="18"/>
  <c r="S173" i="18"/>
  <c r="T187" i="18"/>
  <c r="S191" i="18"/>
  <c r="S213" i="18"/>
  <c r="I149" i="18"/>
  <c r="I142" i="18"/>
  <c r="I151" i="18"/>
  <c r="I153" i="18"/>
  <c r="I133" i="18"/>
  <c r="I143" i="18"/>
  <c r="I131" i="18"/>
  <c r="I130" i="18"/>
  <c r="I144" i="18"/>
  <c r="I132" i="18"/>
  <c r="I129" i="18"/>
  <c r="I136" i="18"/>
  <c r="I147" i="18"/>
  <c r="I135" i="18"/>
  <c r="I154" i="18"/>
  <c r="I146" i="18"/>
  <c r="I128" i="18"/>
  <c r="S156" i="18"/>
  <c r="U170" i="18"/>
  <c r="T184" i="18"/>
  <c r="S188" i="18"/>
  <c r="T190" i="18"/>
  <c r="I139" i="18"/>
  <c r="I127" i="18"/>
  <c r="I138" i="18"/>
  <c r="I126" i="18"/>
  <c r="I137" i="18"/>
  <c r="K287" i="3"/>
  <c r="F302" i="3" s="1"/>
  <c r="L287" i="3"/>
  <c r="L288" i="3" s="1"/>
  <c r="M184" i="3"/>
  <c r="K286" i="3" s="1"/>
  <c r="Q164" i="18"/>
  <c r="O164" i="18"/>
  <c r="U136" i="18"/>
  <c r="W140" i="18"/>
  <c r="X140" i="18" s="1"/>
  <c r="W165" i="18"/>
  <c r="X165" i="18" s="1"/>
  <c r="U213" i="18"/>
  <c r="I157" i="18"/>
  <c r="T123" i="18"/>
  <c r="P164" i="18"/>
  <c r="R161" i="18"/>
  <c r="T192" i="18"/>
  <c r="P161" i="18"/>
  <c r="W192" i="18"/>
  <c r="X192" i="18" s="1"/>
  <c r="L183" i="18"/>
  <c r="P148" i="18"/>
  <c r="R137" i="18"/>
  <c r="Q183" i="18"/>
  <c r="W117" i="18"/>
  <c r="S137" i="18"/>
  <c r="O165" i="18"/>
  <c r="O180" i="18"/>
  <c r="R183" i="18"/>
  <c r="L119" i="18"/>
  <c r="W124" i="18"/>
  <c r="X124" i="18" s="1"/>
  <c r="J80" i="17" s="1"/>
  <c r="Q165" i="18"/>
  <c r="P180" i="18"/>
  <c r="K148" i="18"/>
  <c r="Q206" i="18"/>
  <c r="P122" i="18"/>
  <c r="L148" i="18"/>
  <c r="Q122" i="18"/>
  <c r="Q137" i="18"/>
  <c r="S170" i="18"/>
  <c r="O183" i="18"/>
  <c r="W122" i="18"/>
  <c r="Q148" i="18"/>
  <c r="W170" i="18"/>
  <c r="X170" i="18" s="1"/>
  <c r="O119" i="18"/>
  <c r="S136" i="18"/>
  <c r="M164" i="18"/>
  <c r="R165" i="18"/>
  <c r="R180" i="18"/>
  <c r="I182" i="18"/>
  <c r="I193" i="18"/>
  <c r="R164" i="18"/>
  <c r="L127" i="18"/>
  <c r="S143" i="18"/>
  <c r="Q180" i="18"/>
  <c r="M127" i="18"/>
  <c r="O127" i="18"/>
  <c r="O203" i="18"/>
  <c r="I156" i="18"/>
  <c r="I158" i="18"/>
  <c r="K122" i="18"/>
  <c r="L124" i="18"/>
  <c r="O125" i="18"/>
  <c r="P126" i="18"/>
  <c r="P127" i="18"/>
  <c r="W156" i="18"/>
  <c r="X156" i="18" s="1"/>
  <c r="R175" i="18"/>
  <c r="R203" i="18"/>
  <c r="W143" i="18"/>
  <c r="X143" i="18" s="1"/>
  <c r="M125" i="18"/>
  <c r="L122" i="18"/>
  <c r="Q123" i="18"/>
  <c r="M124" i="18"/>
  <c r="P125" i="18"/>
  <c r="S126" i="18"/>
  <c r="Q127" i="18"/>
  <c r="L126" i="18"/>
  <c r="T156" i="18"/>
  <c r="K124" i="18"/>
  <c r="Q175" i="18"/>
  <c r="M122" i="18"/>
  <c r="R123" i="18"/>
  <c r="O124" i="18"/>
  <c r="Q125" i="18"/>
  <c r="T126" i="18"/>
  <c r="I183" i="18"/>
  <c r="M126" i="18"/>
  <c r="U156" i="18"/>
  <c r="K119" i="18"/>
  <c r="O122" i="18"/>
  <c r="U124" i="18"/>
  <c r="I194" i="18"/>
  <c r="L164" i="18"/>
  <c r="R184" i="18"/>
  <c r="W213" i="18"/>
  <c r="X213" i="18" s="1"/>
  <c r="I177" i="18"/>
  <c r="I176" i="18"/>
  <c r="P141" i="18"/>
  <c r="W142" i="18"/>
  <c r="X142" i="18" s="1"/>
  <c r="Q147" i="18"/>
  <c r="M154" i="18"/>
  <c r="T160" i="18"/>
  <c r="L176" i="18"/>
  <c r="S187" i="18"/>
  <c r="L206" i="18"/>
  <c r="Q207" i="18"/>
  <c r="M214" i="18"/>
  <c r="O215" i="18"/>
  <c r="O216" i="18"/>
  <c r="I178" i="18"/>
  <c r="R142" i="18"/>
  <c r="M147" i="18"/>
  <c r="O177" i="18"/>
  <c r="I175" i="18"/>
  <c r="R129" i="18"/>
  <c r="T142" i="18"/>
  <c r="T138" i="18"/>
  <c r="Q141" i="18"/>
  <c r="O154" i="18"/>
  <c r="U157" i="18"/>
  <c r="U160" i="18"/>
  <c r="S171" i="18"/>
  <c r="O176" i="18"/>
  <c r="M206" i="18"/>
  <c r="R207" i="18"/>
  <c r="O214" i="18"/>
  <c r="P215" i="18"/>
  <c r="T140" i="18"/>
  <c r="R141" i="18"/>
  <c r="Q154" i="18"/>
  <c r="I207" i="18"/>
  <c r="P159" i="18"/>
  <c r="T171" i="18"/>
  <c r="O184" i="18"/>
  <c r="O206" i="18"/>
  <c r="Q214" i="18"/>
  <c r="Q215" i="18"/>
  <c r="I213" i="18"/>
  <c r="P129" i="18"/>
  <c r="S142" i="18"/>
  <c r="O147" i="18"/>
  <c r="P160" i="18"/>
  <c r="P177" i="18"/>
  <c r="L215" i="18"/>
  <c r="L216" i="18"/>
  <c r="O141" i="18"/>
  <c r="P147" i="18"/>
  <c r="S160" i="18"/>
  <c r="Q177" i="18"/>
  <c r="Q185" i="18"/>
  <c r="M207" i="18"/>
  <c r="M215" i="18"/>
  <c r="K126" i="18"/>
  <c r="K127" i="18"/>
  <c r="O175" i="18"/>
  <c r="Q184" i="18"/>
  <c r="P206" i="18"/>
  <c r="R214" i="18"/>
  <c r="W215" i="18"/>
  <c r="X215" i="18" s="1"/>
  <c r="U196" i="18"/>
  <c r="R196" i="18"/>
  <c r="Q196" i="18"/>
  <c r="L196" i="18"/>
  <c r="O196" i="18"/>
  <c r="M196" i="18"/>
  <c r="L163" i="18"/>
  <c r="U163" i="18"/>
  <c r="W163" i="18"/>
  <c r="X163" i="18" s="1"/>
  <c r="I204" i="18"/>
  <c r="I205" i="18"/>
  <c r="I188" i="18"/>
  <c r="S152" i="18"/>
  <c r="R152" i="18"/>
  <c r="O152" i="18"/>
  <c r="S179" i="18"/>
  <c r="W179" i="18"/>
  <c r="X179" i="18" s="1"/>
  <c r="U179" i="18"/>
  <c r="S135" i="18"/>
  <c r="U135" i="18"/>
  <c r="Q135" i="18"/>
  <c r="T135" i="18"/>
  <c r="I212" i="18"/>
  <c r="I171" i="18"/>
  <c r="I197" i="18"/>
  <c r="I170" i="18"/>
  <c r="I215" i="18"/>
  <c r="P197" i="18"/>
  <c r="O197" i="18"/>
  <c r="L197" i="18"/>
  <c r="K197" i="18"/>
  <c r="M197" i="18"/>
  <c r="I169" i="18"/>
  <c r="I181" i="18"/>
  <c r="I159" i="18"/>
  <c r="I160" i="18"/>
  <c r="I201" i="18"/>
  <c r="I172" i="18"/>
  <c r="I187" i="18"/>
  <c r="R205" i="18"/>
  <c r="U205" i="18"/>
  <c r="I174" i="18"/>
  <c r="I168" i="18"/>
  <c r="W145" i="18"/>
  <c r="X145" i="18" s="1"/>
  <c r="R145" i="18"/>
  <c r="Q145" i="18"/>
  <c r="P145" i="18"/>
  <c r="L145" i="18"/>
  <c r="O145" i="18"/>
  <c r="M145" i="18"/>
  <c r="I202" i="18"/>
  <c r="I203" i="18"/>
  <c r="I165" i="18"/>
  <c r="I190" i="18"/>
  <c r="I199" i="18"/>
  <c r="I173" i="18"/>
  <c r="W146" i="18"/>
  <c r="X146" i="18" s="1"/>
  <c r="K146" i="18"/>
  <c r="U146" i="18"/>
  <c r="I192" i="18"/>
  <c r="I211" i="18"/>
  <c r="I214" i="18"/>
  <c r="I206" i="18"/>
  <c r="I179" i="18"/>
  <c r="K139" i="18"/>
  <c r="W139" i="18"/>
  <c r="X139" i="18" s="1"/>
  <c r="L139" i="18"/>
  <c r="I198" i="18"/>
  <c r="I200" i="18"/>
  <c r="I208" i="18"/>
  <c r="I216" i="18"/>
  <c r="I195" i="18"/>
  <c r="W126" i="18"/>
  <c r="X126" i="18" s="1"/>
  <c r="J82" i="17" s="1"/>
  <c r="I164" i="18"/>
  <c r="I184" i="18"/>
  <c r="S163" i="18"/>
  <c r="I191" i="18"/>
  <c r="I167" i="18"/>
  <c r="I155" i="18"/>
  <c r="U126" i="18"/>
  <c r="I189" i="18"/>
  <c r="R144" i="18"/>
  <c r="R162" i="18"/>
  <c r="O172" i="18"/>
  <c r="M195" i="18"/>
  <c r="I163" i="18"/>
  <c r="L129" i="18"/>
  <c r="P138" i="18"/>
  <c r="S144" i="18"/>
  <c r="S162" i="18"/>
  <c r="R172" i="18"/>
  <c r="L178" i="18"/>
  <c r="L185" i="18"/>
  <c r="Q188" i="18"/>
  <c r="O195" i="18"/>
  <c r="U204" i="18"/>
  <c r="I210" i="18"/>
  <c r="I186" i="18"/>
  <c r="I162" i="18"/>
  <c r="M129" i="18"/>
  <c r="Q138" i="18"/>
  <c r="L142" i="18"/>
  <c r="Q143" i="18"/>
  <c r="T144" i="18"/>
  <c r="K154" i="18"/>
  <c r="L161" i="18"/>
  <c r="L177" i="18"/>
  <c r="M178" i="18"/>
  <c r="O185" i="18"/>
  <c r="P195" i="18"/>
  <c r="I209" i="18"/>
  <c r="I185" i="18"/>
  <c r="I161" i="18"/>
  <c r="I180" i="18"/>
  <c r="I166" i="18"/>
  <c r="O129" i="18"/>
  <c r="R138" i="18"/>
  <c r="P142" i="18"/>
  <c r="U144" i="18"/>
  <c r="L154" i="18"/>
  <c r="O160" i="18"/>
  <c r="M161" i="18"/>
  <c r="R171" i="18"/>
  <c r="M177" i="18"/>
  <c r="O178" i="18"/>
  <c r="K184" i="18"/>
  <c r="P185" i="18"/>
  <c r="Q195" i="18"/>
  <c r="L207" i="18"/>
  <c r="I196" i="18"/>
  <c r="T119" i="18"/>
  <c r="U119" i="18"/>
  <c r="Q119" i="18"/>
  <c r="Q117" i="18"/>
  <c r="T121" i="18"/>
  <c r="U121" i="18"/>
  <c r="O120" i="18"/>
  <c r="L120" i="18"/>
  <c r="M120" i="18"/>
  <c r="P120" i="18"/>
  <c r="Q120" i="18"/>
  <c r="M119" i="18"/>
  <c r="W119" i="18"/>
  <c r="S118" i="18"/>
  <c r="L117" i="18"/>
  <c r="M117" i="18"/>
  <c r="O117" i="18"/>
  <c r="K117" i="18"/>
  <c r="P117" i="18"/>
  <c r="I39" i="27"/>
  <c r="F147" i="27" s="1"/>
  <c r="Q140" i="57"/>
  <c r="Q195" i="57"/>
  <c r="Q183" i="57"/>
  <c r="Q171" i="57"/>
  <c r="Q159" i="57"/>
  <c r="Q202" i="57"/>
  <c r="T151" i="18"/>
  <c r="S151" i="18"/>
  <c r="R151" i="18"/>
  <c r="P151" i="18"/>
  <c r="O151" i="18"/>
  <c r="L151" i="18"/>
  <c r="R158" i="18"/>
  <c r="Q158" i="18"/>
  <c r="O158" i="18"/>
  <c r="T130" i="18"/>
  <c r="S130" i="18"/>
  <c r="R130" i="18"/>
  <c r="K130" i="18"/>
  <c r="P130" i="18"/>
  <c r="O130" i="18"/>
  <c r="K168" i="18"/>
  <c r="O168" i="18"/>
  <c r="M168" i="18"/>
  <c r="L168" i="18"/>
  <c r="W168" i="18"/>
  <c r="X168" i="18" s="1"/>
  <c r="T188" i="18"/>
  <c r="M188" i="18"/>
  <c r="L188" i="18"/>
  <c r="K188" i="18"/>
  <c r="U188" i="18"/>
  <c r="W188" i="18"/>
  <c r="X188" i="18" s="1"/>
  <c r="O123" i="18"/>
  <c r="M123" i="18"/>
  <c r="L123" i="18"/>
  <c r="K123" i="18"/>
  <c r="W123" i="18"/>
  <c r="X123" i="18" s="1"/>
  <c r="J79" i="17" s="1"/>
  <c r="U123" i="18"/>
  <c r="L125" i="18"/>
  <c r="K125" i="18"/>
  <c r="W125" i="18"/>
  <c r="X125" i="18" s="1"/>
  <c r="J81" i="17" s="1"/>
  <c r="U125" i="18"/>
  <c r="T125" i="18"/>
  <c r="S125" i="18"/>
  <c r="S158" i="18"/>
  <c r="T179" i="18"/>
  <c r="Q179" i="18"/>
  <c r="P179" i="18"/>
  <c r="O179" i="18"/>
  <c r="M179" i="18"/>
  <c r="K179" i="18"/>
  <c r="L179" i="18"/>
  <c r="S192" i="18"/>
  <c r="Q211" i="18"/>
  <c r="O211" i="18"/>
  <c r="M211" i="18"/>
  <c r="L211" i="18"/>
  <c r="K211" i="18"/>
  <c r="U117" i="18"/>
  <c r="U217" i="18"/>
  <c r="U178" i="18"/>
  <c r="U176" i="18"/>
  <c r="U195" i="18"/>
  <c r="U161" i="18"/>
  <c r="U214" i="18"/>
  <c r="R135" i="18"/>
  <c r="P135" i="18"/>
  <c r="O135" i="18"/>
  <c r="M135" i="18"/>
  <c r="L135" i="18"/>
  <c r="K135" i="18"/>
  <c r="W135" i="18"/>
  <c r="X135" i="18" s="1"/>
  <c r="T139" i="18"/>
  <c r="W152" i="18"/>
  <c r="X152" i="18" s="1"/>
  <c r="M152" i="18"/>
  <c r="L152" i="18"/>
  <c r="K152" i="18"/>
  <c r="T158" i="18"/>
  <c r="U167" i="18"/>
  <c r="S167" i="18"/>
  <c r="R167" i="18"/>
  <c r="Q167" i="18"/>
  <c r="S203" i="18"/>
  <c r="K213" i="18"/>
  <c r="Q213" i="18"/>
  <c r="P213" i="18"/>
  <c r="O213" i="18"/>
  <c r="M213" i="18"/>
  <c r="L213" i="18"/>
  <c r="K186" i="18"/>
  <c r="U186" i="18"/>
  <c r="S186" i="18"/>
  <c r="Q186" i="18"/>
  <c r="P186" i="18"/>
  <c r="L186" i="18"/>
  <c r="O186" i="18"/>
  <c r="M186" i="18"/>
  <c r="U210" i="18"/>
  <c r="T210" i="18"/>
  <c r="S210" i="18"/>
  <c r="Q210" i="18"/>
  <c r="R210" i="18"/>
  <c r="O210" i="18"/>
  <c r="M118" i="18"/>
  <c r="L118" i="18"/>
  <c r="K118" i="18"/>
  <c r="W118" i="18"/>
  <c r="T118" i="18"/>
  <c r="U118" i="18"/>
  <c r="M133" i="18"/>
  <c r="L133" i="18"/>
  <c r="K133" i="18"/>
  <c r="W212" i="18"/>
  <c r="X212" i="18" s="1"/>
  <c r="U212" i="18"/>
  <c r="S212" i="18"/>
  <c r="O212" i="18"/>
  <c r="L212" i="18"/>
  <c r="U199" i="18"/>
  <c r="T199" i="18"/>
  <c r="S199" i="18"/>
  <c r="L199" i="18"/>
  <c r="K199" i="18"/>
  <c r="R201" i="18"/>
  <c r="Q201" i="18"/>
  <c r="O201" i="18"/>
  <c r="L201" i="18"/>
  <c r="Q121" i="18"/>
  <c r="P121" i="18"/>
  <c r="O121" i="18"/>
  <c r="M121" i="18"/>
  <c r="W121" i="18"/>
  <c r="X121" i="18" s="1"/>
  <c r="J77" i="17" s="1"/>
  <c r="L121" i="18"/>
  <c r="K121" i="18"/>
  <c r="U151" i="18"/>
  <c r="M191" i="18"/>
  <c r="L191" i="18"/>
  <c r="K191" i="18"/>
  <c r="K204" i="18"/>
  <c r="Q204" i="18"/>
  <c r="P204" i="18"/>
  <c r="O204" i="18"/>
  <c r="M204" i="18"/>
  <c r="L204" i="18"/>
  <c r="J188" i="18"/>
  <c r="S117" i="18"/>
  <c r="S215" i="18"/>
  <c r="S207" i="18"/>
  <c r="S165" i="18"/>
  <c r="S180" i="18"/>
  <c r="S217" i="18"/>
  <c r="S148" i="18"/>
  <c r="S183" i="18"/>
  <c r="S176" i="18"/>
  <c r="S195" i="18"/>
  <c r="S132" i="18"/>
  <c r="R132" i="18"/>
  <c r="Q132" i="18"/>
  <c r="P132" i="18"/>
  <c r="K132" i="18"/>
  <c r="S141" i="18"/>
  <c r="W150" i="18"/>
  <c r="X150" i="18" s="1"/>
  <c r="T150" i="18"/>
  <c r="S150" i="18"/>
  <c r="R150" i="18"/>
  <c r="R156" i="18"/>
  <c r="P156" i="18"/>
  <c r="O156" i="18"/>
  <c r="M156" i="18"/>
  <c r="L156" i="18"/>
  <c r="K156" i="18"/>
  <c r="S159" i="18"/>
  <c r="S216" i="18"/>
  <c r="T117" i="18"/>
  <c r="T122" i="18"/>
  <c r="T217" i="18"/>
  <c r="T147" i="18"/>
  <c r="T161" i="18"/>
  <c r="T159" i="18"/>
  <c r="P118" i="18"/>
  <c r="W130" i="18"/>
  <c r="P133" i="18"/>
  <c r="T163" i="18"/>
  <c r="P168" i="18"/>
  <c r="T170" i="18"/>
  <c r="Q170" i="18"/>
  <c r="P170" i="18"/>
  <c r="O170" i="18"/>
  <c r="M170" i="18"/>
  <c r="L170" i="18"/>
  <c r="K170" i="18"/>
  <c r="T174" i="18"/>
  <c r="W174" i="18"/>
  <c r="X174" i="18" s="1"/>
  <c r="R187" i="18"/>
  <c r="Q187" i="18"/>
  <c r="O187" i="18"/>
  <c r="M187" i="18"/>
  <c r="S190" i="18"/>
  <c r="R190" i="18"/>
  <c r="O190" i="18"/>
  <c r="L190" i="18"/>
  <c r="K190" i="18"/>
  <c r="U192" i="18"/>
  <c r="S198" i="18"/>
  <c r="R198" i="18"/>
  <c r="Q198" i="18"/>
  <c r="P198" i="18"/>
  <c r="M198" i="18"/>
  <c r="O198" i="18"/>
  <c r="Q200" i="18"/>
  <c r="P200" i="18"/>
  <c r="O200" i="18"/>
  <c r="M200" i="18"/>
  <c r="K200" i="18"/>
  <c r="L200" i="18"/>
  <c r="S201" i="18"/>
  <c r="S205" i="18"/>
  <c r="Q118" i="18"/>
  <c r="S128" i="18"/>
  <c r="W128" i="18"/>
  <c r="X128" i="18" s="1"/>
  <c r="J84" i="17" s="1"/>
  <c r="U128" i="18"/>
  <c r="Q133" i="18"/>
  <c r="Q168" i="18"/>
  <c r="S172" i="18"/>
  <c r="O188" i="18"/>
  <c r="O191" i="18"/>
  <c r="S197" i="18"/>
  <c r="T205" i="18"/>
  <c r="R118" i="18"/>
  <c r="R121" i="18"/>
  <c r="P123" i="18"/>
  <c r="U131" i="18"/>
  <c r="R131" i="18"/>
  <c r="Q131" i="18"/>
  <c r="P131" i="18"/>
  <c r="O131" i="18"/>
  <c r="T132" i="18"/>
  <c r="W133" i="18"/>
  <c r="X133" i="18" s="1"/>
  <c r="S138" i="18"/>
  <c r="R140" i="18"/>
  <c r="Q140" i="18"/>
  <c r="S147" i="18"/>
  <c r="U155" i="18"/>
  <c r="T155" i="18"/>
  <c r="S155" i="18"/>
  <c r="R155" i="18"/>
  <c r="K155" i="18"/>
  <c r="Q155" i="18"/>
  <c r="Q156" i="18"/>
  <c r="M159" i="18"/>
  <c r="L159" i="18"/>
  <c r="K159" i="18"/>
  <c r="S168" i="18"/>
  <c r="T172" i="18"/>
  <c r="P188" i="18"/>
  <c r="R191" i="18"/>
  <c r="W201" i="18"/>
  <c r="X201" i="18" s="1"/>
  <c r="S204" i="18"/>
  <c r="R120" i="18"/>
  <c r="U206" i="18"/>
  <c r="T120" i="18"/>
  <c r="R122" i="18"/>
  <c r="P124" i="18"/>
  <c r="S127" i="18"/>
  <c r="W147" i="18"/>
  <c r="X147" i="18" s="1"/>
  <c r="U169" i="18"/>
  <c r="S177" i="18"/>
  <c r="Q178" i="18"/>
  <c r="R185" i="18"/>
  <c r="W195" i="18"/>
  <c r="X195" i="18" s="1"/>
  <c r="Q197" i="18"/>
  <c r="P203" i="18"/>
  <c r="T207" i="18"/>
  <c r="T215" i="18"/>
  <c r="U215" i="18"/>
  <c r="P216" i="18"/>
  <c r="U134" i="18"/>
  <c r="T206" i="18"/>
  <c r="S206" i="18"/>
  <c r="S120" i="18"/>
  <c r="R127" i="18"/>
  <c r="U147" i="18"/>
  <c r="P119" i="18"/>
  <c r="U120" i="18"/>
  <c r="S122" i="18"/>
  <c r="Q124" i="18"/>
  <c r="O126" i="18"/>
  <c r="T127" i="18"/>
  <c r="P154" i="18"/>
  <c r="U177" i="18"/>
  <c r="S185" i="18"/>
  <c r="Q203" i="18"/>
  <c r="Q216" i="18"/>
  <c r="R124" i="18"/>
  <c r="U127" i="18"/>
  <c r="L171" i="18"/>
  <c r="W177" i="18"/>
  <c r="X177" i="18" s="1"/>
  <c r="O192" i="18"/>
  <c r="T197" i="18"/>
  <c r="U197" i="18"/>
  <c r="R216" i="18"/>
  <c r="R119" i="18"/>
  <c r="W120" i="18"/>
  <c r="S124" i="18"/>
  <c r="Q126" i="18"/>
  <c r="M137" i="18"/>
  <c r="K138" i="18"/>
  <c r="L141" i="18"/>
  <c r="L144" i="18"/>
  <c r="K147" i="18"/>
  <c r="K160" i="18"/>
  <c r="M171" i="18"/>
  <c r="K172" i="18"/>
  <c r="L180" i="18"/>
  <c r="Q192" i="18"/>
  <c r="Q205" i="18"/>
  <c r="L138" i="18"/>
  <c r="K145" i="18"/>
  <c r="L147" i="18"/>
  <c r="L195" i="18"/>
  <c r="W197" i="18"/>
  <c r="X197" i="18" s="1"/>
  <c r="K206" i="18"/>
  <c r="U143" i="18"/>
  <c r="T143" i="18"/>
  <c r="P143" i="18"/>
  <c r="M143" i="18"/>
  <c r="L143" i="18"/>
  <c r="K143" i="18"/>
  <c r="O143" i="18"/>
  <c r="L146" i="18"/>
  <c r="P146" i="18"/>
  <c r="O146" i="18"/>
  <c r="T146" i="18"/>
  <c r="R146" i="18"/>
  <c r="Q146" i="18"/>
  <c r="M146" i="18"/>
  <c r="S146" i="18"/>
  <c r="Q151" i="18"/>
  <c r="M151" i="18"/>
  <c r="W151" i="18"/>
  <c r="X151" i="18" s="1"/>
  <c r="K151" i="18"/>
  <c r="T167" i="18"/>
  <c r="M167" i="18"/>
  <c r="K167" i="18"/>
  <c r="P167" i="18"/>
  <c r="L167" i="18"/>
  <c r="O167" i="18"/>
  <c r="K189" i="18"/>
  <c r="P189" i="18"/>
  <c r="O189" i="18"/>
  <c r="Q189" i="18"/>
  <c r="L189" i="18"/>
  <c r="M189" i="18"/>
  <c r="T209" i="18"/>
  <c r="W209" i="18"/>
  <c r="X209" i="18" s="1"/>
  <c r="U209" i="18"/>
  <c r="Q209" i="18"/>
  <c r="P209" i="18"/>
  <c r="O209" i="18"/>
  <c r="K209" i="18"/>
  <c r="L134" i="18"/>
  <c r="O134" i="18"/>
  <c r="M134" i="18"/>
  <c r="Q134" i="18"/>
  <c r="K134" i="18"/>
  <c r="P134" i="18"/>
  <c r="P149" i="18"/>
  <c r="U149" i="18"/>
  <c r="S149" i="18"/>
  <c r="Q149" i="18"/>
  <c r="O149" i="18"/>
  <c r="M149" i="18"/>
  <c r="R149" i="18"/>
  <c r="O153" i="18"/>
  <c r="M153" i="18"/>
  <c r="K153" i="18"/>
  <c r="T153" i="18"/>
  <c r="R153" i="18"/>
  <c r="Q153" i="18"/>
  <c r="P153" i="18"/>
  <c r="S153" i="18"/>
  <c r="P166" i="18"/>
  <c r="U166" i="18"/>
  <c r="S166" i="18"/>
  <c r="M166" i="18"/>
  <c r="L166" i="18"/>
  <c r="T166" i="18"/>
  <c r="Q166" i="18"/>
  <c r="O166" i="18"/>
  <c r="K166" i="18"/>
  <c r="R166" i="18"/>
  <c r="T182" i="18"/>
  <c r="W182" i="18"/>
  <c r="X182" i="18" s="1"/>
  <c r="U182" i="18"/>
  <c r="O182" i="18"/>
  <c r="L182" i="18"/>
  <c r="K182" i="18"/>
  <c r="M182" i="18"/>
  <c r="T194" i="18"/>
  <c r="M194" i="18"/>
  <c r="K194" i="18"/>
  <c r="R194" i="18"/>
  <c r="Q194" i="18"/>
  <c r="O194" i="18"/>
  <c r="L194" i="18"/>
  <c r="P202" i="18"/>
  <c r="U202" i="18"/>
  <c r="S202" i="18"/>
  <c r="M202" i="18"/>
  <c r="L202" i="18"/>
  <c r="K202" i="18"/>
  <c r="P208" i="18"/>
  <c r="Q208" i="18"/>
  <c r="M208" i="18"/>
  <c r="W208" i="18"/>
  <c r="X208" i="18" s="1"/>
  <c r="R208" i="18"/>
  <c r="L208" i="18"/>
  <c r="K208" i="18"/>
  <c r="O208" i="18"/>
  <c r="O128" i="18"/>
  <c r="M128" i="18"/>
  <c r="Q128" i="18"/>
  <c r="L128" i="18"/>
  <c r="K128" i="18"/>
  <c r="P128" i="18"/>
  <c r="P169" i="18"/>
  <c r="K169" i="18"/>
  <c r="W169" i="18"/>
  <c r="X169" i="18" s="1"/>
  <c r="L169" i="18"/>
  <c r="T169" i="18"/>
  <c r="R169" i="18"/>
  <c r="Q169" i="18"/>
  <c r="O169" i="18"/>
  <c r="S169" i="18"/>
  <c r="K174" i="18"/>
  <c r="P174" i="18"/>
  <c r="M174" i="18"/>
  <c r="L174" i="18"/>
  <c r="R174" i="18"/>
  <c r="O174" i="18"/>
  <c r="Q174" i="18"/>
  <c r="P175" i="18"/>
  <c r="U175" i="18"/>
  <c r="S175" i="18"/>
  <c r="W175" i="18"/>
  <c r="X175" i="18" s="1"/>
  <c r="T175" i="18"/>
  <c r="P181" i="18"/>
  <c r="Q181" i="18"/>
  <c r="M181" i="18"/>
  <c r="R181" i="18"/>
  <c r="O181" i="18"/>
  <c r="U181" i="18"/>
  <c r="S181" i="18"/>
  <c r="L181" i="18"/>
  <c r="K181" i="18"/>
  <c r="T181" i="18"/>
  <c r="P193" i="18"/>
  <c r="U193" i="18"/>
  <c r="S193" i="18"/>
  <c r="W193" i="18"/>
  <c r="X193" i="18" s="1"/>
  <c r="O193" i="18"/>
  <c r="L193" i="18"/>
  <c r="K193" i="18"/>
  <c r="M193" i="18"/>
  <c r="P158" i="18"/>
  <c r="W158" i="18"/>
  <c r="X158" i="18" s="1"/>
  <c r="U158" i="18"/>
  <c r="L158" i="18"/>
  <c r="K158" i="18"/>
  <c r="L209" i="18"/>
  <c r="P137" i="18"/>
  <c r="U137" i="18"/>
  <c r="T137" i="18"/>
  <c r="K137" i="18"/>
  <c r="W137" i="18"/>
  <c r="X137" i="18" s="1"/>
  <c r="S140" i="18"/>
  <c r="O140" i="18"/>
  <c r="M140" i="18"/>
  <c r="P140" i="18"/>
  <c r="K140" i="18"/>
  <c r="L140" i="18"/>
  <c r="K149" i="18"/>
  <c r="T173" i="18"/>
  <c r="W173" i="18"/>
  <c r="X173" i="18" s="1"/>
  <c r="U173" i="18"/>
  <c r="Q173" i="18"/>
  <c r="P173" i="18"/>
  <c r="R173" i="18"/>
  <c r="M173" i="18"/>
  <c r="L173" i="18"/>
  <c r="K173" i="18"/>
  <c r="O173" i="18"/>
  <c r="P182" i="18"/>
  <c r="R189" i="18"/>
  <c r="P194" i="18"/>
  <c r="O202" i="18"/>
  <c r="M209" i="18"/>
  <c r="R134" i="18"/>
  <c r="W136" i="18"/>
  <c r="X136" i="18" s="1"/>
  <c r="M136" i="18"/>
  <c r="L136" i="18"/>
  <c r="R136" i="18"/>
  <c r="P136" i="18"/>
  <c r="O136" i="18"/>
  <c r="K136" i="18"/>
  <c r="Q136" i="18"/>
  <c r="L149" i="18"/>
  <c r="L153" i="18"/>
  <c r="W157" i="18"/>
  <c r="X157" i="18" s="1"/>
  <c r="P157" i="18"/>
  <c r="M157" i="18"/>
  <c r="Q157" i="18"/>
  <c r="O157" i="18"/>
  <c r="S157" i="18"/>
  <c r="L157" i="18"/>
  <c r="K157" i="18"/>
  <c r="R157" i="18"/>
  <c r="Q182" i="18"/>
  <c r="S189" i="18"/>
  <c r="S194" i="18"/>
  <c r="Q202" i="18"/>
  <c r="S208" i="18"/>
  <c r="R209" i="18"/>
  <c r="T131" i="18"/>
  <c r="S131" i="18"/>
  <c r="M131" i="18"/>
  <c r="K131" i="18"/>
  <c r="L131" i="18"/>
  <c r="S134" i="18"/>
  <c r="M139" i="18"/>
  <c r="U139" i="18"/>
  <c r="S139" i="18"/>
  <c r="Q139" i="18"/>
  <c r="P139" i="18"/>
  <c r="O139" i="18"/>
  <c r="R139" i="18"/>
  <c r="O144" i="18"/>
  <c r="P144" i="18"/>
  <c r="M144" i="18"/>
  <c r="K144" i="18"/>
  <c r="W144" i="18"/>
  <c r="X144" i="18" s="1"/>
  <c r="T149" i="18"/>
  <c r="U153" i="18"/>
  <c r="P163" i="18"/>
  <c r="Q163" i="18"/>
  <c r="M163" i="18"/>
  <c r="R163" i="18"/>
  <c r="O163" i="18"/>
  <c r="K163" i="18"/>
  <c r="W166" i="18"/>
  <c r="X166" i="18" s="1"/>
  <c r="R182" i="18"/>
  <c r="T189" i="18"/>
  <c r="U194" i="18"/>
  <c r="R202" i="18"/>
  <c r="P205" i="18"/>
  <c r="K205" i="18"/>
  <c r="W205" i="18"/>
  <c r="X205" i="18" s="1"/>
  <c r="L205" i="18"/>
  <c r="O205" i="18"/>
  <c r="M205" i="18"/>
  <c r="T208" i="18"/>
  <c r="S209" i="18"/>
  <c r="R128" i="18"/>
  <c r="T134" i="18"/>
  <c r="W149" i="18"/>
  <c r="X149" i="18" s="1"/>
  <c r="M169" i="18"/>
  <c r="S174" i="18"/>
  <c r="K175" i="18"/>
  <c r="S182" i="18"/>
  <c r="U189" i="18"/>
  <c r="Q193" i="18"/>
  <c r="T202" i="18"/>
  <c r="U208" i="18"/>
  <c r="T128" i="18"/>
  <c r="L137" i="18"/>
  <c r="U150" i="18"/>
  <c r="P150" i="18"/>
  <c r="O150" i="18"/>
  <c r="Q150" i="18"/>
  <c r="L150" i="18"/>
  <c r="K150" i="18"/>
  <c r="M150" i="18"/>
  <c r="M158" i="18"/>
  <c r="K162" i="18"/>
  <c r="W162" i="18"/>
  <c r="X162" i="18" s="1"/>
  <c r="U162" i="18"/>
  <c r="Q162" i="18"/>
  <c r="O162" i="18"/>
  <c r="M162" i="18"/>
  <c r="L162" i="18"/>
  <c r="P162" i="18"/>
  <c r="U174" i="18"/>
  <c r="M175" i="18"/>
  <c r="W181" i="18"/>
  <c r="X181" i="18" s="1"/>
  <c r="T193" i="18"/>
  <c r="W202" i="18"/>
  <c r="X202" i="18" s="1"/>
  <c r="Q142" i="18"/>
  <c r="O142" i="18"/>
  <c r="M142" i="18"/>
  <c r="U142" i="18"/>
  <c r="P172" i="18"/>
  <c r="Q172" i="18"/>
  <c r="M172" i="18"/>
  <c r="W172" i="18"/>
  <c r="X172" i="18" s="1"/>
  <c r="U172" i="18"/>
  <c r="K180" i="18"/>
  <c r="W180" i="18"/>
  <c r="X180" i="18" s="1"/>
  <c r="U180" i="18"/>
  <c r="T180" i="18"/>
  <c r="T212" i="18"/>
  <c r="M212" i="18"/>
  <c r="K212" i="18"/>
  <c r="R212" i="18"/>
  <c r="Q212" i="18"/>
  <c r="P212" i="18"/>
  <c r="P190" i="18"/>
  <c r="Q190" i="18"/>
  <c r="M190" i="18"/>
  <c r="W190" i="18"/>
  <c r="X190" i="18" s="1"/>
  <c r="U190" i="18"/>
  <c r="K198" i="18"/>
  <c r="W198" i="18"/>
  <c r="X198" i="18" s="1"/>
  <c r="U198" i="18"/>
  <c r="T198" i="18"/>
  <c r="K210" i="18"/>
  <c r="P210" i="18"/>
  <c r="M210" i="18"/>
  <c r="L210" i="18"/>
  <c r="K129" i="18"/>
  <c r="U129" i="18"/>
  <c r="T129" i="18"/>
  <c r="S129" i="18"/>
  <c r="O132" i="18"/>
  <c r="M132" i="18"/>
  <c r="L132" i="18"/>
  <c r="U132" i="18"/>
  <c r="K141" i="18"/>
  <c r="U141" i="18"/>
  <c r="T141" i="18"/>
  <c r="L155" i="18"/>
  <c r="O155" i="18"/>
  <c r="P155" i="18"/>
  <c r="M155" i="18"/>
  <c r="T164" i="18"/>
  <c r="W164" i="18"/>
  <c r="X164" i="18" s="1"/>
  <c r="U164" i="18"/>
  <c r="S164" i="18"/>
  <c r="K171" i="18"/>
  <c r="P171" i="18"/>
  <c r="O171" i="18"/>
  <c r="U171" i="18"/>
  <c r="T203" i="18"/>
  <c r="M203" i="18"/>
  <c r="K203" i="18"/>
  <c r="U203" i="18"/>
  <c r="W210" i="18"/>
  <c r="X210" i="18" s="1"/>
  <c r="W141" i="18"/>
  <c r="X141" i="18" s="1"/>
  <c r="W148" i="18"/>
  <c r="X148" i="18" s="1"/>
  <c r="O148" i="18"/>
  <c r="M148" i="18"/>
  <c r="T148" i="18"/>
  <c r="W155" i="18"/>
  <c r="X155" i="18" s="1"/>
  <c r="W171" i="18"/>
  <c r="X171" i="18" s="1"/>
  <c r="T176" i="18"/>
  <c r="M176" i="18"/>
  <c r="K176" i="18"/>
  <c r="R176" i="18"/>
  <c r="Q176" i="18"/>
  <c r="W176" i="18"/>
  <c r="X176" i="18" s="1"/>
  <c r="P187" i="18"/>
  <c r="K187" i="18"/>
  <c r="W187" i="18"/>
  <c r="X187" i="18" s="1"/>
  <c r="L187" i="18"/>
  <c r="U187" i="18"/>
  <c r="P199" i="18"/>
  <c r="Q199" i="18"/>
  <c r="M199" i="18"/>
  <c r="R199" i="18"/>
  <c r="O199" i="18"/>
  <c r="W129" i="18"/>
  <c r="W132" i="18"/>
  <c r="X132" i="18" s="1"/>
  <c r="U138" i="18"/>
  <c r="O138" i="18"/>
  <c r="M138" i="18"/>
  <c r="T145" i="18"/>
  <c r="U145" i="18"/>
  <c r="S145" i="18"/>
  <c r="U148" i="18"/>
  <c r="T152" i="18"/>
  <c r="Q152" i="18"/>
  <c r="P152" i="18"/>
  <c r="U152" i="18"/>
  <c r="M160" i="18"/>
  <c r="R160" i="18"/>
  <c r="Q160" i="18"/>
  <c r="W160" i="18"/>
  <c r="X160" i="18" s="1"/>
  <c r="P184" i="18"/>
  <c r="U184" i="18"/>
  <c r="S184" i="18"/>
  <c r="M184" i="18"/>
  <c r="L184" i="18"/>
  <c r="W184" i="18"/>
  <c r="X184" i="18" s="1"/>
  <c r="T191" i="18"/>
  <c r="W191" i="18"/>
  <c r="X191" i="18" s="1"/>
  <c r="U191" i="18"/>
  <c r="Q191" i="18"/>
  <c r="P191" i="18"/>
  <c r="W199" i="18"/>
  <c r="X199" i="18" s="1"/>
  <c r="W203" i="18"/>
  <c r="X203" i="18" s="1"/>
  <c r="Q130" i="18"/>
  <c r="M130" i="18"/>
  <c r="L130" i="18"/>
  <c r="U130" i="18"/>
  <c r="T133" i="18"/>
  <c r="U133" i="18"/>
  <c r="S133" i="18"/>
  <c r="R133" i="18"/>
  <c r="S161" i="18"/>
  <c r="Q161" i="18"/>
  <c r="O161" i="18"/>
  <c r="K161" i="18"/>
  <c r="T185" i="18"/>
  <c r="M185" i="18"/>
  <c r="K185" i="18"/>
  <c r="U185" i="18"/>
  <c r="K192" i="18"/>
  <c r="P192" i="18"/>
  <c r="M192" i="18"/>
  <c r="L192" i="18"/>
  <c r="L198" i="18"/>
  <c r="T200" i="18"/>
  <c r="W200" i="18"/>
  <c r="X200" i="18" s="1"/>
  <c r="U200" i="18"/>
  <c r="S200" i="18"/>
  <c r="K207" i="18"/>
  <c r="P207" i="18"/>
  <c r="O207" i="18"/>
  <c r="U207" i="18"/>
  <c r="K216" i="18"/>
  <c r="W216" i="18"/>
  <c r="X216" i="18" s="1"/>
  <c r="U216" i="18"/>
  <c r="T216" i="18"/>
  <c r="P211" i="18"/>
  <c r="U211" i="18"/>
  <c r="S211" i="18"/>
  <c r="T211" i="18"/>
  <c r="T154" i="18"/>
  <c r="U154" i="18"/>
  <c r="R154" i="18"/>
  <c r="U159" i="18"/>
  <c r="Q159" i="18"/>
  <c r="O159" i="18"/>
  <c r="K165" i="18"/>
  <c r="P165" i="18"/>
  <c r="M165" i="18"/>
  <c r="T165" i="18"/>
  <c r="P178" i="18"/>
  <c r="K178" i="18"/>
  <c r="W178" i="18"/>
  <c r="X178" i="18" s="1"/>
  <c r="S178" i="18"/>
  <c r="K183" i="18"/>
  <c r="P183" i="18"/>
  <c r="M183" i="18"/>
  <c r="T183" i="18"/>
  <c r="P196" i="18"/>
  <c r="K196" i="18"/>
  <c r="W196" i="18"/>
  <c r="X196" i="18" s="1"/>
  <c r="S196" i="18"/>
  <c r="K201" i="18"/>
  <c r="P201" i="18"/>
  <c r="M201" i="18"/>
  <c r="T201" i="18"/>
  <c r="P214" i="18"/>
  <c r="K214" i="18"/>
  <c r="W214" i="18"/>
  <c r="X214" i="18" s="1"/>
  <c r="S214" i="18"/>
  <c r="S154" i="18"/>
  <c r="W159" i="18"/>
  <c r="X159" i="18" s="1"/>
  <c r="U165" i="18"/>
  <c r="T178" i="18"/>
  <c r="U183" i="18"/>
  <c r="T196" i="18"/>
  <c r="U201" i="18"/>
  <c r="W211" i="18"/>
  <c r="X211" i="18" s="1"/>
  <c r="T214" i="18"/>
  <c r="R168" i="18"/>
  <c r="R177" i="18"/>
  <c r="R186" i="18"/>
  <c r="R195" i="18"/>
  <c r="R204" i="18"/>
  <c r="R213" i="18"/>
  <c r="T168" i="18"/>
  <c r="R170" i="18"/>
  <c r="T177" i="18"/>
  <c r="R179" i="18"/>
  <c r="T186" i="18"/>
  <c r="R188" i="18"/>
  <c r="T195" i="18"/>
  <c r="R197" i="18"/>
  <c r="T204" i="18"/>
  <c r="R206" i="18"/>
  <c r="T213" i="18"/>
  <c r="R215" i="18"/>
  <c r="A8" i="7" a="1"/>
  <c r="A8" i="7" s="1"/>
  <c r="Q139" i="57"/>
  <c r="Q147" i="57"/>
  <c r="Q135" i="57"/>
  <c r="Q111" i="57"/>
  <c r="AA110" i="57"/>
  <c r="Q172" i="57"/>
  <c r="Q203" i="57"/>
  <c r="AA197" i="57"/>
  <c r="Q187" i="57"/>
  <c r="Q188" i="57"/>
  <c r="Q124" i="57"/>
  <c r="Q154" i="57"/>
  <c r="Q173" i="57"/>
  <c r="AA185" i="57"/>
  <c r="Q207" i="57"/>
  <c r="Q125" i="57"/>
  <c r="Q155" i="57"/>
  <c r="B65" i="32"/>
  <c r="B94" i="32" s="1"/>
  <c r="B118" i="32" s="1"/>
  <c r="I66" i="32"/>
  <c r="J66" i="32" s="1"/>
  <c r="I67" i="32"/>
  <c r="J67" i="32" s="1"/>
  <c r="I80" i="32"/>
  <c r="J80" i="32" s="1"/>
  <c r="I78" i="32"/>
  <c r="J78" i="32" s="1"/>
  <c r="I64" i="32"/>
  <c r="J64" i="32" s="1"/>
  <c r="Q151" i="57"/>
  <c r="Q148" i="57"/>
  <c r="Q144" i="57"/>
  <c r="Q137" i="57"/>
  <c r="Q118" i="57"/>
  <c r="Q150" i="57"/>
  <c r="Q142" i="57"/>
  <c r="Q136" i="57"/>
  <c r="Q131" i="57"/>
  <c r="Q130" i="57"/>
  <c r="Q128" i="57"/>
  <c r="Q126" i="57"/>
  <c r="Q119" i="57"/>
  <c r="Q117" i="57"/>
  <c r="Q114" i="57"/>
  <c r="Q112" i="57"/>
  <c r="Q180" i="57"/>
  <c r="Q178" i="57"/>
  <c r="Q177" i="57"/>
  <c r="Q174" i="57"/>
  <c r="Q167" i="57"/>
  <c r="Q165" i="57"/>
  <c r="Q163" i="57"/>
  <c r="Q161" i="57"/>
  <c r="Q156" i="57"/>
  <c r="Q153" i="57"/>
  <c r="Q201" i="57"/>
  <c r="Q200" i="57"/>
  <c r="Q152" i="57"/>
  <c r="Q149" i="57"/>
  <c r="Q143" i="57"/>
  <c r="Q141" i="57"/>
  <c r="Q138" i="57"/>
  <c r="Q132" i="57"/>
  <c r="Q129" i="57"/>
  <c r="Q127" i="57"/>
  <c r="Q123" i="57"/>
  <c r="Q120" i="57"/>
  <c r="Q116" i="57"/>
  <c r="Q115" i="57"/>
  <c r="Q113" i="57"/>
  <c r="Q198" i="57"/>
  <c r="Q196" i="57"/>
  <c r="Q192" i="57"/>
  <c r="Q191" i="57"/>
  <c r="Q190" i="57"/>
  <c r="Q189" i="57"/>
  <c r="Q186" i="57"/>
  <c r="Q184" i="57"/>
  <c r="Q179" i="57"/>
  <c r="Q176" i="57"/>
  <c r="Q175" i="57"/>
  <c r="Q168" i="57"/>
  <c r="Q166" i="57"/>
  <c r="Q164" i="57"/>
  <c r="Q162" i="57"/>
  <c r="Q160" i="57"/>
  <c r="Q204" i="57"/>
  <c r="Q199" i="57"/>
  <c r="Q146" i="57"/>
  <c r="Q134" i="57"/>
  <c r="Q109" i="57"/>
  <c r="Q194" i="57"/>
  <c r="Q170" i="57"/>
  <c r="Q133" i="57"/>
  <c r="Q122" i="57"/>
  <c r="Q193" i="57"/>
  <c r="Q181" i="57"/>
  <c r="Q169" i="57"/>
  <c r="Q157" i="57"/>
  <c r="Q205" i="57"/>
  <c r="Q108" i="57"/>
  <c r="Q185" i="57"/>
  <c r="Q145" i="57"/>
  <c r="Q121" i="57"/>
  <c r="Q182" i="57"/>
  <c r="Q158" i="57"/>
  <c r="Q206" i="57"/>
  <c r="Q197" i="57"/>
  <c r="Q110" i="57"/>
  <c r="AA147" i="57"/>
  <c r="AA136" i="57"/>
  <c r="AA149" i="57"/>
  <c r="AA137" i="57"/>
  <c r="AA109" i="57"/>
  <c r="AA196" i="57"/>
  <c r="AA195" i="57"/>
  <c r="R132" i="57"/>
  <c r="R168" i="57"/>
  <c r="U189" i="57"/>
  <c r="U177" i="57"/>
  <c r="U165" i="57"/>
  <c r="U153" i="57"/>
  <c r="U201" i="57"/>
  <c r="U152" i="57"/>
  <c r="U151" i="57"/>
  <c r="U150" i="57"/>
  <c r="U148" i="57"/>
  <c r="U147" i="57"/>
  <c r="U145" i="57"/>
  <c r="U149" i="57"/>
  <c r="U123" i="57"/>
  <c r="U146" i="57"/>
  <c r="U144" i="57"/>
  <c r="U143" i="57"/>
  <c r="U142" i="57"/>
  <c r="U140" i="57"/>
  <c r="U139" i="57"/>
  <c r="U138" i="57"/>
  <c r="U137" i="57"/>
  <c r="U136" i="57"/>
  <c r="U135" i="57"/>
  <c r="U134" i="57"/>
  <c r="U133" i="57"/>
  <c r="U132" i="57"/>
  <c r="U131" i="57"/>
  <c r="U130" i="57"/>
  <c r="U128" i="57"/>
  <c r="U127" i="57"/>
  <c r="U126" i="57"/>
  <c r="U125" i="57"/>
  <c r="U124" i="57"/>
  <c r="U122" i="57"/>
  <c r="U121" i="57"/>
  <c r="U120" i="57"/>
  <c r="U119" i="57"/>
  <c r="U118" i="57"/>
  <c r="U116" i="57"/>
  <c r="U115" i="57"/>
  <c r="U114" i="57"/>
  <c r="U113" i="57"/>
  <c r="U112" i="57"/>
  <c r="U111" i="57"/>
  <c r="S127" i="57"/>
  <c r="S163" i="57"/>
  <c r="R204" i="57"/>
  <c r="S199" i="57"/>
  <c r="R152" i="57"/>
  <c r="V151" i="57"/>
  <c r="S151" i="57"/>
  <c r="R150" i="57"/>
  <c r="AA148" i="57"/>
  <c r="V148" i="57"/>
  <c r="V146" i="57"/>
  <c r="T146" i="57"/>
  <c r="R145" i="57"/>
  <c r="T144" i="57"/>
  <c r="R144" i="57"/>
  <c r="R143" i="57"/>
  <c r="T134" i="57"/>
  <c r="T170" i="57"/>
  <c r="T206" i="57"/>
  <c r="R142" i="57"/>
  <c r="R141" i="57"/>
  <c r="R140" i="57"/>
  <c r="V139" i="57"/>
  <c r="R138" i="57"/>
  <c r="R135" i="57"/>
  <c r="V134" i="57"/>
  <c r="R133" i="57"/>
  <c r="T132" i="57"/>
  <c r="R131" i="57"/>
  <c r="R130" i="57"/>
  <c r="R129" i="57"/>
  <c r="R128" i="57"/>
  <c r="V127" i="57"/>
  <c r="R126" i="57"/>
  <c r="S125" i="57"/>
  <c r="R124" i="57"/>
  <c r="R123" i="57"/>
  <c r="V122" i="57"/>
  <c r="R121" i="57"/>
  <c r="T120" i="57"/>
  <c r="R119" i="57"/>
  <c r="R118" i="57"/>
  <c r="R117" i="57"/>
  <c r="R116" i="57"/>
  <c r="V115" i="57"/>
  <c r="R114" i="57"/>
  <c r="S113" i="57"/>
  <c r="R112" i="57"/>
  <c r="R111" i="57"/>
  <c r="R198" i="57"/>
  <c r="V194" i="57"/>
  <c r="R193" i="57"/>
  <c r="T192" i="57"/>
  <c r="R191" i="57"/>
  <c r="R190" i="57"/>
  <c r="R189" i="57"/>
  <c r="R188" i="57"/>
  <c r="V187" i="57"/>
  <c r="R186" i="57"/>
  <c r="R184" i="57"/>
  <c r="R183" i="57"/>
  <c r="V182" i="57"/>
  <c r="R181" i="57"/>
  <c r="T180" i="57"/>
  <c r="R179" i="57"/>
  <c r="R178" i="57"/>
  <c r="R177" i="57"/>
  <c r="R176" i="57"/>
  <c r="V175" i="57"/>
  <c r="R174" i="57"/>
  <c r="S173" i="57"/>
  <c r="R172" i="57"/>
  <c r="R171" i="57"/>
  <c r="V170" i="57"/>
  <c r="R169" i="57"/>
  <c r="T168" i="57"/>
  <c r="R167" i="57"/>
  <c r="R166" i="57"/>
  <c r="R165" i="57"/>
  <c r="R164" i="57"/>
  <c r="V163" i="57"/>
  <c r="R162" i="57"/>
  <c r="S161" i="57"/>
  <c r="R160" i="57"/>
  <c r="R159" i="57"/>
  <c r="V158" i="57"/>
  <c r="R157" i="57"/>
  <c r="T156" i="57"/>
  <c r="R155" i="57"/>
  <c r="R154" i="57"/>
  <c r="R153" i="57"/>
  <c r="R207" i="57"/>
  <c r="V206" i="57"/>
  <c r="R205" i="57"/>
  <c r="T204" i="57"/>
  <c r="R203" i="57"/>
  <c r="R202" i="57"/>
  <c r="R201" i="57"/>
  <c r="R200" i="57"/>
  <c r="V199" i="57"/>
  <c r="V196" i="57"/>
  <c r="V160" i="57"/>
  <c r="V124" i="57"/>
  <c r="V108" i="57"/>
  <c r="T194" i="57"/>
  <c r="T158" i="57"/>
  <c r="T122" i="57"/>
  <c r="R192" i="57"/>
  <c r="R156" i="57"/>
  <c r="R120" i="57"/>
  <c r="S187" i="57"/>
  <c r="S115" i="57"/>
  <c r="U141" i="57"/>
  <c r="U129" i="57"/>
  <c r="U117" i="57"/>
  <c r="AA205" i="57"/>
  <c r="AA193" i="57"/>
  <c r="AA181" i="57"/>
  <c r="AA169" i="57"/>
  <c r="AA157" i="57"/>
  <c r="AA145" i="57"/>
  <c r="V184" i="57"/>
  <c r="V112" i="57"/>
  <c r="AA153" i="57"/>
  <c r="U110" i="57"/>
  <c r="U109" i="57"/>
  <c r="V109" i="57" s="1"/>
  <c r="U198" i="57"/>
  <c r="U197" i="57"/>
  <c r="U196" i="57"/>
  <c r="U195" i="57"/>
  <c r="U194" i="57"/>
  <c r="U193" i="57"/>
  <c r="U192" i="57"/>
  <c r="U191" i="57"/>
  <c r="U190" i="57"/>
  <c r="U188" i="57"/>
  <c r="U187" i="57"/>
  <c r="U186" i="57"/>
  <c r="U185" i="57"/>
  <c r="U184" i="57"/>
  <c r="U183" i="57"/>
  <c r="U182" i="57"/>
  <c r="U181" i="57"/>
  <c r="U180" i="57"/>
  <c r="U179" i="57"/>
  <c r="U178" i="57"/>
  <c r="U176" i="57"/>
  <c r="U175" i="57"/>
  <c r="U174" i="57"/>
  <c r="U173" i="57"/>
  <c r="U172" i="57"/>
  <c r="U171" i="57"/>
  <c r="U170" i="57"/>
  <c r="U169" i="57"/>
  <c r="U168" i="57"/>
  <c r="U167" i="57"/>
  <c r="U166" i="57"/>
  <c r="U164" i="57"/>
  <c r="U163" i="57"/>
  <c r="U162" i="57"/>
  <c r="U161" i="57"/>
  <c r="U160" i="57"/>
  <c r="U159" i="57"/>
  <c r="U158" i="57"/>
  <c r="U157" i="57"/>
  <c r="U156" i="57"/>
  <c r="U155" i="57"/>
  <c r="U154" i="57"/>
  <c r="U207" i="57"/>
  <c r="U206" i="57"/>
  <c r="U205" i="57"/>
  <c r="U204" i="57"/>
  <c r="U203" i="57"/>
  <c r="U202" i="57"/>
  <c r="U200" i="57"/>
  <c r="U199" i="57"/>
  <c r="T182" i="57"/>
  <c r="T110" i="57"/>
  <c r="R180" i="57"/>
  <c r="AA159" i="57"/>
  <c r="S175" i="57"/>
  <c r="S139" i="57"/>
  <c r="V172" i="57"/>
  <c r="V136" i="57"/>
  <c r="AA131" i="57"/>
  <c r="AA206" i="57"/>
  <c r="AA194" i="57"/>
  <c r="AA182" i="57"/>
  <c r="AA146" i="57"/>
  <c r="S204" i="57"/>
  <c r="V201" i="57"/>
  <c r="T199" i="57"/>
  <c r="R197" i="57"/>
  <c r="S192" i="57"/>
  <c r="V189" i="57"/>
  <c r="T187" i="57"/>
  <c r="R185" i="57"/>
  <c r="S180" i="57"/>
  <c r="V177" i="57"/>
  <c r="T175" i="57"/>
  <c r="R173" i="57"/>
  <c r="S168" i="57"/>
  <c r="V165" i="57"/>
  <c r="T163" i="57"/>
  <c r="R161" i="57"/>
  <c r="S156" i="57"/>
  <c r="V153" i="57"/>
  <c r="T151" i="57"/>
  <c r="R149" i="57"/>
  <c r="S144" i="57"/>
  <c r="V141" i="57"/>
  <c r="T139" i="57"/>
  <c r="R137" i="57"/>
  <c r="S132" i="57"/>
  <c r="V129" i="57"/>
  <c r="T127" i="57"/>
  <c r="R125" i="57"/>
  <c r="S120" i="57"/>
  <c r="V117" i="57"/>
  <c r="T115" i="57"/>
  <c r="R113" i="57"/>
  <c r="AA117" i="57"/>
  <c r="AA204" i="57"/>
  <c r="AA192" i="57"/>
  <c r="AA180" i="57"/>
  <c r="AA168" i="57"/>
  <c r="AA156" i="57"/>
  <c r="AA144" i="57"/>
  <c r="AA141" i="57"/>
  <c r="S206" i="57"/>
  <c r="V203" i="57"/>
  <c r="T201" i="57"/>
  <c r="R199" i="57"/>
  <c r="S194" i="57"/>
  <c r="V191" i="57"/>
  <c r="T189" i="57"/>
  <c r="R187" i="57"/>
  <c r="S182" i="57"/>
  <c r="V179" i="57"/>
  <c r="T177" i="57"/>
  <c r="R175" i="57"/>
  <c r="S170" i="57"/>
  <c r="V167" i="57"/>
  <c r="T165" i="57"/>
  <c r="R163" i="57"/>
  <c r="S158" i="57"/>
  <c r="V155" i="57"/>
  <c r="T153" i="57"/>
  <c r="R151" i="57"/>
  <c r="S146" i="57"/>
  <c r="V143" i="57"/>
  <c r="T141" i="57"/>
  <c r="R139" i="57"/>
  <c r="S134" i="57"/>
  <c r="V131" i="57"/>
  <c r="T129" i="57"/>
  <c r="R127" i="57"/>
  <c r="S122" i="57"/>
  <c r="V119" i="57"/>
  <c r="T117" i="57"/>
  <c r="R115" i="57"/>
  <c r="S110" i="57"/>
  <c r="AA128" i="57"/>
  <c r="AA116" i="57"/>
  <c r="AA203" i="57"/>
  <c r="AA191" i="57"/>
  <c r="AA179" i="57"/>
  <c r="AA167" i="57"/>
  <c r="AA155" i="57"/>
  <c r="AA143" i="57"/>
  <c r="R108" i="57"/>
  <c r="R206" i="57"/>
  <c r="S201" i="57"/>
  <c r="V198" i="57"/>
  <c r="T196" i="57"/>
  <c r="R194" i="57"/>
  <c r="S189" i="57"/>
  <c r="V186" i="57"/>
  <c r="T184" i="57"/>
  <c r="R182" i="57"/>
  <c r="S177" i="57"/>
  <c r="V174" i="57"/>
  <c r="T172" i="57"/>
  <c r="R170" i="57"/>
  <c r="S165" i="57"/>
  <c r="V162" i="57"/>
  <c r="T160" i="57"/>
  <c r="R158" i="57"/>
  <c r="S153" i="57"/>
  <c r="V150" i="57"/>
  <c r="T148" i="57"/>
  <c r="R146" i="57"/>
  <c r="S141" i="57"/>
  <c r="V138" i="57"/>
  <c r="T136" i="57"/>
  <c r="R134" i="57"/>
  <c r="S129" i="57"/>
  <c r="V126" i="57"/>
  <c r="T124" i="57"/>
  <c r="R122" i="57"/>
  <c r="S117" i="57"/>
  <c r="V114" i="57"/>
  <c r="T112" i="57"/>
  <c r="R110" i="57"/>
  <c r="AA127" i="57"/>
  <c r="AA202" i="57"/>
  <c r="AA190" i="57"/>
  <c r="AA178" i="57"/>
  <c r="AA154" i="57"/>
  <c r="AA142" i="57"/>
  <c r="X194" i="57"/>
  <c r="Y194" i="57" s="1"/>
  <c r="X131" i="57"/>
  <c r="V205" i="57"/>
  <c r="T203" i="57"/>
  <c r="S196" i="57"/>
  <c r="V193" i="57"/>
  <c r="T191" i="57"/>
  <c r="S184" i="57"/>
  <c r="V181" i="57"/>
  <c r="T179" i="57"/>
  <c r="S172" i="57"/>
  <c r="V169" i="57"/>
  <c r="T167" i="57"/>
  <c r="S160" i="57"/>
  <c r="V157" i="57"/>
  <c r="T155" i="57"/>
  <c r="S148" i="57"/>
  <c r="V145" i="57"/>
  <c r="T143" i="57"/>
  <c r="S136" i="57"/>
  <c r="V133" i="57"/>
  <c r="T131" i="57"/>
  <c r="S124" i="57"/>
  <c r="V121" i="57"/>
  <c r="T119" i="57"/>
  <c r="S112" i="57"/>
  <c r="AA126" i="57"/>
  <c r="X193" i="57"/>
  <c r="Y193" i="57" s="1"/>
  <c r="X169" i="57"/>
  <c r="Y169" i="57" s="1"/>
  <c r="X128" i="57"/>
  <c r="S203" i="57"/>
  <c r="V200" i="57"/>
  <c r="T198" i="57"/>
  <c r="R196" i="57"/>
  <c r="S191" i="57"/>
  <c r="V188" i="57"/>
  <c r="T186" i="57"/>
  <c r="S179" i="57"/>
  <c r="V176" i="57"/>
  <c r="T174" i="57"/>
  <c r="S167" i="57"/>
  <c r="V164" i="57"/>
  <c r="T162" i="57"/>
  <c r="S155" i="57"/>
  <c r="V152" i="57"/>
  <c r="T150" i="57"/>
  <c r="R148" i="57"/>
  <c r="S143" i="57"/>
  <c r="V140" i="57"/>
  <c r="T138" i="57"/>
  <c r="R136" i="57"/>
  <c r="S131" i="57"/>
  <c r="V128" i="57"/>
  <c r="T126" i="57"/>
  <c r="S119" i="57"/>
  <c r="V116" i="57"/>
  <c r="T114" i="57"/>
  <c r="AA125" i="57"/>
  <c r="AA176" i="57"/>
  <c r="X126" i="57"/>
  <c r="Y126" i="57" s="1"/>
  <c r="V207" i="57"/>
  <c r="T205" i="57"/>
  <c r="S198" i="57"/>
  <c r="V195" i="57"/>
  <c r="T193" i="57"/>
  <c r="S186" i="57"/>
  <c r="V183" i="57"/>
  <c r="T181" i="57"/>
  <c r="S174" i="57"/>
  <c r="V171" i="57"/>
  <c r="T169" i="57"/>
  <c r="S162" i="57"/>
  <c r="V159" i="57"/>
  <c r="T157" i="57"/>
  <c r="S150" i="57"/>
  <c r="V147" i="57"/>
  <c r="T145" i="57"/>
  <c r="S138" i="57"/>
  <c r="V135" i="57"/>
  <c r="T133" i="57"/>
  <c r="S126" i="57"/>
  <c r="V123" i="57"/>
  <c r="T121" i="57"/>
  <c r="S114" i="57"/>
  <c r="V111" i="57"/>
  <c r="S109" i="57"/>
  <c r="T109" i="57" s="1"/>
  <c r="AA124" i="57"/>
  <c r="AA187" i="57"/>
  <c r="AA175" i="57"/>
  <c r="X154" i="57"/>
  <c r="Y154" i="57" s="1"/>
  <c r="X124" i="57"/>
  <c r="Y124" i="57" s="1"/>
  <c r="S205" i="57"/>
  <c r="V202" i="57"/>
  <c r="T200" i="57"/>
  <c r="S193" i="57"/>
  <c r="V190" i="57"/>
  <c r="T188" i="57"/>
  <c r="S181" i="57"/>
  <c r="V178" i="57"/>
  <c r="T176" i="57"/>
  <c r="S169" i="57"/>
  <c r="V166" i="57"/>
  <c r="T164" i="57"/>
  <c r="S157" i="57"/>
  <c r="V154" i="57"/>
  <c r="T152" i="57"/>
  <c r="S145" i="57"/>
  <c r="V142" i="57"/>
  <c r="T140" i="57"/>
  <c r="S133" i="57"/>
  <c r="V130" i="57"/>
  <c r="T128" i="57"/>
  <c r="S121" i="57"/>
  <c r="V118" i="57"/>
  <c r="T116" i="57"/>
  <c r="R109" i="57"/>
  <c r="AA135" i="57"/>
  <c r="AA123" i="57"/>
  <c r="T207" i="57"/>
  <c r="S200" i="57"/>
  <c r="V197" i="57"/>
  <c r="T195" i="57"/>
  <c r="S188" i="57"/>
  <c r="V185" i="57"/>
  <c r="T183" i="57"/>
  <c r="S176" i="57"/>
  <c r="V173" i="57"/>
  <c r="T171" i="57"/>
  <c r="S164" i="57"/>
  <c r="V161" i="57"/>
  <c r="T159" i="57"/>
  <c r="S152" i="57"/>
  <c r="V149" i="57"/>
  <c r="T147" i="57"/>
  <c r="S140" i="57"/>
  <c r="V137" i="57"/>
  <c r="T135" i="57"/>
  <c r="S128" i="57"/>
  <c r="V125" i="57"/>
  <c r="T123" i="57"/>
  <c r="S116" i="57"/>
  <c r="V113" i="57"/>
  <c r="T111" i="57"/>
  <c r="AA134" i="57"/>
  <c r="AA122" i="57"/>
  <c r="X146" i="57"/>
  <c r="Y146" i="57" s="1"/>
  <c r="S207" i="57"/>
  <c r="V204" i="57"/>
  <c r="T202" i="57"/>
  <c r="S195" i="57"/>
  <c r="V192" i="57"/>
  <c r="T190" i="57"/>
  <c r="S183" i="57"/>
  <c r="V180" i="57"/>
  <c r="T178" i="57"/>
  <c r="S171" i="57"/>
  <c r="V168" i="57"/>
  <c r="T166" i="57"/>
  <c r="S159" i="57"/>
  <c r="V156" i="57"/>
  <c r="T154" i="57"/>
  <c r="S147" i="57"/>
  <c r="V144" i="57"/>
  <c r="T142" i="57"/>
  <c r="S135" i="57"/>
  <c r="V132" i="57"/>
  <c r="T130" i="57"/>
  <c r="S123" i="57"/>
  <c r="V120" i="57"/>
  <c r="T118" i="57"/>
  <c r="S111" i="57"/>
  <c r="AA133" i="57"/>
  <c r="AA121" i="57"/>
  <c r="X182" i="57"/>
  <c r="X143" i="57"/>
  <c r="Y143" i="57" s="1"/>
  <c r="S202" i="57"/>
  <c r="T197" i="57"/>
  <c r="R195" i="57"/>
  <c r="S190" i="57"/>
  <c r="T185" i="57"/>
  <c r="S178" i="57"/>
  <c r="T173" i="57"/>
  <c r="S166" i="57"/>
  <c r="T161" i="57"/>
  <c r="S154" i="57"/>
  <c r="T149" i="57"/>
  <c r="R147" i="57"/>
  <c r="S142" i="57"/>
  <c r="T137" i="57"/>
  <c r="S130" i="57"/>
  <c r="T125" i="57"/>
  <c r="S118" i="57"/>
  <c r="T113" i="57"/>
  <c r="AA132" i="57"/>
  <c r="AA120" i="57"/>
  <c r="X181" i="57"/>
  <c r="X142" i="57"/>
  <c r="Y142" i="57" s="1"/>
  <c r="S197" i="57"/>
  <c r="S185" i="57"/>
  <c r="S149" i="57"/>
  <c r="S137" i="57"/>
  <c r="V110" i="57"/>
  <c r="AA108" i="57"/>
  <c r="AA201" i="57"/>
  <c r="AA177" i="57"/>
  <c r="AA129" i="57"/>
  <c r="X187" i="57"/>
  <c r="Y187" i="57" s="1"/>
  <c r="X168" i="57"/>
  <c r="Y168" i="57" s="1"/>
  <c r="X157" i="57"/>
  <c r="Y157" i="57" s="1"/>
  <c r="X127" i="57"/>
  <c r="Y127" i="57" s="1"/>
  <c r="X117" i="57"/>
  <c r="Y117" i="57" s="1"/>
  <c r="AA119" i="57"/>
  <c r="AA166" i="57"/>
  <c r="AA130" i="57"/>
  <c r="X206" i="57"/>
  <c r="Y206" i="57" s="1"/>
  <c r="X176" i="57"/>
  <c r="X156" i="57"/>
  <c r="X145" i="57"/>
  <c r="Y145" i="57" s="1"/>
  <c r="X135" i="57"/>
  <c r="Y135" i="57" s="1"/>
  <c r="X125" i="57"/>
  <c r="Y125" i="57" s="1"/>
  <c r="X116" i="57"/>
  <c r="AA200" i="57"/>
  <c r="AA188" i="57"/>
  <c r="AA164" i="57"/>
  <c r="AA152" i="57"/>
  <c r="AA140" i="57"/>
  <c r="AA189" i="57"/>
  <c r="AA165" i="57"/>
  <c r="AA112" i="57"/>
  <c r="X205" i="57"/>
  <c r="Y205" i="57" s="1"/>
  <c r="X175" i="57"/>
  <c r="Y175" i="57" s="1"/>
  <c r="X155" i="57"/>
  <c r="Y155" i="57" s="1"/>
  <c r="X134" i="57"/>
  <c r="Y134" i="57" s="1"/>
  <c r="AA199" i="57"/>
  <c r="AA163" i="57"/>
  <c r="AA151" i="57"/>
  <c r="AA139" i="57"/>
  <c r="AA118" i="57"/>
  <c r="X144" i="57"/>
  <c r="Y144" i="57" s="1"/>
  <c r="AA111" i="57"/>
  <c r="AA198" i="57"/>
  <c r="AA186" i="57"/>
  <c r="AA174" i="57"/>
  <c r="AA162" i="57"/>
  <c r="AA150" i="57"/>
  <c r="AA138" i="57"/>
  <c r="X204" i="57"/>
  <c r="Y204" i="57" s="1"/>
  <c r="X123" i="57"/>
  <c r="Y123" i="57" s="1"/>
  <c r="AA173" i="57"/>
  <c r="AA161" i="57"/>
  <c r="AA184" i="57"/>
  <c r="AA172" i="57"/>
  <c r="AA160" i="57"/>
  <c r="X192" i="57"/>
  <c r="Y192" i="57" s="1"/>
  <c r="AA207" i="57"/>
  <c r="AA183" i="57"/>
  <c r="AA171" i="57"/>
  <c r="AA114" i="57"/>
  <c r="AA113" i="57"/>
  <c r="X191" i="57"/>
  <c r="Y191" i="57" s="1"/>
  <c r="AA170" i="57"/>
  <c r="AA158" i="57"/>
  <c r="X180" i="57"/>
  <c r="Y180" i="57" s="1"/>
  <c r="X120" i="57"/>
  <c r="Y120" i="57" s="1"/>
  <c r="AA115" i="57"/>
  <c r="Z147" i="57"/>
  <c r="U108" i="57"/>
  <c r="G61" i="57"/>
  <c r="H57" i="57"/>
  <c r="G60" i="57"/>
  <c r="H56" i="57"/>
  <c r="G63" i="57"/>
  <c r="H59" i="57"/>
  <c r="W150" i="57"/>
  <c r="W147" i="57"/>
  <c r="W146" i="57"/>
  <c r="W138" i="57"/>
  <c r="G58" i="57"/>
  <c r="W135" i="57"/>
  <c r="W134" i="57"/>
  <c r="W126" i="57"/>
  <c r="W123" i="57"/>
  <c r="W122" i="57"/>
  <c r="W114" i="57"/>
  <c r="W198" i="57"/>
  <c r="W195" i="57"/>
  <c r="W194" i="57"/>
  <c r="W186" i="57"/>
  <c r="W183" i="57"/>
  <c r="W182" i="57"/>
  <c r="W174" i="57"/>
  <c r="W171" i="57"/>
  <c r="W170" i="57"/>
  <c r="W162" i="57"/>
  <c r="W159" i="57"/>
  <c r="W158" i="57"/>
  <c r="W207" i="57"/>
  <c r="W206" i="57"/>
  <c r="H55" i="57"/>
  <c r="W204" i="57"/>
  <c r="W132" i="57"/>
  <c r="W181" i="57"/>
  <c r="W180" i="57"/>
  <c r="W169" i="57"/>
  <c r="W168" i="57"/>
  <c r="W157" i="57"/>
  <c r="W156" i="57"/>
  <c r="W145" i="57"/>
  <c r="W144" i="57"/>
  <c r="W205" i="57"/>
  <c r="W133" i="57"/>
  <c r="W193" i="57"/>
  <c r="W121" i="57"/>
  <c r="W192" i="57"/>
  <c r="W120" i="57"/>
  <c r="W203" i="57"/>
  <c r="W191" i="57"/>
  <c r="W179" i="57"/>
  <c r="W167" i="57"/>
  <c r="W155" i="57"/>
  <c r="W143" i="57"/>
  <c r="W131" i="57"/>
  <c r="W119" i="57"/>
  <c r="W202" i="57"/>
  <c r="W190" i="57"/>
  <c r="W178" i="57"/>
  <c r="W166" i="57"/>
  <c r="W154" i="57"/>
  <c r="W142" i="57"/>
  <c r="W130" i="57"/>
  <c r="W118" i="57"/>
  <c r="W201" i="57"/>
  <c r="W189" i="57"/>
  <c r="W177" i="57"/>
  <c r="W165" i="57"/>
  <c r="W153" i="57"/>
  <c r="W141" i="57"/>
  <c r="W129" i="57"/>
  <c r="W117" i="57"/>
  <c r="W200" i="57"/>
  <c r="W188" i="57"/>
  <c r="W176" i="57"/>
  <c r="W164" i="57"/>
  <c r="W152" i="57"/>
  <c r="W140" i="57"/>
  <c r="W128" i="57"/>
  <c r="W116" i="57"/>
  <c r="W199" i="57"/>
  <c r="W187" i="57"/>
  <c r="W175" i="57"/>
  <c r="W163" i="57"/>
  <c r="W151" i="57"/>
  <c r="W139" i="57"/>
  <c r="W127" i="57"/>
  <c r="W115" i="57"/>
  <c r="S108" i="57"/>
  <c r="T108" i="57" s="1"/>
  <c r="W197" i="57"/>
  <c r="W185" i="57"/>
  <c r="W173" i="57"/>
  <c r="W161" i="57"/>
  <c r="W149" i="57"/>
  <c r="W137" i="57"/>
  <c r="W125" i="57"/>
  <c r="W113" i="57"/>
  <c r="W196" i="57"/>
  <c r="W184" i="57"/>
  <c r="W172" i="57"/>
  <c r="W160" i="57"/>
  <c r="W148" i="57"/>
  <c r="W136" i="57"/>
  <c r="W124" i="57"/>
  <c r="W110" i="57"/>
  <c r="W112" i="57"/>
  <c r="W111" i="57"/>
  <c r="I63" i="32"/>
  <c r="J63" i="32" s="1"/>
  <c r="I71" i="32"/>
  <c r="J71" i="32" s="1"/>
  <c r="E129" i="32"/>
  <c r="F129" i="32" s="1"/>
  <c r="L129" i="32" s="1"/>
  <c r="E119" i="32"/>
  <c r="F119" i="32" s="1"/>
  <c r="E131" i="32"/>
  <c r="F131" i="32" s="1"/>
  <c r="L131" i="32" s="1"/>
  <c r="N36" i="32"/>
  <c r="I82" i="32"/>
  <c r="J82" i="32" s="1"/>
  <c r="E117" i="32"/>
  <c r="F117" i="32" s="1"/>
  <c r="I69" i="32"/>
  <c r="J69" i="32" s="1"/>
  <c r="I65" i="32"/>
  <c r="J65" i="32" s="1"/>
  <c r="B64" i="32"/>
  <c r="B93" i="32" s="1"/>
  <c r="B117" i="32" s="1"/>
  <c r="I74" i="32"/>
  <c r="J74" i="32" s="1"/>
  <c r="E123" i="32"/>
  <c r="F123" i="32" s="1"/>
  <c r="E121" i="32"/>
  <c r="F121" i="32" s="1"/>
  <c r="B67" i="32"/>
  <c r="B96" i="32" s="1"/>
  <c r="B120" i="32" s="1"/>
  <c r="N37" i="32"/>
  <c r="E133" i="32"/>
  <c r="F133" i="32" s="1"/>
  <c r="L133" i="32" s="1"/>
  <c r="I77" i="32"/>
  <c r="J77" i="32" s="1"/>
  <c r="N38" i="32"/>
  <c r="N39" i="32"/>
  <c r="B63" i="32"/>
  <c r="I72" i="32"/>
  <c r="J72" i="32" s="1"/>
  <c r="F254" i="25"/>
  <c r="E270" i="25" s="1"/>
  <c r="G133" i="25"/>
  <c r="E268" i="25" s="1"/>
  <c r="E184" i="3"/>
  <c r="M72" i="27"/>
  <c r="E73" i="3"/>
  <c r="D58" i="42"/>
  <c r="D69" i="42"/>
  <c r="D38" i="42"/>
  <c r="I56" i="27"/>
  <c r="I19" i="26"/>
  <c r="E71" i="13"/>
  <c r="H71" i="13" s="1"/>
  <c r="H127" i="13" s="1"/>
  <c r="D19" i="42"/>
  <c r="D52" i="42"/>
  <c r="H34" i="46"/>
  <c r="K34" i="46" s="1"/>
  <c r="D247" i="27"/>
  <c r="D248" i="27" s="1"/>
  <c r="C10" i="53" s="1"/>
  <c r="I38" i="27"/>
  <c r="I33" i="27"/>
  <c r="E60" i="13"/>
  <c r="G60" i="13" s="1"/>
  <c r="G116" i="13" s="1"/>
  <c r="E76" i="13"/>
  <c r="F76" i="13" s="1"/>
  <c r="F132" i="13" s="1"/>
  <c r="F88" i="13"/>
  <c r="F144" i="13" s="1"/>
  <c r="H35" i="46"/>
  <c r="K35" i="46" s="1"/>
  <c r="I34" i="27"/>
  <c r="E27" i="42"/>
  <c r="E12" i="42"/>
  <c r="E69" i="42"/>
  <c r="E50" i="42"/>
  <c r="G171" i="20"/>
  <c r="F42" i="42"/>
  <c r="G230" i="20"/>
  <c r="M33" i="18"/>
  <c r="I46" i="27"/>
  <c r="F19" i="42"/>
  <c r="F79" i="42"/>
  <c r="D249" i="27"/>
  <c r="C11" i="53" s="1"/>
  <c r="E24" i="53" s="1"/>
  <c r="J134" i="18"/>
  <c r="F12" i="42"/>
  <c r="E63" i="13"/>
  <c r="F63" i="13" s="1"/>
  <c r="F119" i="13" s="1"/>
  <c r="E43" i="42"/>
  <c r="E95" i="42"/>
  <c r="E106" i="42"/>
  <c r="E38" i="42"/>
  <c r="I50" i="27"/>
  <c r="B12" i="53"/>
  <c r="I49" i="27"/>
  <c r="I291" i="20"/>
  <c r="I404" i="20"/>
  <c r="I405" i="20"/>
  <c r="I341" i="20"/>
  <c r="I426" i="20"/>
  <c r="I54" i="20"/>
  <c r="I202" i="20"/>
  <c r="I230" i="20"/>
  <c r="I380" i="20"/>
  <c r="I142" i="20"/>
  <c r="I100" i="20"/>
  <c r="I97" i="20"/>
  <c r="I427" i="20"/>
  <c r="G339" i="20"/>
  <c r="I89" i="15"/>
  <c r="F126" i="15"/>
  <c r="G131" i="20"/>
  <c r="G178" i="20"/>
  <c r="G358" i="20"/>
  <c r="G103" i="20"/>
  <c r="G134" i="20"/>
  <c r="G236" i="20"/>
  <c r="G302" i="20"/>
  <c r="D48" i="42"/>
  <c r="D96" i="42"/>
  <c r="D80" i="42"/>
  <c r="D68" i="42"/>
  <c r="D54" i="42"/>
  <c r="D104" i="42"/>
  <c r="D90" i="42"/>
  <c r="D11" i="42"/>
  <c r="D74" i="42"/>
  <c r="D28" i="42"/>
  <c r="D14" i="42"/>
  <c r="D88" i="42"/>
  <c r="I37" i="27"/>
  <c r="G101" i="20"/>
  <c r="G141" i="20"/>
  <c r="G303" i="20"/>
  <c r="G365" i="20"/>
  <c r="I39" i="15"/>
  <c r="E75" i="42"/>
  <c r="E74" i="42"/>
  <c r="E28" i="42"/>
  <c r="E96" i="42"/>
  <c r="E60" i="42"/>
  <c r="E45" i="42"/>
  <c r="E10" i="42"/>
  <c r="E90" i="42"/>
  <c r="E22" i="42"/>
  <c r="E16" i="42"/>
  <c r="E40" i="42"/>
  <c r="E103" i="42"/>
  <c r="E89" i="42"/>
  <c r="E52" i="42"/>
  <c r="E34" i="42"/>
  <c r="G142" i="20"/>
  <c r="F67" i="42"/>
  <c r="F61" i="42"/>
  <c r="F36" i="42"/>
  <c r="F22" i="42"/>
  <c r="F16" i="42"/>
  <c r="F34" i="42"/>
  <c r="F109" i="42"/>
  <c r="F11" i="42"/>
  <c r="F60" i="42"/>
  <c r="F40" i="42"/>
  <c r="F14" i="42"/>
  <c r="F32" i="42"/>
  <c r="D39" i="42"/>
  <c r="F70" i="42"/>
  <c r="D107" i="42"/>
  <c r="G78" i="20"/>
  <c r="G311" i="20"/>
  <c r="J207" i="18"/>
  <c r="E63" i="42"/>
  <c r="G56" i="20"/>
  <c r="G58" i="20"/>
  <c r="G147" i="20"/>
  <c r="G203" i="20"/>
  <c r="G258" i="20"/>
  <c r="D101" i="42"/>
  <c r="E59" i="13"/>
  <c r="F59" i="13" s="1"/>
  <c r="F115" i="13" s="1"/>
  <c r="G163" i="20"/>
  <c r="G208" i="20"/>
  <c r="J182" i="18"/>
  <c r="E17" i="42"/>
  <c r="G213" i="20"/>
  <c r="G329" i="20"/>
  <c r="D34" i="42"/>
  <c r="D65" i="42"/>
  <c r="F101" i="42"/>
  <c r="E109" i="42"/>
  <c r="G250" i="20"/>
  <c r="G224" i="20"/>
  <c r="G194" i="20"/>
  <c r="G43" i="20"/>
  <c r="G45" i="20"/>
  <c r="G285" i="20"/>
  <c r="G284" i="20"/>
  <c r="G186" i="20"/>
  <c r="G148" i="20"/>
  <c r="G341" i="20"/>
  <c r="G352" i="20"/>
  <c r="G322" i="20"/>
  <c r="G291" i="20"/>
  <c r="G222" i="20"/>
  <c r="G157" i="20"/>
  <c r="G86" i="20"/>
  <c r="G85" i="20"/>
  <c r="G84" i="20"/>
  <c r="G46" i="20"/>
  <c r="G244" i="20"/>
  <c r="G154" i="20"/>
  <c r="G109" i="20"/>
  <c r="G399" i="20"/>
  <c r="G318" i="20"/>
  <c r="G215" i="20"/>
  <c r="G389" i="20"/>
  <c r="G313" i="20"/>
  <c r="G283" i="20"/>
  <c r="G172" i="20"/>
  <c r="G277" i="20"/>
  <c r="G338" i="20"/>
  <c r="G292" i="20"/>
  <c r="H120" i="41"/>
  <c r="G120" i="41" s="1"/>
  <c r="J154" i="18"/>
  <c r="H93" i="41"/>
  <c r="G93" i="41" s="1"/>
  <c r="J184" i="18"/>
  <c r="J132" i="18"/>
  <c r="H128" i="41"/>
  <c r="G128" i="41" s="1"/>
  <c r="J203" i="18"/>
  <c r="J216" i="18"/>
  <c r="J194" i="18"/>
  <c r="J155" i="18"/>
  <c r="H76" i="41"/>
  <c r="G76" i="41" s="1"/>
  <c r="H59" i="41"/>
  <c r="G59" i="41" s="1"/>
  <c r="J168" i="18"/>
  <c r="H70" i="41"/>
  <c r="G70" i="41" s="1"/>
  <c r="J206" i="18"/>
  <c r="J147" i="18"/>
  <c r="J142" i="18"/>
  <c r="J178" i="18"/>
  <c r="J160" i="18"/>
  <c r="G130" i="20"/>
  <c r="G132" i="20"/>
  <c r="G231" i="20"/>
  <c r="G294" i="20"/>
  <c r="G98" i="20"/>
  <c r="G180" i="20"/>
  <c r="G200" i="20"/>
  <c r="D24" i="26"/>
  <c r="E14" i="42"/>
  <c r="E62" i="42"/>
  <c r="G80" i="20"/>
  <c r="G378" i="20"/>
  <c r="G251" i="20"/>
  <c r="G379" i="20"/>
  <c r="E39" i="42"/>
  <c r="D55" i="42"/>
  <c r="G57" i="20"/>
  <c r="G59" i="20"/>
  <c r="D10" i="42"/>
  <c r="E24" i="42"/>
  <c r="E33" i="42"/>
  <c r="E55" i="42"/>
  <c r="F108" i="42"/>
  <c r="F32" i="20"/>
  <c r="F94" i="20" s="1"/>
  <c r="E101" i="42"/>
  <c r="G37" i="20"/>
  <c r="G38" i="20"/>
  <c r="G39" i="20"/>
  <c r="G164" i="20"/>
  <c r="G267" i="20"/>
  <c r="E51" i="18"/>
  <c r="I52" i="18"/>
  <c r="J32" i="20"/>
  <c r="J139" i="20" s="1"/>
  <c r="G70" i="20"/>
  <c r="G71" i="20"/>
  <c r="G72" i="20"/>
  <c r="G73" i="20"/>
  <c r="G170" i="20"/>
  <c r="G225" i="20"/>
  <c r="G331" i="20"/>
  <c r="D12" i="42"/>
  <c r="E42" i="42"/>
  <c r="D50" i="42"/>
  <c r="F84" i="42"/>
  <c r="D94" i="42"/>
  <c r="I24" i="27"/>
  <c r="J146" i="27"/>
  <c r="I20" i="26"/>
  <c r="I42" i="27"/>
  <c r="F145" i="27" s="1"/>
  <c r="D29" i="26"/>
  <c r="I414" i="20"/>
  <c r="I398" i="20"/>
  <c r="I384" i="20"/>
  <c r="I367" i="20"/>
  <c r="I347" i="20"/>
  <c r="I336" i="20"/>
  <c r="I420" i="20"/>
  <c r="I378" i="20"/>
  <c r="I352" i="20"/>
  <c r="I318" i="20"/>
  <c r="I285" i="20"/>
  <c r="I275" i="20"/>
  <c r="I351" i="20"/>
  <c r="I331" i="20"/>
  <c r="I271" i="20"/>
  <c r="I264" i="20"/>
  <c r="I258" i="20"/>
  <c r="I219" i="20"/>
  <c r="I189" i="20"/>
  <c r="I173" i="20"/>
  <c r="I421" i="20"/>
  <c r="I376" i="20"/>
  <c r="I369" i="20"/>
  <c r="I328" i="20"/>
  <c r="I287" i="20"/>
  <c r="I280" i="20"/>
  <c r="I269" i="20"/>
  <c r="I217" i="20"/>
  <c r="I207" i="20"/>
  <c r="I190" i="20"/>
  <c r="I185" i="20"/>
  <c r="I167" i="20"/>
  <c r="I156" i="20"/>
  <c r="I150" i="20"/>
  <c r="I122" i="20"/>
  <c r="I75" i="20"/>
  <c r="I51" i="20"/>
  <c r="I34" i="20"/>
  <c r="I307" i="20"/>
  <c r="I155" i="20"/>
  <c r="I93" i="20"/>
  <c r="I411" i="20"/>
  <c r="I299" i="20"/>
  <c r="I237" i="20"/>
  <c r="I119" i="20"/>
  <c r="I368" i="20"/>
  <c r="I334" i="20"/>
  <c r="I274" i="20"/>
  <c r="I261" i="20"/>
  <c r="I249" i="20"/>
  <c r="I211" i="20"/>
  <c r="I162" i="20"/>
  <c r="I133" i="20"/>
  <c r="I68" i="20"/>
  <c r="I60" i="20"/>
  <c r="I429" i="20"/>
  <c r="I349" i="20"/>
  <c r="I243" i="20"/>
  <c r="I184" i="20"/>
  <c r="I138" i="20"/>
  <c r="I132" i="20"/>
  <c r="I59" i="20"/>
  <c r="I41" i="20"/>
  <c r="I33" i="20"/>
  <c r="I424" i="20"/>
  <c r="I357" i="20"/>
  <c r="I266" i="20"/>
  <c r="I248" i="20"/>
  <c r="I227" i="20"/>
  <c r="I221" i="20"/>
  <c r="I183" i="20"/>
  <c r="I129" i="20"/>
  <c r="I96" i="20"/>
  <c r="I65" i="20"/>
  <c r="I432" i="20"/>
  <c r="I373" i="20"/>
  <c r="I333" i="20"/>
  <c r="I316" i="20"/>
  <c r="I246" i="20"/>
  <c r="I234" i="20"/>
  <c r="I182" i="20"/>
  <c r="I160" i="20"/>
  <c r="I137" i="20"/>
  <c r="I126" i="20"/>
  <c r="I53" i="20"/>
  <c r="I372" i="20"/>
  <c r="I297" i="20"/>
  <c r="I272" i="20"/>
  <c r="I175" i="20"/>
  <c r="I35" i="20"/>
  <c r="I210" i="20"/>
  <c r="I204" i="20"/>
  <c r="I113" i="20"/>
  <c r="I87" i="20"/>
  <c r="I48" i="20"/>
  <c r="I360" i="20"/>
  <c r="I239" i="20"/>
  <c r="I135" i="20"/>
  <c r="I73" i="20"/>
  <c r="I395" i="20"/>
  <c r="I346" i="20"/>
  <c r="I309" i="20"/>
  <c r="I298" i="20"/>
  <c r="I290" i="20"/>
  <c r="I256" i="20"/>
  <c r="I212" i="20"/>
  <c r="I205" i="20"/>
  <c r="I77" i="20"/>
  <c r="I279" i="20"/>
  <c r="I263" i="20"/>
  <c r="I232" i="20"/>
  <c r="I226" i="20"/>
  <c r="I152" i="20"/>
  <c r="I63" i="20"/>
  <c r="I393" i="20"/>
  <c r="I354" i="20"/>
  <c r="I296" i="20"/>
  <c r="I288" i="20"/>
  <c r="I165" i="20"/>
  <c r="I74" i="20"/>
  <c r="I315" i="20"/>
  <c r="I158" i="20"/>
  <c r="I147" i="20"/>
  <c r="I277" i="20"/>
  <c r="I412" i="20"/>
  <c r="I106" i="20"/>
  <c r="I110" i="20"/>
  <c r="I313" i="20"/>
  <c r="I388" i="20"/>
  <c r="J25" i="18"/>
  <c r="I173" i="27"/>
  <c r="J26" i="18" s="1"/>
  <c r="I62" i="20"/>
  <c r="I81" i="20"/>
  <c r="I84" i="20"/>
  <c r="I236" i="20"/>
  <c r="I396" i="20"/>
  <c r="I251" i="20"/>
  <c r="I66" i="15"/>
  <c r="F89" i="15"/>
  <c r="D28" i="26"/>
  <c r="I171" i="20"/>
  <c r="I200" i="20"/>
  <c r="I214" i="20"/>
  <c r="I241" i="20"/>
  <c r="I286" i="20"/>
  <c r="I56" i="20"/>
  <c r="I192" i="20"/>
  <c r="I260" i="20"/>
  <c r="I348" i="20"/>
  <c r="I386" i="20"/>
  <c r="I42" i="20"/>
  <c r="I79" i="20"/>
  <c r="I109" i="20"/>
  <c r="I130" i="20"/>
  <c r="I163" i="20"/>
  <c r="I235" i="20"/>
  <c r="I365" i="20"/>
  <c r="I44" i="20"/>
  <c r="I103" i="20"/>
  <c r="I329" i="20"/>
  <c r="I39" i="20"/>
  <c r="I71" i="20"/>
  <c r="I83" i="20"/>
  <c r="I148" i="20"/>
  <c r="I180" i="20"/>
  <c r="I194" i="20"/>
  <c r="I72" i="20"/>
  <c r="I80" i="20"/>
  <c r="I250" i="20"/>
  <c r="I98" i="15"/>
  <c r="I94" i="15"/>
  <c r="I76" i="15"/>
  <c r="I40" i="15"/>
  <c r="F125" i="15"/>
  <c r="F76" i="15"/>
  <c r="I57" i="15"/>
  <c r="F131" i="15"/>
  <c r="I81" i="15"/>
  <c r="I70" i="15"/>
  <c r="I52" i="15"/>
  <c r="I83" i="15"/>
  <c r="I112" i="15"/>
  <c r="F41" i="15"/>
  <c r="F112" i="15"/>
  <c r="F70" i="15"/>
  <c r="I45" i="15"/>
  <c r="I53" i="15"/>
  <c r="F34" i="15"/>
  <c r="F53" i="15"/>
  <c r="I126" i="15"/>
  <c r="I93" i="15"/>
  <c r="F108" i="15"/>
  <c r="I65" i="15"/>
  <c r="I34" i="15"/>
  <c r="I45" i="20"/>
  <c r="I47" i="20"/>
  <c r="I153" i="20"/>
  <c r="I209" i="20"/>
  <c r="I302" i="20"/>
  <c r="I320" i="20"/>
  <c r="I370" i="20"/>
  <c r="G193" i="56"/>
  <c r="J193" i="56" s="1"/>
  <c r="G189" i="56"/>
  <c r="J189" i="56" s="1"/>
  <c r="I140" i="20"/>
  <c r="I225" i="20"/>
  <c r="I229" i="20"/>
  <c r="I339" i="20"/>
  <c r="O32" i="18"/>
  <c r="P32" i="18" s="1"/>
  <c r="I187" i="20"/>
  <c r="I359" i="20"/>
  <c r="I399" i="20"/>
  <c r="G428" i="20"/>
  <c r="G427" i="20"/>
  <c r="G390" i="20"/>
  <c r="G384" i="20"/>
  <c r="G367" i="20"/>
  <c r="G296" i="20"/>
  <c r="G270" i="20"/>
  <c r="G260" i="20"/>
  <c r="G425" i="20"/>
  <c r="G417" i="20"/>
  <c r="G344" i="20"/>
  <c r="G305" i="20"/>
  <c r="G276" i="20"/>
  <c r="G248" i="20"/>
  <c r="G242" i="20"/>
  <c r="G229" i="20"/>
  <c r="G209" i="20"/>
  <c r="G179" i="20"/>
  <c r="G393" i="20"/>
  <c r="G362" i="20"/>
  <c r="G350" i="20"/>
  <c r="G315" i="20"/>
  <c r="G308" i="20"/>
  <c r="G301" i="20"/>
  <c r="G234" i="20"/>
  <c r="G228" i="20"/>
  <c r="G202" i="20"/>
  <c r="G120" i="20"/>
  <c r="G108" i="20"/>
  <c r="G83" i="20"/>
  <c r="G61" i="20"/>
  <c r="G42" i="20"/>
  <c r="G402" i="20"/>
  <c r="G293" i="20"/>
  <c r="G269" i="20"/>
  <c r="G233" i="20"/>
  <c r="G217" i="20"/>
  <c r="G207" i="20"/>
  <c r="G190" i="20"/>
  <c r="G75" i="20"/>
  <c r="G51" i="20"/>
  <c r="G392" i="20"/>
  <c r="G314" i="20"/>
  <c r="G201" i="20"/>
  <c r="G117" i="20"/>
  <c r="G104" i="20"/>
  <c r="G93" i="20"/>
  <c r="G60" i="20"/>
  <c r="G40" i="20"/>
  <c r="G376" i="20"/>
  <c r="G361" i="20"/>
  <c r="G356" i="20"/>
  <c r="G343" i="20"/>
  <c r="G327" i="20"/>
  <c r="G300" i="20"/>
  <c r="G287" i="20"/>
  <c r="G280" i="20"/>
  <c r="G238" i="20"/>
  <c r="G223" i="20"/>
  <c r="G173" i="20"/>
  <c r="G166" i="20"/>
  <c r="G150" i="20"/>
  <c r="G144" i="20"/>
  <c r="G122" i="20"/>
  <c r="G420" i="20"/>
  <c r="G383" i="20"/>
  <c r="G375" i="20"/>
  <c r="G342" i="20"/>
  <c r="G307" i="20"/>
  <c r="G274" i="20"/>
  <c r="G261" i="20"/>
  <c r="G211" i="20"/>
  <c r="G196" i="20"/>
  <c r="G161" i="20"/>
  <c r="G155" i="20"/>
  <c r="G118" i="20"/>
  <c r="G82" i="20"/>
  <c r="G68" i="20"/>
  <c r="G66" i="20"/>
  <c r="G165" i="20"/>
  <c r="G174" i="20"/>
  <c r="G197" i="20"/>
  <c r="G204" i="20"/>
  <c r="G210" i="20"/>
  <c r="G262" i="20"/>
  <c r="G430" i="20"/>
  <c r="G76" i="20"/>
  <c r="G125" i="20"/>
  <c r="G151" i="20"/>
  <c r="G175" i="20"/>
  <c r="G232" i="20"/>
  <c r="G253" i="20"/>
  <c r="G263" i="20"/>
  <c r="G278" i="20"/>
  <c r="G345" i="20"/>
  <c r="G407" i="20"/>
  <c r="G418" i="20"/>
  <c r="H52" i="18"/>
  <c r="K51" i="18"/>
  <c r="G126" i="20"/>
  <c r="G136" i="20"/>
  <c r="G143" i="20"/>
  <c r="G246" i="20"/>
  <c r="G254" i="20"/>
  <c r="G316" i="20"/>
  <c r="D103" i="42"/>
  <c r="D63" i="42"/>
  <c r="D40" i="42"/>
  <c r="D22" i="42"/>
  <c r="D17" i="42"/>
  <c r="D82" i="42"/>
  <c r="D77" i="42"/>
  <c r="D71" i="42"/>
  <c r="D53" i="42"/>
  <c r="D35" i="42"/>
  <c r="D95" i="42"/>
  <c r="D76" i="42"/>
  <c r="E254" i="41"/>
  <c r="D98" i="42"/>
  <c r="D32" i="42"/>
  <c r="D20" i="42"/>
  <c r="D16" i="42"/>
  <c r="D102" i="42"/>
  <c r="D91" i="42"/>
  <c r="D66" i="42"/>
  <c r="D56" i="42"/>
  <c r="D51" i="42"/>
  <c r="D46" i="42"/>
  <c r="D15" i="42"/>
  <c r="D79" i="42"/>
  <c r="D41" i="42"/>
  <c r="D23" i="42"/>
  <c r="D29" i="42"/>
  <c r="D59" i="42"/>
  <c r="D64" i="42"/>
  <c r="D70" i="42"/>
  <c r="D92" i="42"/>
  <c r="D99" i="42"/>
  <c r="F47" i="46"/>
  <c r="G36" i="20"/>
  <c r="G65" i="20"/>
  <c r="G91" i="20"/>
  <c r="G92" i="20"/>
  <c r="G95" i="20"/>
  <c r="G96" i="20"/>
  <c r="G127" i="20"/>
  <c r="G129" i="20"/>
  <c r="G145" i="20"/>
  <c r="G168" i="20"/>
  <c r="G227" i="20"/>
  <c r="G240" i="20"/>
  <c r="G265" i="20"/>
  <c r="G273" i="20"/>
  <c r="G282" i="20"/>
  <c r="G355" i="20"/>
  <c r="G364" i="20"/>
  <c r="G409" i="20"/>
  <c r="L34" i="18"/>
  <c r="N34" i="18" s="1"/>
  <c r="J173" i="18"/>
  <c r="E87" i="42"/>
  <c r="E82" i="42"/>
  <c r="E77" i="42"/>
  <c r="E35" i="42"/>
  <c r="E107" i="42"/>
  <c r="E98" i="42"/>
  <c r="E93" i="42"/>
  <c r="E58" i="42"/>
  <c r="E48" i="42"/>
  <c r="E26" i="42"/>
  <c r="E105" i="42"/>
  <c r="E70" i="42"/>
  <c r="E65" i="42"/>
  <c r="E30" i="42"/>
  <c r="E15" i="42"/>
  <c r="E79" i="42"/>
  <c r="E73" i="42"/>
  <c r="E57" i="42"/>
  <c r="E37" i="42"/>
  <c r="F254" i="41"/>
  <c r="E85" i="42"/>
  <c r="E61" i="42"/>
  <c r="E11" i="42"/>
  <c r="E102" i="42"/>
  <c r="E91" i="42"/>
  <c r="E66" i="42"/>
  <c r="E51" i="42"/>
  <c r="E46" i="42"/>
  <c r="E25" i="42"/>
  <c r="D18" i="42"/>
  <c r="E29" i="42"/>
  <c r="D47" i="42"/>
  <c r="E64" i="42"/>
  <c r="E99" i="42"/>
  <c r="I45" i="27"/>
  <c r="D152" i="27"/>
  <c r="J148" i="27"/>
  <c r="H148" i="27"/>
  <c r="G87" i="20"/>
  <c r="G111" i="20"/>
  <c r="G113" i="20"/>
  <c r="G252" i="20"/>
  <c r="G288" i="20"/>
  <c r="G304" i="20"/>
  <c r="G323" i="20"/>
  <c r="G354" i="20"/>
  <c r="G406" i="20"/>
  <c r="I25" i="27"/>
  <c r="H42" i="41"/>
  <c r="G42" i="41" s="1"/>
  <c r="J212" i="18"/>
  <c r="J130" i="18"/>
  <c r="J125" i="18"/>
  <c r="J193" i="18"/>
  <c r="J167" i="18"/>
  <c r="J133" i="18"/>
  <c r="J117" i="18"/>
  <c r="H125" i="41"/>
  <c r="G125" i="41" s="1"/>
  <c r="H32" i="41"/>
  <c r="G32" i="41" s="1"/>
  <c r="H84" i="41"/>
  <c r="G84" i="41" s="1"/>
  <c r="J215" i="18"/>
  <c r="J146" i="18"/>
  <c r="G33" i="20"/>
  <c r="G35" i="20"/>
  <c r="G63" i="20"/>
  <c r="G124" i="20"/>
  <c r="G181" i="20"/>
  <c r="G188" i="20"/>
  <c r="G219" i="20"/>
  <c r="G226" i="20"/>
  <c r="G272" i="20"/>
  <c r="G372" i="20"/>
  <c r="I21" i="26"/>
  <c r="G49" i="20"/>
  <c r="G90" i="20"/>
  <c r="G159" i="20"/>
  <c r="G333" i="20"/>
  <c r="G363" i="20"/>
  <c r="G419" i="20"/>
  <c r="G431" i="20"/>
  <c r="M47" i="18"/>
  <c r="G50" i="20"/>
  <c r="G52" i="20"/>
  <c r="G64" i="20"/>
  <c r="G77" i="20"/>
  <c r="G94" i="20"/>
  <c r="G116" i="20"/>
  <c r="G198" i="20"/>
  <c r="G205" i="20"/>
  <c r="G212" i="20"/>
  <c r="G220" i="20"/>
  <c r="G256" i="20"/>
  <c r="G281" i="20"/>
  <c r="G289" i="20"/>
  <c r="G324" i="20"/>
  <c r="G382" i="20"/>
  <c r="G394" i="20"/>
  <c r="M38" i="18"/>
  <c r="G54" i="20"/>
  <c r="G69" i="20"/>
  <c r="G146" i="20"/>
  <c r="G153" i="20"/>
  <c r="G169" i="20"/>
  <c r="G176" i="20"/>
  <c r="G192" i="20"/>
  <c r="G206" i="20"/>
  <c r="G235" i="20"/>
  <c r="G241" i="20"/>
  <c r="G317" i="20"/>
  <c r="G326" i="20"/>
  <c r="G374" i="20"/>
  <c r="G386" i="20"/>
  <c r="G410" i="20"/>
  <c r="J118" i="18"/>
  <c r="J192" i="18"/>
  <c r="H103" i="41"/>
  <c r="G103" i="41" s="1"/>
  <c r="D24" i="42"/>
  <c r="E47" i="42"/>
  <c r="D60" i="42"/>
  <c r="D87" i="42"/>
  <c r="D106" i="42"/>
  <c r="I43" i="27"/>
  <c r="F146" i="27" s="1"/>
  <c r="I54" i="27"/>
  <c r="I55" i="27"/>
  <c r="E70" i="13"/>
  <c r="E74" i="13"/>
  <c r="F30" i="42"/>
  <c r="F43" i="42"/>
  <c r="F88" i="42"/>
  <c r="N217" i="18"/>
  <c r="D53" i="26"/>
  <c r="D80" i="26" s="1"/>
  <c r="F26" i="42"/>
  <c r="G20" i="26"/>
  <c r="E53" i="26"/>
  <c r="O37" i="18"/>
  <c r="P37" i="18" s="1"/>
  <c r="Q46" i="18"/>
  <c r="R46" i="18" s="1"/>
  <c r="K51" i="17" s="1"/>
  <c r="E74" i="3"/>
  <c r="Q32" i="18"/>
  <c r="R32" i="18" s="1"/>
  <c r="K37" i="17" s="1"/>
  <c r="O47" i="18"/>
  <c r="P47" i="18" s="1"/>
  <c r="G217" i="56"/>
  <c r="J217" i="56" s="1"/>
  <c r="G186" i="56"/>
  <c r="J186" i="56" s="1"/>
  <c r="G190" i="56"/>
  <c r="J190" i="56" s="1"/>
  <c r="G232" i="56"/>
  <c r="J232" i="56" s="1"/>
  <c r="I32" i="27"/>
  <c r="I29" i="27"/>
  <c r="I60" i="15"/>
  <c r="F102" i="15"/>
  <c r="I115" i="15"/>
  <c r="G264" i="56"/>
  <c r="J264" i="56" s="1"/>
  <c r="I72" i="15"/>
  <c r="I102" i="15"/>
  <c r="F121" i="15"/>
  <c r="G228" i="56"/>
  <c r="J228" i="56" s="1"/>
  <c r="H32" i="20"/>
  <c r="K32" i="20"/>
  <c r="Q51" i="18"/>
  <c r="F79" i="15"/>
  <c r="G238" i="56"/>
  <c r="J238" i="56" s="1"/>
  <c r="F69" i="46"/>
  <c r="I49" i="15"/>
  <c r="I79" i="15"/>
  <c r="I103" i="15"/>
  <c r="I122" i="15"/>
  <c r="J174" i="56"/>
  <c r="G196" i="56"/>
  <c r="J196" i="56" s="1"/>
  <c r="G256" i="56"/>
  <c r="J256" i="56" s="1"/>
  <c r="L38" i="18"/>
  <c r="N38" i="18" s="1"/>
  <c r="I44" i="15"/>
  <c r="I85" i="15"/>
  <c r="F98" i="15"/>
  <c r="I111" i="15"/>
  <c r="G261" i="56"/>
  <c r="J261" i="56" s="1"/>
  <c r="F41" i="46"/>
  <c r="E72" i="3"/>
  <c r="F63" i="15"/>
  <c r="F75" i="15"/>
  <c r="F80" i="15"/>
  <c r="G220" i="56"/>
  <c r="J220" i="56" s="1"/>
  <c r="G225" i="56"/>
  <c r="J225" i="56" s="1"/>
  <c r="F34" i="46"/>
  <c r="Q49" i="18"/>
  <c r="R49" i="18" s="1"/>
  <c r="K54" i="17" s="1"/>
  <c r="O46" i="18"/>
  <c r="P46" i="18" s="1"/>
  <c r="O43" i="18"/>
  <c r="P43" i="18" s="1"/>
  <c r="O35" i="18"/>
  <c r="P35" i="18" s="1"/>
  <c r="L50" i="18"/>
  <c r="N50" i="18" s="1"/>
  <c r="L43" i="18"/>
  <c r="N43" i="18" s="1"/>
  <c r="O42" i="18"/>
  <c r="P42" i="18" s="1"/>
  <c r="Q48" i="18"/>
  <c r="R48" i="18" s="1"/>
  <c r="K53" i="17" s="1"/>
  <c r="L44" i="18"/>
  <c r="N44" i="18" s="1"/>
  <c r="Q43" i="18"/>
  <c r="R43" i="18" s="1"/>
  <c r="K48" i="17" s="1"/>
  <c r="L49" i="18"/>
  <c r="N49" i="18" s="1"/>
  <c r="Q34" i="18"/>
  <c r="R34" i="18" s="1"/>
  <c r="K39" i="17" s="1"/>
  <c r="O48" i="18"/>
  <c r="P48" i="18" s="1"/>
  <c r="L42" i="18"/>
  <c r="N42" i="18" s="1"/>
  <c r="Q41" i="18"/>
  <c r="R41" i="18" s="1"/>
  <c r="K46" i="17" s="1"/>
  <c r="L37" i="18"/>
  <c r="N37" i="18" s="1"/>
  <c r="O49" i="18"/>
  <c r="P49" i="18" s="1"/>
  <c r="L47" i="18"/>
  <c r="N47" i="18" s="1"/>
  <c r="Q44" i="18"/>
  <c r="R44" i="18" s="1"/>
  <c r="K49" i="17" s="1"/>
  <c r="Q42" i="18"/>
  <c r="R42" i="18" s="1"/>
  <c r="K47" i="17" s="1"/>
  <c r="O40" i="18"/>
  <c r="P40" i="18" s="1"/>
  <c r="O34" i="18"/>
  <c r="P34" i="18" s="1"/>
  <c r="Q38" i="18"/>
  <c r="R38" i="18" s="1"/>
  <c r="K43" i="17" s="1"/>
  <c r="Q36" i="18"/>
  <c r="R36" i="18" s="1"/>
  <c r="K41" i="17" s="1"/>
  <c r="O39" i="18"/>
  <c r="P39" i="18" s="1"/>
  <c r="L51" i="18"/>
  <c r="Q50" i="18"/>
  <c r="R50" i="18" s="1"/>
  <c r="K55" i="17" s="1"/>
  <c r="L45" i="18"/>
  <c r="N45" i="18" s="1"/>
  <c r="L46" i="18"/>
  <c r="N46" i="18" s="1"/>
  <c r="O44" i="18"/>
  <c r="P44" i="18" s="1"/>
  <c r="Q39" i="18"/>
  <c r="R39" i="18" s="1"/>
  <c r="K44" i="17" s="1"/>
  <c r="L40" i="18"/>
  <c r="N40" i="18" s="1"/>
  <c r="Q37" i="18"/>
  <c r="R37" i="18" s="1"/>
  <c r="K42" i="17" s="1"/>
  <c r="Q33" i="18"/>
  <c r="R33" i="18" s="1"/>
  <c r="K38" i="17" s="1"/>
  <c r="L35" i="18"/>
  <c r="N35" i="18" s="1"/>
  <c r="L33" i="18"/>
  <c r="N33" i="18" s="1"/>
  <c r="G244" i="56"/>
  <c r="J244" i="56" s="1"/>
  <c r="G231" i="56"/>
  <c r="J231" i="56" s="1"/>
  <c r="G208" i="56"/>
  <c r="J208" i="56" s="1"/>
  <c r="G195" i="56"/>
  <c r="J195" i="56" s="1"/>
  <c r="G247" i="56"/>
  <c r="J247" i="56" s="1"/>
  <c r="G234" i="56"/>
  <c r="J234" i="56" s="1"/>
  <c r="G211" i="56"/>
  <c r="J211" i="56" s="1"/>
  <c r="G198" i="56"/>
  <c r="J198" i="56" s="1"/>
  <c r="G237" i="56"/>
  <c r="J237" i="56" s="1"/>
  <c r="G216" i="56"/>
  <c r="J216" i="56" s="1"/>
  <c r="G205" i="56"/>
  <c r="J205" i="56" s="1"/>
  <c r="G177" i="56"/>
  <c r="J177" i="56" s="1"/>
  <c r="G258" i="56"/>
  <c r="J258" i="56" s="1"/>
  <c r="G226" i="56"/>
  <c r="J226" i="56" s="1"/>
  <c r="G219" i="56"/>
  <c r="J219" i="56" s="1"/>
  <c r="G187" i="56"/>
  <c r="J187" i="56" s="1"/>
  <c r="G240" i="56"/>
  <c r="J240" i="56" s="1"/>
  <c r="G229" i="56"/>
  <c r="J229" i="56" s="1"/>
  <c r="G201" i="56"/>
  <c r="J201" i="56" s="1"/>
  <c r="G180" i="56"/>
  <c r="J180" i="56" s="1"/>
  <c r="G259" i="56"/>
  <c r="J259" i="56" s="1"/>
  <c r="G255" i="56"/>
  <c r="J255" i="56" s="1"/>
  <c r="G192" i="56"/>
  <c r="J192" i="56" s="1"/>
  <c r="G184" i="56"/>
  <c r="J184" i="56" s="1"/>
  <c r="G262" i="56"/>
  <c r="J262" i="56" s="1"/>
  <c r="G183" i="56"/>
  <c r="J183" i="56" s="1"/>
  <c r="G246" i="56"/>
  <c r="J246" i="56" s="1"/>
  <c r="G222" i="56"/>
  <c r="J222" i="56" s="1"/>
  <c r="G210" i="56"/>
  <c r="J210" i="56" s="1"/>
  <c r="G243" i="56"/>
  <c r="J243" i="56" s="1"/>
  <c r="G223" i="56"/>
  <c r="J223" i="56" s="1"/>
  <c r="G207" i="56"/>
  <c r="J207" i="56" s="1"/>
  <c r="G235" i="56"/>
  <c r="J235" i="56" s="1"/>
  <c r="G250" i="56"/>
  <c r="J250" i="56" s="1"/>
  <c r="G199" i="56"/>
  <c r="J199" i="56" s="1"/>
  <c r="G214" i="56"/>
  <c r="J214" i="56" s="1"/>
  <c r="D19" i="26"/>
  <c r="G181" i="56"/>
  <c r="J181" i="56" s="1"/>
  <c r="G241" i="56"/>
  <c r="J241" i="56" s="1"/>
  <c r="I30" i="27"/>
  <c r="O36" i="18"/>
  <c r="P36" i="18" s="1"/>
  <c r="O41" i="18"/>
  <c r="P41" i="18" s="1"/>
  <c r="G213" i="56"/>
  <c r="J213" i="56" s="1"/>
  <c r="H33" i="46"/>
  <c r="K33" i="46" s="1"/>
  <c r="H32" i="46"/>
  <c r="K32" i="46" s="1"/>
  <c r="H31" i="46"/>
  <c r="K31" i="46" s="1"/>
  <c r="F95" i="46"/>
  <c r="F33" i="46"/>
  <c r="F45" i="46"/>
  <c r="F110" i="46"/>
  <c r="F99" i="46"/>
  <c r="F77" i="46"/>
  <c r="F82" i="46"/>
  <c r="F106" i="46"/>
  <c r="F111" i="46"/>
  <c r="F51" i="46"/>
  <c r="F125" i="46"/>
  <c r="F90" i="46"/>
  <c r="F97" i="46"/>
  <c r="F114" i="46"/>
  <c r="F119" i="46"/>
  <c r="Q45" i="18"/>
  <c r="R45" i="18" s="1"/>
  <c r="K50" i="17" s="1"/>
  <c r="O51" i="18"/>
  <c r="F72" i="15"/>
  <c r="I108" i="15"/>
  <c r="D9" i="49"/>
  <c r="F130" i="15"/>
  <c r="I120" i="15"/>
  <c r="F117" i="15"/>
  <c r="I107" i="15"/>
  <c r="F104" i="15"/>
  <c r="I97" i="15"/>
  <c r="F94" i="15"/>
  <c r="I84" i="15"/>
  <c r="F81" i="15"/>
  <c r="I71" i="15"/>
  <c r="F68" i="15"/>
  <c r="I61" i="15"/>
  <c r="F58" i="15"/>
  <c r="I48" i="15"/>
  <c r="F45" i="15"/>
  <c r="I35" i="15"/>
  <c r="F32" i="15"/>
  <c r="I123" i="15"/>
  <c r="F120" i="15"/>
  <c r="I110" i="15"/>
  <c r="F107" i="15"/>
  <c r="I100" i="15"/>
  <c r="F97" i="15"/>
  <c r="I87" i="15"/>
  <c r="F84" i="15"/>
  <c r="I74" i="15"/>
  <c r="F71" i="15"/>
  <c r="I64" i="15"/>
  <c r="F61" i="15"/>
  <c r="I51" i="15"/>
  <c r="F48" i="15"/>
  <c r="I38" i="15"/>
  <c r="F35" i="15"/>
  <c r="I129" i="15"/>
  <c r="F122" i="15"/>
  <c r="F118" i="15"/>
  <c r="F111" i="15"/>
  <c r="F103" i="15"/>
  <c r="I92" i="15"/>
  <c r="I77" i="15"/>
  <c r="I73" i="15"/>
  <c r="F66" i="15"/>
  <c r="F55" i="15"/>
  <c r="F51" i="15"/>
  <c r="I47" i="15"/>
  <c r="F40" i="15"/>
  <c r="I36" i="15"/>
  <c r="F129" i="15"/>
  <c r="I114" i="15"/>
  <c r="I106" i="15"/>
  <c r="I99" i="15"/>
  <c r="F92" i="15"/>
  <c r="I88" i="15"/>
  <c r="F77" i="15"/>
  <c r="F73" i="15"/>
  <c r="I69" i="15"/>
  <c r="I62" i="15"/>
  <c r="I58" i="15"/>
  <c r="F47" i="15"/>
  <c r="I43" i="15"/>
  <c r="F36" i="15"/>
  <c r="I32" i="15"/>
  <c r="I125" i="15"/>
  <c r="I121" i="15"/>
  <c r="F114" i="15"/>
  <c r="F110" i="15"/>
  <c r="F106" i="15"/>
  <c r="F99" i="15"/>
  <c r="I95" i="15"/>
  <c r="F88" i="15"/>
  <c r="I80" i="15"/>
  <c r="F69" i="15"/>
  <c r="F62" i="15"/>
  <c r="I54" i="15"/>
  <c r="F43" i="15"/>
  <c r="I128" i="15"/>
  <c r="F124" i="15"/>
  <c r="I119" i="15"/>
  <c r="F115" i="15"/>
  <c r="I105" i="15"/>
  <c r="I101" i="15"/>
  <c r="I96" i="15"/>
  <c r="F87" i="15"/>
  <c r="F83" i="15"/>
  <c r="F65" i="15"/>
  <c r="F60" i="15"/>
  <c r="I56" i="15"/>
  <c r="F52" i="15"/>
  <c r="F38" i="15"/>
  <c r="F123" i="15"/>
  <c r="F91" i="15"/>
  <c r="I78" i="15"/>
  <c r="F64" i="15"/>
  <c r="F42" i="15"/>
  <c r="F33" i="15"/>
  <c r="I118" i="15"/>
  <c r="F100" i="15"/>
  <c r="I86" i="15"/>
  <c r="F78" i="15"/>
  <c r="I59" i="15"/>
  <c r="I50" i="15"/>
  <c r="F50" i="15"/>
  <c r="F128" i="15"/>
  <c r="F119" i="15"/>
  <c r="I109" i="15"/>
  <c r="F105" i="15"/>
  <c r="F101" i="15"/>
  <c r="F96" i="15"/>
  <c r="I91" i="15"/>
  <c r="F74" i="15"/>
  <c r="F56" i="15"/>
  <c r="I46" i="15"/>
  <c r="I42" i="15"/>
  <c r="I33" i="15"/>
  <c r="L33" i="15" s="1"/>
  <c r="F109" i="15"/>
  <c r="I82" i="15"/>
  <c r="F46" i="15"/>
  <c r="I37" i="15"/>
  <c r="I127" i="15"/>
  <c r="I113" i="15"/>
  <c r="F95" i="15"/>
  <c r="F82" i="15"/>
  <c r="I68" i="15"/>
  <c r="I55" i="15"/>
  <c r="F37" i="15"/>
  <c r="I131" i="15"/>
  <c r="F127" i="15"/>
  <c r="F113" i="15"/>
  <c r="I104" i="15"/>
  <c r="I90" i="15"/>
  <c r="F86" i="15"/>
  <c r="F59" i="15"/>
  <c r="I41" i="15"/>
  <c r="G204" i="56"/>
  <c r="J204" i="56" s="1"/>
  <c r="F54" i="15"/>
  <c r="F90" i="15"/>
  <c r="F49" i="15"/>
  <c r="F67" i="15"/>
  <c r="F116" i="15"/>
  <c r="G178" i="56"/>
  <c r="J178" i="56" s="1"/>
  <c r="G252" i="56"/>
  <c r="J252" i="56" s="1"/>
  <c r="L39" i="18"/>
  <c r="N39" i="18" s="1"/>
  <c r="F44" i="15"/>
  <c r="I67" i="15"/>
  <c r="F85" i="15"/>
  <c r="I116" i="15"/>
  <c r="G165" i="56"/>
  <c r="J165" i="56" s="1"/>
  <c r="L32" i="18"/>
  <c r="N32" i="18" s="1"/>
  <c r="F39" i="15"/>
  <c r="F57" i="15"/>
  <c r="I63" i="15"/>
  <c r="I75" i="15"/>
  <c r="F93" i="15"/>
  <c r="I117" i="15"/>
  <c r="I124" i="15"/>
  <c r="I130" i="15"/>
  <c r="E12" i="16"/>
  <c r="G202" i="56"/>
  <c r="J202" i="56" s="1"/>
  <c r="G249" i="56"/>
  <c r="J249" i="56" s="1"/>
  <c r="G253" i="56"/>
  <c r="J253" i="56" s="1"/>
  <c r="O50" i="18"/>
  <c r="P50" i="18" s="1"/>
  <c r="J145" i="18"/>
  <c r="H56" i="41"/>
  <c r="G138" i="46"/>
  <c r="I430" i="20"/>
  <c r="I410" i="20"/>
  <c r="I403" i="20"/>
  <c r="I394" i="20"/>
  <c r="I419" i="20"/>
  <c r="I408" i="20"/>
  <c r="I401" i="20"/>
  <c r="I383" i="20"/>
  <c r="I381" i="20"/>
  <c r="I428" i="20"/>
  <c r="I417" i="20"/>
  <c r="I413" i="20"/>
  <c r="I400" i="20"/>
  <c r="I389" i="20"/>
  <c r="I387" i="20"/>
  <c r="I385" i="20"/>
  <c r="I379" i="20"/>
  <c r="I355" i="20"/>
  <c r="I335" i="20"/>
  <c r="I319" i="20"/>
  <c r="I308" i="20"/>
  <c r="I306" i="20"/>
  <c r="I293" i="20"/>
  <c r="I284" i="20"/>
  <c r="I282" i="20"/>
  <c r="I273" i="20"/>
  <c r="I255" i="20"/>
  <c r="I415" i="20"/>
  <c r="I402" i="20"/>
  <c r="I391" i="20"/>
  <c r="I377" i="20"/>
  <c r="I364" i="20"/>
  <c r="I353" i="20"/>
  <c r="I344" i="20"/>
  <c r="I326" i="20"/>
  <c r="I317" i="20"/>
  <c r="I304" i="20"/>
  <c r="I262" i="20"/>
  <c r="I253" i="20"/>
  <c r="I244" i="20"/>
  <c r="I233" i="20"/>
  <c r="I208" i="20"/>
  <c r="I191" i="20"/>
  <c r="I178" i="20"/>
  <c r="I159" i="20"/>
  <c r="I157" i="20"/>
  <c r="I134" i="20"/>
  <c r="I123" i="20"/>
  <c r="I116" i="20"/>
  <c r="I102" i="20"/>
  <c r="I90" i="20"/>
  <c r="I397" i="20"/>
  <c r="I392" i="20"/>
  <c r="I375" i="20"/>
  <c r="I362" i="20"/>
  <c r="I340" i="20"/>
  <c r="I338" i="20"/>
  <c r="I323" i="20"/>
  <c r="I310" i="20"/>
  <c r="I301" i="20"/>
  <c r="I294" i="20"/>
  <c r="I292" i="20"/>
  <c r="I281" i="20"/>
  <c r="I270" i="20"/>
  <c r="I222" i="20"/>
  <c r="I220" i="20"/>
  <c r="I218" i="20"/>
  <c r="I195" i="20"/>
  <c r="I164" i="20"/>
  <c r="I149" i="20"/>
  <c r="I143" i="20"/>
  <c r="I141" i="20"/>
  <c r="I125" i="20"/>
  <c r="I94" i="20"/>
  <c r="I86" i="20"/>
  <c r="I76" i="20"/>
  <c r="I69" i="20"/>
  <c r="I50" i="20"/>
  <c r="I43" i="20"/>
  <c r="I36" i="20"/>
  <c r="I431" i="20"/>
  <c r="I423" i="20"/>
  <c r="I418" i="20"/>
  <c r="I382" i="20"/>
  <c r="I342" i="20"/>
  <c r="I325" i="20"/>
  <c r="I321" i="20"/>
  <c r="I312" i="20"/>
  <c r="I303" i="20"/>
  <c r="I283" i="20"/>
  <c r="I257" i="20"/>
  <c r="I224" i="20"/>
  <c r="I203" i="20"/>
  <c r="I201" i="20"/>
  <c r="I199" i="20"/>
  <c r="I197" i="20"/>
  <c r="I172" i="20"/>
  <c r="I170" i="20"/>
  <c r="I168" i="20"/>
  <c r="I166" i="20"/>
  <c r="I151" i="20"/>
  <c r="I145" i="20"/>
  <c r="I120" i="20"/>
  <c r="I112" i="20"/>
  <c r="I107" i="20"/>
  <c r="I99" i="20"/>
  <c r="I91" i="20"/>
  <c r="I78" i="20"/>
  <c r="I64" i="20"/>
  <c r="I57" i="20"/>
  <c r="I38" i="20"/>
  <c r="I46" i="20"/>
  <c r="I98" i="20"/>
  <c r="I101" i="20"/>
  <c r="I114" i="20"/>
  <c r="I161" i="20"/>
  <c r="I176" i="20"/>
  <c r="I267" i="20"/>
  <c r="I332" i="20"/>
  <c r="I337" i="20"/>
  <c r="I371" i="20"/>
  <c r="M35" i="18"/>
  <c r="J141" i="18"/>
  <c r="J149" i="18"/>
  <c r="J166" i="18"/>
  <c r="J176" i="18"/>
  <c r="J201" i="18"/>
  <c r="G12" i="16"/>
  <c r="H82" i="41"/>
  <c r="I311" i="20"/>
  <c r="I330" i="20"/>
  <c r="J120" i="18"/>
  <c r="J157" i="18"/>
  <c r="J185" i="18"/>
  <c r="H34" i="41"/>
  <c r="H78" i="41"/>
  <c r="I105" i="20"/>
  <c r="I146" i="20"/>
  <c r="I193" i="20"/>
  <c r="I215" i="20"/>
  <c r="I55" i="20"/>
  <c r="I88" i="20"/>
  <c r="I111" i="20"/>
  <c r="I121" i="20"/>
  <c r="I131" i="20"/>
  <c r="I136" i="20"/>
  <c r="I188" i="20"/>
  <c r="I40" i="20"/>
  <c r="I49" i="20"/>
  <c r="I58" i="20"/>
  <c r="I67" i="20"/>
  <c r="I85" i="20"/>
  <c r="I118" i="20"/>
  <c r="I127" i="20"/>
  <c r="I128" i="20"/>
  <c r="I154" i="20"/>
  <c r="I169" i="20"/>
  <c r="I181" i="20"/>
  <c r="I186" i="20"/>
  <c r="I223" i="20"/>
  <c r="I245" i="20"/>
  <c r="I268" i="20"/>
  <c r="I289" i="20"/>
  <c r="I300" i="20"/>
  <c r="G306" i="20"/>
  <c r="G320" i="20"/>
  <c r="I322" i="20"/>
  <c r="I327" i="20"/>
  <c r="G335" i="20"/>
  <c r="G340" i="20"/>
  <c r="I345" i="20"/>
  <c r="I358" i="20"/>
  <c r="I366" i="20"/>
  <c r="G369" i="20"/>
  <c r="I374" i="20"/>
  <c r="G388" i="20"/>
  <c r="G391" i="20"/>
  <c r="G397" i="20"/>
  <c r="I416" i="20"/>
  <c r="I422" i="20"/>
  <c r="M41" i="18"/>
  <c r="M46" i="18"/>
  <c r="J135" i="18"/>
  <c r="J140" i="18"/>
  <c r="J144" i="18"/>
  <c r="J161" i="18"/>
  <c r="J190" i="18"/>
  <c r="J209" i="18"/>
  <c r="F12" i="16"/>
  <c r="B37" i="57"/>
  <c r="H122" i="41"/>
  <c r="H109" i="41"/>
  <c r="H98" i="41"/>
  <c r="H124" i="41"/>
  <c r="H111" i="41"/>
  <c r="H100" i="41"/>
  <c r="H87" i="41"/>
  <c r="H85" i="41"/>
  <c r="H83" i="41"/>
  <c r="H81" i="41"/>
  <c r="H79" i="41"/>
  <c r="H77" i="41"/>
  <c r="H75" i="41"/>
  <c r="H119" i="41"/>
  <c r="H107" i="41"/>
  <c r="H102" i="41"/>
  <c r="H97" i="41"/>
  <c r="H90" i="41"/>
  <c r="H73" i="41"/>
  <c r="H60" i="41"/>
  <c r="H129" i="41"/>
  <c r="H80" i="41"/>
  <c r="H62" i="41"/>
  <c r="H126" i="41"/>
  <c r="H99" i="41"/>
  <c r="H91" i="41"/>
  <c r="H88" i="41"/>
  <c r="H72" i="41"/>
  <c r="H65" i="41"/>
  <c r="H96" i="41"/>
  <c r="H57" i="41"/>
  <c r="H55" i="41"/>
  <c r="H53" i="41"/>
  <c r="H51" i="41"/>
  <c r="H49" i="41"/>
  <c r="H47" i="41"/>
  <c r="H45" i="41"/>
  <c r="H43" i="41"/>
  <c r="H41" i="41"/>
  <c r="H39" i="41"/>
  <c r="H37" i="41"/>
  <c r="H35" i="41"/>
  <c r="H33" i="41"/>
  <c r="H31" i="41"/>
  <c r="H121" i="41"/>
  <c r="H118" i="41"/>
  <c r="H104" i="41"/>
  <c r="H95" i="41"/>
  <c r="H89" i="41"/>
  <c r="H86" i="41"/>
  <c r="A23" i="53"/>
  <c r="H101" i="41"/>
  <c r="H92" i="41"/>
  <c r="H74" i="41"/>
  <c r="H71" i="41"/>
  <c r="H58" i="41"/>
  <c r="H48" i="41"/>
  <c r="H36" i="41"/>
  <c r="H112" i="41"/>
  <c r="H106" i="41"/>
  <c r="H66" i="41"/>
  <c r="H63" i="41"/>
  <c r="H127" i="41"/>
  <c r="H123" i="41"/>
  <c r="H110" i="41"/>
  <c r="H67" i="41"/>
  <c r="H54" i="41"/>
  <c r="H40" i="41"/>
  <c r="H61" i="41"/>
  <c r="H30" i="41"/>
  <c r="J210" i="18"/>
  <c r="J198" i="18"/>
  <c r="J186" i="18"/>
  <c r="J174" i="18"/>
  <c r="J162" i="18"/>
  <c r="J150" i="18"/>
  <c r="J138" i="18"/>
  <c r="J126" i="18"/>
  <c r="M48" i="18"/>
  <c r="M36" i="18"/>
  <c r="H68" i="41"/>
  <c r="H64" i="41"/>
  <c r="J211" i="18"/>
  <c r="J199" i="18"/>
  <c r="J187" i="18"/>
  <c r="J175" i="18"/>
  <c r="J163" i="18"/>
  <c r="J151" i="18"/>
  <c r="J139" i="18"/>
  <c r="J127" i="18"/>
  <c r="M43" i="18"/>
  <c r="M31" i="18"/>
  <c r="H114" i="41"/>
  <c r="H50" i="41"/>
  <c r="H44" i="41"/>
  <c r="J213" i="18"/>
  <c r="J204" i="18"/>
  <c r="J189" i="18"/>
  <c r="J180" i="18"/>
  <c r="J165" i="18"/>
  <c r="J158" i="18"/>
  <c r="J143" i="18"/>
  <c r="J137" i="18"/>
  <c r="J129" i="18"/>
  <c r="J122" i="18"/>
  <c r="M50" i="18"/>
  <c r="H117" i="41"/>
  <c r="J205" i="18"/>
  <c r="J181" i="18"/>
  <c r="J159" i="18"/>
  <c r="J123" i="18"/>
  <c r="M39" i="18"/>
  <c r="M32" i="18"/>
  <c r="H115" i="41"/>
  <c r="J195" i="18"/>
  <c r="J169" i="18"/>
  <c r="J153" i="18"/>
  <c r="M49" i="18"/>
  <c r="J208" i="18"/>
  <c r="J202" i="18"/>
  <c r="J196" i="18"/>
  <c r="J183" i="18"/>
  <c r="J177" i="18"/>
  <c r="J170" i="18"/>
  <c r="J164" i="18"/>
  <c r="J148" i="18"/>
  <c r="J121" i="18"/>
  <c r="M42" i="18"/>
  <c r="M37" i="18"/>
  <c r="H69" i="41"/>
  <c r="J214" i="18"/>
  <c r="J197" i="18"/>
  <c r="J171" i="18"/>
  <c r="J131" i="18"/>
  <c r="M34" i="18"/>
  <c r="M44" i="18"/>
  <c r="J172" i="18"/>
  <c r="J191" i="18"/>
  <c r="H52" i="41"/>
  <c r="H94" i="41"/>
  <c r="H116" i="41"/>
  <c r="I66" i="20"/>
  <c r="I104" i="20"/>
  <c r="I117" i="20"/>
  <c r="I124" i="20"/>
  <c r="I247" i="20"/>
  <c r="I259" i="20"/>
  <c r="I305" i="20"/>
  <c r="I363" i="20"/>
  <c r="I390" i="20"/>
  <c r="I406" i="20"/>
  <c r="I409" i="20"/>
  <c r="J128" i="18"/>
  <c r="H138" i="46"/>
  <c r="I37" i="20"/>
  <c r="I95" i="20"/>
  <c r="I108" i="20"/>
  <c r="I198" i="20"/>
  <c r="I213" i="20"/>
  <c r="I228" i="20"/>
  <c r="I240" i="20"/>
  <c r="I242" i="20"/>
  <c r="I254" i="20"/>
  <c r="I278" i="20"/>
  <c r="I324" i="20"/>
  <c r="I350" i="20"/>
  <c r="M40" i="18"/>
  <c r="J124" i="18"/>
  <c r="J136" i="18"/>
  <c r="H38" i="41"/>
  <c r="H108" i="41"/>
  <c r="G423" i="20"/>
  <c r="G414" i="20"/>
  <c r="G405" i="20"/>
  <c r="G396" i="20"/>
  <c r="G432" i="20"/>
  <c r="G421" i="20"/>
  <c r="G412" i="20"/>
  <c r="G385" i="20"/>
  <c r="G426" i="20"/>
  <c r="G422" i="20"/>
  <c r="G411" i="20"/>
  <c r="G370" i="20"/>
  <c r="G359" i="20"/>
  <c r="G348" i="20"/>
  <c r="G337" i="20"/>
  <c r="G330" i="20"/>
  <c r="G312" i="20"/>
  <c r="G299" i="20"/>
  <c r="G297" i="20"/>
  <c r="G286" i="20"/>
  <c r="G266" i="20"/>
  <c r="G259" i="20"/>
  <c r="G424" i="20"/>
  <c r="G398" i="20"/>
  <c r="G381" i="20"/>
  <c r="G368" i="20"/>
  <c r="G366" i="20"/>
  <c r="G357" i="20"/>
  <c r="G346" i="20"/>
  <c r="G328" i="20"/>
  <c r="G321" i="20"/>
  <c r="G310" i="20"/>
  <c r="G295" i="20"/>
  <c r="G275" i="20"/>
  <c r="G264" i="20"/>
  <c r="G257" i="20"/>
  <c r="G239" i="20"/>
  <c r="G237" i="20"/>
  <c r="G218" i="20"/>
  <c r="G216" i="20"/>
  <c r="G214" i="20"/>
  <c r="G199" i="20"/>
  <c r="G182" i="20"/>
  <c r="G167" i="20"/>
  <c r="G140" i="20"/>
  <c r="G138" i="20"/>
  <c r="G121" i="20"/>
  <c r="G114" i="20"/>
  <c r="G107" i="20"/>
  <c r="G100" i="20"/>
  <c r="G88" i="20"/>
  <c r="G429" i="20"/>
  <c r="G416" i="20"/>
  <c r="G408" i="20"/>
  <c r="G403" i="20"/>
  <c r="G395" i="20"/>
  <c r="G360" i="20"/>
  <c r="G349" i="20"/>
  <c r="G347" i="20"/>
  <c r="G332" i="20"/>
  <c r="G319" i="20"/>
  <c r="G279" i="20"/>
  <c r="G255" i="20"/>
  <c r="G249" i="20"/>
  <c r="G247" i="20"/>
  <c r="G245" i="20"/>
  <c r="G243" i="20"/>
  <c r="G193" i="20"/>
  <c r="G191" i="20"/>
  <c r="G189" i="20"/>
  <c r="G185" i="20"/>
  <c r="G183" i="20"/>
  <c r="G177" i="20"/>
  <c r="G160" i="20"/>
  <c r="G158" i="20"/>
  <c r="G156" i="20"/>
  <c r="G137" i="20"/>
  <c r="G133" i="20"/>
  <c r="G123" i="20"/>
  <c r="G110" i="20"/>
  <c r="G97" i="20"/>
  <c r="G89" i="20"/>
  <c r="G74" i="20"/>
  <c r="G67" i="20"/>
  <c r="G41" i="20"/>
  <c r="G413" i="20"/>
  <c r="G400" i="20"/>
  <c r="G387" i="20"/>
  <c r="G380" i="20"/>
  <c r="G373" i="20"/>
  <c r="G371" i="20"/>
  <c r="G351" i="20"/>
  <c r="G336" i="20"/>
  <c r="G334" i="20"/>
  <c r="G290" i="20"/>
  <c r="G268" i="20"/>
  <c r="G195" i="20"/>
  <c r="G187" i="20"/>
  <c r="G162" i="20"/>
  <c r="G139" i="20"/>
  <c r="G135" i="20"/>
  <c r="G128" i="20"/>
  <c r="G115" i="20"/>
  <c r="G105" i="20"/>
  <c r="G102" i="20"/>
  <c r="G81" i="20"/>
  <c r="G62" i="20"/>
  <c r="G55" i="20"/>
  <c r="G48" i="20"/>
  <c r="G34" i="20"/>
  <c r="G44" i="20"/>
  <c r="G47" i="20"/>
  <c r="I52" i="20"/>
  <c r="G53" i="20"/>
  <c r="I61" i="20"/>
  <c r="I70" i="20"/>
  <c r="G79" i="20"/>
  <c r="I82" i="20"/>
  <c r="I89" i="20"/>
  <c r="I92" i="20"/>
  <c r="G99" i="20"/>
  <c r="G106" i="20"/>
  <c r="G112" i="20"/>
  <c r="I115" i="20"/>
  <c r="G119" i="20"/>
  <c r="I139" i="20"/>
  <c r="I144" i="20"/>
  <c r="G149" i="20"/>
  <c r="G152" i="20"/>
  <c r="I174" i="20"/>
  <c r="I177" i="20"/>
  <c r="I179" i="20"/>
  <c r="G184" i="20"/>
  <c r="I196" i="20"/>
  <c r="I206" i="20"/>
  <c r="I216" i="20"/>
  <c r="G221" i="20"/>
  <c r="I231" i="20"/>
  <c r="I238" i="20"/>
  <c r="I252" i="20"/>
  <c r="I265" i="20"/>
  <c r="G271" i="20"/>
  <c r="I276" i="20"/>
  <c r="I295" i="20"/>
  <c r="G298" i="20"/>
  <c r="G309" i="20"/>
  <c r="I314" i="20"/>
  <c r="G325" i="20"/>
  <c r="I343" i="20"/>
  <c r="G353" i="20"/>
  <c r="I356" i="20"/>
  <c r="I361" i="20"/>
  <c r="G377" i="20"/>
  <c r="G401" i="20"/>
  <c r="G404" i="20"/>
  <c r="I407" i="20"/>
  <c r="I425" i="20"/>
  <c r="M45" i="18"/>
  <c r="M51" i="18"/>
  <c r="J119" i="18"/>
  <c r="J152" i="18"/>
  <c r="J156" i="18"/>
  <c r="J179" i="18"/>
  <c r="J200" i="18"/>
  <c r="N143" i="56"/>
  <c r="F130" i="41"/>
  <c r="H46" i="41"/>
  <c r="H105" i="41"/>
  <c r="H113" i="41"/>
  <c r="B38" i="57"/>
  <c r="E61" i="13"/>
  <c r="E65" i="13"/>
  <c r="F65" i="13" s="1"/>
  <c r="F121" i="13" s="1"/>
  <c r="E69" i="13"/>
  <c r="E77" i="13"/>
  <c r="F53" i="26"/>
  <c r="M143" i="56"/>
  <c r="G263" i="56"/>
  <c r="J263" i="56" s="1"/>
  <c r="G260" i="56"/>
  <c r="J260" i="56" s="1"/>
  <c r="G257" i="56"/>
  <c r="J257" i="56" s="1"/>
  <c r="G254" i="56"/>
  <c r="J254" i="56" s="1"/>
  <c r="G251" i="56"/>
  <c r="J251" i="56" s="1"/>
  <c r="G248" i="56"/>
  <c r="J248" i="56" s="1"/>
  <c r="G245" i="56"/>
  <c r="J245" i="56" s="1"/>
  <c r="G242" i="56"/>
  <c r="J242" i="56" s="1"/>
  <c r="G239" i="56"/>
  <c r="J239" i="56" s="1"/>
  <c r="G236" i="56"/>
  <c r="J236" i="56" s="1"/>
  <c r="G233" i="56"/>
  <c r="J233" i="56" s="1"/>
  <c r="G230" i="56"/>
  <c r="J230" i="56" s="1"/>
  <c r="G227" i="56"/>
  <c r="J227" i="56" s="1"/>
  <c r="G224" i="56"/>
  <c r="J224" i="56" s="1"/>
  <c r="G221" i="56"/>
  <c r="J221" i="56" s="1"/>
  <c r="G218" i="56"/>
  <c r="J218" i="56" s="1"/>
  <c r="G215" i="56"/>
  <c r="J215" i="56" s="1"/>
  <c r="G212" i="56"/>
  <c r="J212" i="56" s="1"/>
  <c r="G209" i="56"/>
  <c r="J209" i="56" s="1"/>
  <c r="G206" i="56"/>
  <c r="J206" i="56" s="1"/>
  <c r="G203" i="56"/>
  <c r="J203" i="56" s="1"/>
  <c r="G200" i="56"/>
  <c r="J200" i="56" s="1"/>
  <c r="G197" i="56"/>
  <c r="J197" i="56" s="1"/>
  <c r="G194" i="56"/>
  <c r="J194" i="56" s="1"/>
  <c r="G191" i="56"/>
  <c r="J191" i="56" s="1"/>
  <c r="G188" i="56"/>
  <c r="J188" i="56" s="1"/>
  <c r="G185" i="56"/>
  <c r="J185" i="56" s="1"/>
  <c r="G182" i="56"/>
  <c r="J182" i="56" s="1"/>
  <c r="G179" i="56"/>
  <c r="J179" i="56" s="1"/>
  <c r="C54" i="26"/>
  <c r="F115" i="46"/>
  <c r="O33" i="18"/>
  <c r="P33" i="18" s="1"/>
  <c r="Q35" i="18"/>
  <c r="R35" i="18" s="1"/>
  <c r="K40" i="17" s="1"/>
  <c r="L36" i="18"/>
  <c r="N36" i="18" s="1"/>
  <c r="O45" i="18"/>
  <c r="P45" i="18" s="1"/>
  <c r="Q47" i="18"/>
  <c r="R47" i="18" s="1"/>
  <c r="K52" i="17" s="1"/>
  <c r="L48" i="18"/>
  <c r="N48" i="18" s="1"/>
  <c r="F99" i="42"/>
  <c r="F87" i="42"/>
  <c r="F75" i="42"/>
  <c r="F63" i="42"/>
  <c r="F51" i="42"/>
  <c r="F39" i="42"/>
  <c r="F27" i="42"/>
  <c r="F15" i="42"/>
  <c r="F107" i="42"/>
  <c r="F95" i="42"/>
  <c r="F83" i="42"/>
  <c r="F94" i="42"/>
  <c r="F59" i="42"/>
  <c r="F54" i="42"/>
  <c r="F41" i="42"/>
  <c r="F23" i="42"/>
  <c r="F18" i="42"/>
  <c r="F105" i="42"/>
  <c r="F91" i="42"/>
  <c r="F80" i="42"/>
  <c r="F64" i="42"/>
  <c r="F46" i="42"/>
  <c r="F28" i="42"/>
  <c r="F10" i="42"/>
  <c r="G254" i="41"/>
  <c r="F97" i="42"/>
  <c r="F71" i="42"/>
  <c r="F53" i="42"/>
  <c r="F106" i="42"/>
  <c r="F103" i="42"/>
  <c r="F74" i="42"/>
  <c r="F65" i="42"/>
  <c r="F56" i="42"/>
  <c r="F50" i="42"/>
  <c r="F47" i="42"/>
  <c r="F38" i="42"/>
  <c r="F35" i="42"/>
  <c r="F17" i="42"/>
  <c r="F93" i="42"/>
  <c r="F82" i="42"/>
  <c r="F55" i="42"/>
  <c r="F48" i="42"/>
  <c r="F96" i="42"/>
  <c r="F86" i="42"/>
  <c r="F68" i="42"/>
  <c r="F58" i="42"/>
  <c r="F45" i="42"/>
  <c r="F104" i="42"/>
  <c r="F85" i="42"/>
  <c r="F77" i="42"/>
  <c r="F66" i="42"/>
  <c r="F52" i="42"/>
  <c r="F49" i="42"/>
  <c r="F24" i="42"/>
  <c r="F89" i="42"/>
  <c r="F81" i="42"/>
  <c r="F73" i="42"/>
  <c r="F20" i="42"/>
  <c r="F100" i="42"/>
  <c r="F92" i="42"/>
  <c r="F69" i="42"/>
  <c r="F31" i="42"/>
  <c r="F62" i="42"/>
  <c r="F33" i="42"/>
  <c r="F21" i="42"/>
  <c r="F13" i="42"/>
  <c r="F37" i="42"/>
  <c r="F44" i="42"/>
  <c r="F76" i="42"/>
  <c r="F98" i="42"/>
  <c r="F102" i="42"/>
  <c r="F50" i="46"/>
  <c r="F67" i="46"/>
  <c r="O38" i="18"/>
  <c r="P38" i="18" s="1"/>
  <c r="Q40" i="18"/>
  <c r="R40" i="18" s="1"/>
  <c r="K45" i="17" s="1"/>
  <c r="L41" i="18"/>
  <c r="N41" i="18" s="1"/>
  <c r="F25" i="42"/>
  <c r="F29" i="42"/>
  <c r="F57" i="42"/>
  <c r="F72" i="42"/>
  <c r="F90" i="42"/>
  <c r="F118" i="46"/>
  <c r="F105" i="46"/>
  <c r="F83" i="46"/>
  <c r="F70" i="46"/>
  <c r="F57" i="46"/>
  <c r="F35" i="46"/>
  <c r="F30" i="46"/>
  <c r="F122" i="46"/>
  <c r="F109" i="46"/>
  <c r="F87" i="46"/>
  <c r="F74" i="46"/>
  <c r="F61" i="46"/>
  <c r="F39" i="46"/>
  <c r="F126" i="46"/>
  <c r="F94" i="46"/>
  <c r="F85" i="46"/>
  <c r="F71" i="46"/>
  <c r="F62" i="46"/>
  <c r="F121" i="46"/>
  <c r="F107" i="46"/>
  <c r="F98" i="46"/>
  <c r="F66" i="46"/>
  <c r="F113" i="46"/>
  <c r="F103" i="46"/>
  <c r="F75" i="46"/>
  <c r="F65" i="46"/>
  <c r="F55" i="46"/>
  <c r="F42" i="46"/>
  <c r="F31" i="46"/>
  <c r="F127" i="46"/>
  <c r="F117" i="46"/>
  <c r="F89" i="46"/>
  <c r="F79" i="46"/>
  <c r="F46" i="46"/>
  <c r="F37" i="46"/>
  <c r="H30" i="46"/>
  <c r="K30" i="46" s="1"/>
  <c r="F63" i="46"/>
  <c r="F58" i="46"/>
  <c r="F53" i="46"/>
  <c r="F123" i="46"/>
  <c r="F93" i="46"/>
  <c r="F78" i="46"/>
  <c r="F73" i="46"/>
  <c r="F102" i="46"/>
  <c r="F43" i="46"/>
  <c r="F38" i="46"/>
  <c r="F54" i="46"/>
  <c r="H29" i="46"/>
  <c r="K29" i="46" s="1"/>
  <c r="F101" i="46"/>
  <c r="F91" i="46"/>
  <c r="F86" i="46"/>
  <c r="F81" i="46"/>
  <c r="F59" i="46"/>
  <c r="F49" i="46"/>
  <c r="F29" i="46"/>
  <c r="J145" i="27"/>
  <c r="H145" i="27"/>
  <c r="E145" i="27"/>
  <c r="D149" i="27"/>
  <c r="C149" i="27" s="1"/>
  <c r="D25" i="26"/>
  <c r="D150" i="27"/>
  <c r="D154" i="27" s="1"/>
  <c r="E146" i="27"/>
  <c r="H146" i="27"/>
  <c r="D109" i="42"/>
  <c r="D97" i="42"/>
  <c r="D85" i="42"/>
  <c r="D73" i="42"/>
  <c r="D61" i="42"/>
  <c r="D49" i="42"/>
  <c r="D37" i="42"/>
  <c r="D25" i="42"/>
  <c r="D13" i="42"/>
  <c r="D105" i="42"/>
  <c r="D93" i="42"/>
  <c r="D81" i="42"/>
  <c r="D100" i="42"/>
  <c r="D89" i="42"/>
  <c r="D78" i="42"/>
  <c r="D75" i="42"/>
  <c r="D62" i="42"/>
  <c r="D57" i="42"/>
  <c r="D44" i="42"/>
  <c r="D26" i="42"/>
  <c r="D21" i="42"/>
  <c r="D108" i="42"/>
  <c r="D86" i="42"/>
  <c r="D83" i="42"/>
  <c r="D72" i="42"/>
  <c r="D67" i="42"/>
  <c r="D36" i="42"/>
  <c r="D31" i="42"/>
  <c r="E53" i="42"/>
  <c r="E71" i="42"/>
  <c r="D84" i="42"/>
  <c r="E104" i="42"/>
  <c r="E92" i="42"/>
  <c r="E80" i="42"/>
  <c r="E68" i="42"/>
  <c r="E56" i="42"/>
  <c r="E44" i="42"/>
  <c r="E32" i="42"/>
  <c r="E20" i="42"/>
  <c r="E100" i="42"/>
  <c r="E88" i="42"/>
  <c r="E76" i="42"/>
  <c r="E108" i="42"/>
  <c r="E97" i="42"/>
  <c r="E86" i="42"/>
  <c r="E83" i="42"/>
  <c r="E72" i="42"/>
  <c r="E67" i="42"/>
  <c r="E49" i="42"/>
  <c r="E36" i="42"/>
  <c r="E31" i="42"/>
  <c r="E13" i="42"/>
  <c r="E94" i="42"/>
  <c r="E59" i="42"/>
  <c r="E54" i="42"/>
  <c r="E41" i="42"/>
  <c r="E23" i="42"/>
  <c r="E18" i="42"/>
  <c r="E21" i="42"/>
  <c r="D27" i="42"/>
  <c r="D30" i="42"/>
  <c r="D33" i="42"/>
  <c r="D42" i="42"/>
  <c r="D45" i="42"/>
  <c r="E78" i="42"/>
  <c r="E81" i="42"/>
  <c r="E84" i="42"/>
  <c r="F128" i="46"/>
  <c r="F124" i="46"/>
  <c r="F120" i="46"/>
  <c r="F116" i="46"/>
  <c r="F112" i="46"/>
  <c r="F108" i="46"/>
  <c r="F104" i="46"/>
  <c r="F100" i="46"/>
  <c r="F96" i="46"/>
  <c r="F92" i="46"/>
  <c r="F88" i="46"/>
  <c r="F84" i="46"/>
  <c r="F80" i="46"/>
  <c r="F76" i="46"/>
  <c r="F72" i="46"/>
  <c r="F68" i="46"/>
  <c r="F64" i="46"/>
  <c r="F60" i="46"/>
  <c r="F56" i="46"/>
  <c r="F52" i="46"/>
  <c r="F48" i="46"/>
  <c r="F44" i="46"/>
  <c r="F40" i="46"/>
  <c r="F36" i="46"/>
  <c r="F32" i="46"/>
  <c r="I26" i="27"/>
  <c r="I28" i="27"/>
  <c r="E71" i="3"/>
  <c r="E56" i="13"/>
  <c r="G56" i="13" s="1"/>
  <c r="G112" i="13" s="1"/>
  <c r="C65" i="13"/>
  <c r="I65" i="13" s="1"/>
  <c r="I121" i="13" s="1"/>
  <c r="E92" i="13"/>
  <c r="E84" i="13"/>
  <c r="G84" i="13" s="1"/>
  <c r="G140" i="13" s="1"/>
  <c r="E82" i="13"/>
  <c r="F82" i="13" s="1"/>
  <c r="F138" i="13" s="1"/>
  <c r="C63" i="13"/>
  <c r="L63" i="13" s="1"/>
  <c r="C74" i="13"/>
  <c r="N74" i="13" s="1"/>
  <c r="C78" i="13"/>
  <c r="I78" i="13" s="1"/>
  <c r="I134" i="13" s="1"/>
  <c r="K92" i="13"/>
  <c r="K147" i="13" s="1"/>
  <c r="K75" i="13"/>
  <c r="K131" i="13" s="1"/>
  <c r="I75" i="13"/>
  <c r="I131" i="13" s="1"/>
  <c r="L75" i="13"/>
  <c r="J75" i="13"/>
  <c r="J131" i="13" s="1"/>
  <c r="E67" i="13"/>
  <c r="F67" i="13" s="1"/>
  <c r="F123" i="13" s="1"/>
  <c r="E83" i="13"/>
  <c r="F83" i="13" s="1"/>
  <c r="F139" i="13" s="1"/>
  <c r="C55" i="13"/>
  <c r="N55" i="13" s="1"/>
  <c r="C69" i="13"/>
  <c r="N69" i="13" s="1"/>
  <c r="C77" i="13"/>
  <c r="I77" i="13" s="1"/>
  <c r="I133" i="13" s="1"/>
  <c r="C99" i="13"/>
  <c r="L99" i="13" s="1"/>
  <c r="E89" i="13"/>
  <c r="F89" i="13" s="1"/>
  <c r="F145" i="13" s="1"/>
  <c r="C71" i="13"/>
  <c r="N71" i="13" s="1"/>
  <c r="N75" i="13"/>
  <c r="H121" i="3"/>
  <c r="I121" i="3" s="1"/>
  <c r="E87" i="13"/>
  <c r="F87" i="13" s="1"/>
  <c r="F143" i="13" s="1"/>
  <c r="E55" i="13"/>
  <c r="F55" i="13" s="1"/>
  <c r="F111" i="13" s="1"/>
  <c r="N84" i="13"/>
  <c r="H166" i="3"/>
  <c r="I166" i="3" s="1"/>
  <c r="H144" i="3"/>
  <c r="I144" i="3" s="1"/>
  <c r="H98" i="3"/>
  <c r="I98" i="3" s="1"/>
  <c r="H102" i="3"/>
  <c r="I102" i="3" s="1"/>
  <c r="H133" i="3"/>
  <c r="I133" i="3" s="1"/>
  <c r="H146" i="3"/>
  <c r="I146" i="3" s="1"/>
  <c r="H155" i="3"/>
  <c r="I155" i="3" s="1"/>
  <c r="H88" i="3"/>
  <c r="I88" i="3" s="1"/>
  <c r="H105" i="3"/>
  <c r="I105" i="3" s="1"/>
  <c r="H141" i="3"/>
  <c r="I141" i="3" s="1"/>
  <c r="H162" i="3"/>
  <c r="I162" i="3" s="1"/>
  <c r="H110" i="3"/>
  <c r="I110" i="3" s="1"/>
  <c r="H119" i="3"/>
  <c r="I119" i="3" s="1"/>
  <c r="H75" i="3"/>
  <c r="I75" i="3" s="1"/>
  <c r="H116" i="3"/>
  <c r="I116" i="3" s="1"/>
  <c r="H95" i="3"/>
  <c r="I95" i="3" s="1"/>
  <c r="H160" i="3"/>
  <c r="I160" i="3" s="1"/>
  <c r="E85" i="13"/>
  <c r="F85" i="13" s="1"/>
  <c r="F141" i="13" s="1"/>
  <c r="H82" i="3"/>
  <c r="I82" i="3" s="1"/>
  <c r="H113" i="3"/>
  <c r="I113" i="3" s="1"/>
  <c r="H127" i="3"/>
  <c r="I127" i="3" s="1"/>
  <c r="H130" i="3"/>
  <c r="I130" i="3" s="1"/>
  <c r="H152" i="3"/>
  <c r="I152" i="3" s="1"/>
  <c r="E58" i="13"/>
  <c r="F58" i="13" s="1"/>
  <c r="F114" i="13" s="1"/>
  <c r="C58" i="13"/>
  <c r="K58" i="13" s="1"/>
  <c r="K114" i="13" s="1"/>
  <c r="H159" i="3"/>
  <c r="I159" i="3" s="1"/>
  <c r="H156" i="3"/>
  <c r="I156" i="3" s="1"/>
  <c r="H151" i="3"/>
  <c r="I151" i="3" s="1"/>
  <c r="H143" i="3"/>
  <c r="I143" i="3" s="1"/>
  <c r="H140" i="3"/>
  <c r="I140" i="3" s="1"/>
  <c r="H137" i="3"/>
  <c r="I137" i="3" s="1"/>
  <c r="H134" i="3"/>
  <c r="I134" i="3" s="1"/>
  <c r="H126" i="3"/>
  <c r="I126" i="3" s="1"/>
  <c r="H89" i="3"/>
  <c r="I89" i="3" s="1"/>
  <c r="H79" i="3"/>
  <c r="I79" i="3" s="1"/>
  <c r="H148" i="3"/>
  <c r="I148" i="3" s="1"/>
  <c r="H112" i="3"/>
  <c r="I112" i="3" s="1"/>
  <c r="H84" i="3"/>
  <c r="I84" i="3" s="1"/>
  <c r="H76" i="3"/>
  <c r="I76" i="3" s="1"/>
  <c r="H123" i="3"/>
  <c r="I123" i="3" s="1"/>
  <c r="H106" i="3"/>
  <c r="I106" i="3" s="1"/>
  <c r="H120" i="3"/>
  <c r="I120" i="3" s="1"/>
  <c r="H94" i="3"/>
  <c r="I94" i="3" s="1"/>
  <c r="H131" i="3"/>
  <c r="I131" i="3" s="1"/>
  <c r="H109" i="3"/>
  <c r="I109" i="3" s="1"/>
  <c r="H103" i="3"/>
  <c r="I103" i="3" s="1"/>
  <c r="H117" i="3"/>
  <c r="I117" i="3" s="1"/>
  <c r="H100" i="3"/>
  <c r="I100" i="3" s="1"/>
  <c r="H91" i="3"/>
  <c r="I91" i="3" s="1"/>
  <c r="H81" i="3"/>
  <c r="I81" i="3" s="1"/>
  <c r="H167" i="3"/>
  <c r="I167" i="3" s="1"/>
  <c r="H164" i="3"/>
  <c r="I164" i="3" s="1"/>
  <c r="H161" i="3"/>
  <c r="I161" i="3" s="1"/>
  <c r="H153" i="3"/>
  <c r="I153" i="3" s="1"/>
  <c r="H145" i="3"/>
  <c r="I145" i="3" s="1"/>
  <c r="H128" i="3"/>
  <c r="I128" i="3" s="1"/>
  <c r="H114" i="3"/>
  <c r="I114" i="3" s="1"/>
  <c r="H97" i="3"/>
  <c r="I97" i="3" s="1"/>
  <c r="H86" i="3"/>
  <c r="I86" i="3" s="1"/>
  <c r="H158" i="3"/>
  <c r="I158" i="3" s="1"/>
  <c r="H150" i="3"/>
  <c r="I150" i="3" s="1"/>
  <c r="H136" i="3"/>
  <c r="I136" i="3" s="1"/>
  <c r="H78" i="3"/>
  <c r="I78" i="3" s="1"/>
  <c r="C64" i="13"/>
  <c r="I64" i="13" s="1"/>
  <c r="I120" i="13" s="1"/>
  <c r="E64" i="13"/>
  <c r="F64" i="13" s="1"/>
  <c r="F120" i="13" s="1"/>
  <c r="E80" i="13"/>
  <c r="F80" i="13" s="1"/>
  <c r="F136" i="13" s="1"/>
  <c r="C80" i="13"/>
  <c r="I80" i="13" s="1"/>
  <c r="I136" i="13" s="1"/>
  <c r="C85" i="13"/>
  <c r="I85" i="13" s="1"/>
  <c r="I141" i="13" s="1"/>
  <c r="I44" i="27"/>
  <c r="E75" i="13"/>
  <c r="F75" i="13" s="1"/>
  <c r="F131" i="13" s="1"/>
  <c r="J147" i="27"/>
  <c r="H147" i="27"/>
  <c r="D151" i="27"/>
  <c r="H85" i="3"/>
  <c r="I85" i="3" s="1"/>
  <c r="H92" i="3"/>
  <c r="I92" i="3" s="1"/>
  <c r="H124" i="3"/>
  <c r="I124" i="3" s="1"/>
  <c r="H138" i="3"/>
  <c r="I138" i="3" s="1"/>
  <c r="H149" i="3"/>
  <c r="I149" i="3" s="1"/>
  <c r="H163" i="3"/>
  <c r="I163" i="3" s="1"/>
  <c r="E147" i="27"/>
  <c r="H83" i="3"/>
  <c r="I83" i="3" s="1"/>
  <c r="H125" i="3"/>
  <c r="I125" i="3" s="1"/>
  <c r="H135" i="3"/>
  <c r="I135" i="3" s="1"/>
  <c r="H93" i="3"/>
  <c r="I93" i="3" s="1"/>
  <c r="H104" i="3"/>
  <c r="I104" i="3" s="1"/>
  <c r="H111" i="3"/>
  <c r="I111" i="3" s="1"/>
  <c r="H154" i="3"/>
  <c r="I154" i="3" s="1"/>
  <c r="E73" i="13"/>
  <c r="F73" i="13" s="1"/>
  <c r="F129" i="13" s="1"/>
  <c r="H107" i="3"/>
  <c r="I107" i="3" s="1"/>
  <c r="H90" i="3"/>
  <c r="I90" i="3" s="1"/>
  <c r="H132" i="3"/>
  <c r="I132" i="3" s="1"/>
  <c r="H87" i="3"/>
  <c r="I87" i="3" s="1"/>
  <c r="H122" i="3"/>
  <c r="I122" i="3" s="1"/>
  <c r="H165" i="3"/>
  <c r="I165" i="3" s="1"/>
  <c r="C73" i="13"/>
  <c r="N73" i="13" s="1"/>
  <c r="H80" i="3"/>
  <c r="I80" i="3" s="1"/>
  <c r="H101" i="3"/>
  <c r="I101" i="3" s="1"/>
  <c r="H115" i="3"/>
  <c r="I115" i="3" s="1"/>
  <c r="H129" i="3"/>
  <c r="I129" i="3" s="1"/>
  <c r="H77" i="3"/>
  <c r="I77" i="3" s="1"/>
  <c r="H108" i="3"/>
  <c r="I108" i="3" s="1"/>
  <c r="E68" i="13"/>
  <c r="F68" i="13" s="1"/>
  <c r="F124" i="13" s="1"/>
  <c r="C68" i="13"/>
  <c r="L68" i="13" s="1"/>
  <c r="E94" i="13"/>
  <c r="F149" i="13" s="1"/>
  <c r="E81" i="13"/>
  <c r="F81" i="13" s="1"/>
  <c r="F137" i="13" s="1"/>
  <c r="C81" i="13"/>
  <c r="J81" i="13" s="1"/>
  <c r="J137" i="13" s="1"/>
  <c r="E57" i="13"/>
  <c r="F57" i="13" s="1"/>
  <c r="F113" i="13" s="1"/>
  <c r="C62" i="13"/>
  <c r="K62" i="13" s="1"/>
  <c r="K118" i="13" s="1"/>
  <c r="E66" i="13"/>
  <c r="F66" i="13" s="1"/>
  <c r="F122" i="13" s="1"/>
  <c r="C66" i="13"/>
  <c r="J66" i="13" s="1"/>
  <c r="J122" i="13" s="1"/>
  <c r="E101" i="13"/>
  <c r="F101" i="13" s="1"/>
  <c r="F156" i="13" s="1"/>
  <c r="J101" i="13"/>
  <c r="J156" i="13" s="1"/>
  <c r="I101" i="13"/>
  <c r="I156" i="13" s="1"/>
  <c r="K101" i="13"/>
  <c r="K156" i="13" s="1"/>
  <c r="C60" i="13"/>
  <c r="I60" i="13" s="1"/>
  <c r="I116" i="13" s="1"/>
  <c r="E62" i="13"/>
  <c r="F62" i="13" s="1"/>
  <c r="F118" i="13" s="1"/>
  <c r="E86" i="13"/>
  <c r="F86" i="13" s="1"/>
  <c r="F142" i="13" s="1"/>
  <c r="C86" i="13"/>
  <c r="L86" i="13" s="1"/>
  <c r="N89" i="13"/>
  <c r="H168" i="3"/>
  <c r="I168" i="3" s="1"/>
  <c r="H157" i="3"/>
  <c r="I157" i="3" s="1"/>
  <c r="H147" i="3"/>
  <c r="I147" i="3" s="1"/>
  <c r="H142" i="3"/>
  <c r="I142" i="3" s="1"/>
  <c r="H139" i="3"/>
  <c r="I139" i="3" s="1"/>
  <c r="H118" i="3"/>
  <c r="I118" i="3" s="1"/>
  <c r="H99" i="3"/>
  <c r="I99" i="3" s="1"/>
  <c r="H96" i="3"/>
  <c r="I96" i="3" s="1"/>
  <c r="N57" i="13"/>
  <c r="E79" i="13"/>
  <c r="F79" i="13" s="1"/>
  <c r="F135" i="13" s="1"/>
  <c r="C79" i="13"/>
  <c r="N79" i="13" s="1"/>
  <c r="L84" i="13"/>
  <c r="K84" i="13"/>
  <c r="K140" i="13" s="1"/>
  <c r="E96" i="13"/>
  <c r="F96" i="13" s="1"/>
  <c r="F151" i="13" s="1"/>
  <c r="E98" i="13"/>
  <c r="F98" i="13" s="1"/>
  <c r="C98" i="13"/>
  <c r="F148" i="27"/>
  <c r="C59" i="13"/>
  <c r="L59" i="13" s="1"/>
  <c r="C61" i="13"/>
  <c r="K61" i="13" s="1"/>
  <c r="K117" i="13" s="1"/>
  <c r="C70" i="13"/>
  <c r="I70" i="13" s="1"/>
  <c r="I126" i="13" s="1"/>
  <c r="C72" i="13"/>
  <c r="J72" i="13" s="1"/>
  <c r="J128" i="13" s="1"/>
  <c r="C76" i="13"/>
  <c r="K76" i="13" s="1"/>
  <c r="K132" i="13" s="1"/>
  <c r="C88" i="13"/>
  <c r="C91" i="13"/>
  <c r="C93" i="13"/>
  <c r="C95" i="13"/>
  <c r="E148" i="27"/>
  <c r="C146" i="27"/>
  <c r="N56" i="13"/>
  <c r="K56" i="13"/>
  <c r="K112" i="13" s="1"/>
  <c r="N67" i="13"/>
  <c r="L67" i="13"/>
  <c r="I67" i="13"/>
  <c r="I123" i="13" s="1"/>
  <c r="J67" i="13"/>
  <c r="J123" i="13" s="1"/>
  <c r="N87" i="13"/>
  <c r="L87" i="13"/>
  <c r="K87" i="13"/>
  <c r="K143" i="13" s="1"/>
  <c r="J87" i="13"/>
  <c r="J143" i="13" s="1"/>
  <c r="I87" i="13"/>
  <c r="I143" i="13" s="1"/>
  <c r="L83" i="13"/>
  <c r="I83" i="13"/>
  <c r="I139" i="13" s="1"/>
  <c r="H90" i="13"/>
  <c r="H78" i="13"/>
  <c r="H134" i="13" s="1"/>
  <c r="G72" i="13"/>
  <c r="G128" i="13" s="1"/>
  <c r="H72" i="13"/>
  <c r="H128" i="13" s="1"/>
  <c r="L82" i="13"/>
  <c r="K82" i="13"/>
  <c r="K138" i="13" s="1"/>
  <c r="N82" i="13"/>
  <c r="J82" i="13"/>
  <c r="J138" i="13" s="1"/>
  <c r="I82" i="13"/>
  <c r="I138" i="13" s="1"/>
  <c r="G78" i="13"/>
  <c r="G134" i="13" s="1"/>
  <c r="J96" i="13"/>
  <c r="J151" i="13" s="1"/>
  <c r="I96" i="13"/>
  <c r="I151" i="13" s="1"/>
  <c r="I89" i="13"/>
  <c r="I145" i="13" s="1"/>
  <c r="G88" i="13"/>
  <c r="G144" i="13" s="1"/>
  <c r="J89" i="13"/>
  <c r="J145" i="13" s="1"/>
  <c r="G91" i="13"/>
  <c r="H88" i="13"/>
  <c r="H144" i="13" s="1"/>
  <c r="K89" i="13"/>
  <c r="K145" i="13" s="1"/>
  <c r="K83" i="13"/>
  <c r="K139" i="13" s="1"/>
  <c r="J83" i="13"/>
  <c r="J139" i="13" s="1"/>
  <c r="N83" i="13"/>
  <c r="L89" i="13"/>
  <c r="K96" i="13"/>
  <c r="K151" i="13" s="1"/>
  <c r="L57" i="13"/>
  <c r="I57" i="13"/>
  <c r="I113" i="13" s="1"/>
  <c r="J57" i="13"/>
  <c r="J113" i="13" s="1"/>
  <c r="J92" i="13"/>
  <c r="J147" i="13" s="1"/>
  <c r="I92" i="13"/>
  <c r="I147" i="13" s="1"/>
  <c r="J56" i="13"/>
  <c r="J112" i="13" s="1"/>
  <c r="I56" i="13"/>
  <c r="L56" i="13" s="1"/>
  <c r="G90" i="13"/>
  <c r="J84" i="13"/>
  <c r="J140" i="13" s="1"/>
  <c r="I84" i="13"/>
  <c r="I140" i="13" s="1"/>
  <c r="K67" i="13"/>
  <c r="K123" i="13" s="1"/>
  <c r="K94" i="13"/>
  <c r="K149" i="13" s="1"/>
  <c r="K290" i="3" l="1"/>
  <c r="L155" i="13"/>
  <c r="L153" i="13"/>
  <c r="L147" i="13"/>
  <c r="L149" i="13"/>
  <c r="L156" i="13"/>
  <c r="L140" i="13"/>
  <c r="L151" i="13"/>
  <c r="L138" i="13"/>
  <c r="L113" i="13"/>
  <c r="L145" i="13"/>
  <c r="L143" i="13"/>
  <c r="L139" i="13"/>
  <c r="L131" i="13"/>
  <c r="L123" i="13"/>
  <c r="F152" i="13"/>
  <c r="I112" i="13"/>
  <c r="L112" i="13" s="1"/>
  <c r="K91" i="13"/>
  <c r="L91" i="13"/>
  <c r="K95" i="13"/>
  <c r="K150" i="13" s="1"/>
  <c r="L95" i="13"/>
  <c r="K93" i="13"/>
  <c r="K148" i="13" s="1"/>
  <c r="L93" i="13"/>
  <c r="J98" i="13"/>
  <c r="J152" i="13" s="1"/>
  <c r="L98" i="13"/>
  <c r="F60" i="13"/>
  <c r="F116" i="13" s="1"/>
  <c r="J290" i="3"/>
  <c r="W108" i="57"/>
  <c r="AC108" i="57" s="1"/>
  <c r="Q165" i="56" s="1"/>
  <c r="E184" i="17"/>
  <c r="G62" i="12" s="1"/>
  <c r="G60" i="12" s="1"/>
  <c r="X130" i="18"/>
  <c r="J286" i="3"/>
  <c r="E300" i="3" s="1"/>
  <c r="L108" i="15"/>
  <c r="L60" i="15"/>
  <c r="L70" i="15"/>
  <c r="L90" i="15"/>
  <c r="L37" i="15"/>
  <c r="L96" i="15"/>
  <c r="L58" i="15"/>
  <c r="L129" i="15"/>
  <c r="L100" i="15"/>
  <c r="L71" i="15"/>
  <c r="L85" i="15"/>
  <c r="L126" i="15"/>
  <c r="L81" i="15"/>
  <c r="L49" i="15"/>
  <c r="L83" i="15"/>
  <c r="L124" i="15"/>
  <c r="L113" i="15"/>
  <c r="L118" i="15"/>
  <c r="L61" i="15"/>
  <c r="L111" i="15"/>
  <c r="L89" i="15"/>
  <c r="L117" i="15"/>
  <c r="L127" i="15"/>
  <c r="L75" i="15"/>
  <c r="L109" i="15"/>
  <c r="L101" i="15"/>
  <c r="L95" i="15"/>
  <c r="L62" i="15"/>
  <c r="L47" i="15"/>
  <c r="L44" i="15"/>
  <c r="L116" i="15"/>
  <c r="L86" i="15"/>
  <c r="L54" i="15"/>
  <c r="L74" i="15"/>
  <c r="L48" i="15"/>
  <c r="L120" i="15"/>
  <c r="L79" i="15"/>
  <c r="L112" i="15"/>
  <c r="L98" i="15"/>
  <c r="L39" i="15"/>
  <c r="L130" i="15"/>
  <c r="L41" i="15"/>
  <c r="L91" i="15"/>
  <c r="L114" i="15"/>
  <c r="L115" i="15"/>
  <c r="L65" i="15"/>
  <c r="L67" i="15"/>
  <c r="L43" i="15"/>
  <c r="L52" i="15"/>
  <c r="L80" i="15"/>
  <c r="L36" i="15"/>
  <c r="L93" i="15"/>
  <c r="L63" i="15"/>
  <c r="L82" i="15"/>
  <c r="L105" i="15"/>
  <c r="L69" i="15"/>
  <c r="L38" i="15"/>
  <c r="L110" i="15"/>
  <c r="L84" i="15"/>
  <c r="L57" i="15"/>
  <c r="L56" i="15"/>
  <c r="L125" i="15"/>
  <c r="L99" i="15"/>
  <c r="L92" i="15"/>
  <c r="L103" i="15"/>
  <c r="L72" i="15"/>
  <c r="L94" i="15"/>
  <c r="L106" i="15"/>
  <c r="L34" i="15"/>
  <c r="L104" i="15"/>
  <c r="L53" i="15"/>
  <c r="L68" i="15"/>
  <c r="L32" i="15"/>
  <c r="L78" i="15"/>
  <c r="L131" i="15"/>
  <c r="L119" i="15"/>
  <c r="L51" i="15"/>
  <c r="L123" i="15"/>
  <c r="L97" i="15"/>
  <c r="L45" i="15"/>
  <c r="L66" i="15"/>
  <c r="L87" i="15"/>
  <c r="L42" i="15"/>
  <c r="L50" i="15"/>
  <c r="L88" i="15"/>
  <c r="L73" i="15"/>
  <c r="L40" i="15"/>
  <c r="L55" i="15"/>
  <c r="L46" i="15"/>
  <c r="L59" i="15"/>
  <c r="L128" i="15"/>
  <c r="L121" i="15"/>
  <c r="L77" i="15"/>
  <c r="L64" i="15"/>
  <c r="L35" i="15"/>
  <c r="L107" i="15"/>
  <c r="L122" i="15"/>
  <c r="L102" i="15"/>
  <c r="L76" i="15"/>
  <c r="S433" i="20"/>
  <c r="T433" i="20"/>
  <c r="O433" i="20"/>
  <c r="U433" i="20"/>
  <c r="R433" i="20"/>
  <c r="E267" i="25"/>
  <c r="J287" i="3"/>
  <c r="F300" i="3" s="1"/>
  <c r="S31" i="18"/>
  <c r="H308" i="56"/>
  <c r="F323" i="56" s="1"/>
  <c r="Z168" i="57"/>
  <c r="AC168" i="57" s="1"/>
  <c r="Q225" i="56" s="1"/>
  <c r="Y182" i="57"/>
  <c r="Z182" i="57" s="1"/>
  <c r="AC182" i="57" s="1"/>
  <c r="Q239" i="56" s="1"/>
  <c r="Y131" i="57"/>
  <c r="Z131" i="57" s="1"/>
  <c r="AC131" i="57" s="1"/>
  <c r="Q188" i="56" s="1"/>
  <c r="Z204" i="57"/>
  <c r="AC204" i="57" s="1"/>
  <c r="Q261" i="56" s="1"/>
  <c r="Z146" i="57"/>
  <c r="AC146" i="57" s="1"/>
  <c r="Q203" i="56" s="1"/>
  <c r="Y181" i="57"/>
  <c r="Z181" i="57" s="1"/>
  <c r="AC181" i="57" s="1"/>
  <c r="Q238" i="56" s="1"/>
  <c r="Z192" i="57"/>
  <c r="AC192" i="57" s="1"/>
  <c r="Q249" i="56" s="1"/>
  <c r="Y128" i="57"/>
  <c r="AB128" i="57" s="1"/>
  <c r="P185" i="56" s="1"/>
  <c r="Y156" i="57"/>
  <c r="Z156" i="57" s="1"/>
  <c r="AC156" i="57" s="1"/>
  <c r="Q213" i="56" s="1"/>
  <c r="Y176" i="57"/>
  <c r="AB176" i="57" s="1"/>
  <c r="P233" i="56" s="1"/>
  <c r="Z143" i="57"/>
  <c r="AC143" i="57" s="1"/>
  <c r="Q200" i="56" s="1"/>
  <c r="Z193" i="57"/>
  <c r="AC193" i="57" s="1"/>
  <c r="Q250" i="56" s="1"/>
  <c r="Z191" i="57"/>
  <c r="AC191" i="57" s="1"/>
  <c r="Q248" i="56" s="1"/>
  <c r="Z144" i="57"/>
  <c r="AC144" i="57" s="1"/>
  <c r="Q201" i="56" s="1"/>
  <c r="Z206" i="57"/>
  <c r="AC206" i="57" s="1"/>
  <c r="Q263" i="56" s="1"/>
  <c r="Z142" i="57"/>
  <c r="AC142" i="57" s="1"/>
  <c r="Q199" i="56" s="1"/>
  <c r="Z124" i="57"/>
  <c r="AC124" i="57" s="1"/>
  <c r="Q181" i="56" s="1"/>
  <c r="Z194" i="57"/>
  <c r="AC194" i="57" s="1"/>
  <c r="Q251" i="56" s="1"/>
  <c r="Z154" i="57"/>
  <c r="AC154" i="57" s="1"/>
  <c r="Q211" i="56" s="1"/>
  <c r="Z120" i="57"/>
  <c r="AC120" i="57" s="1"/>
  <c r="Q177" i="56" s="1"/>
  <c r="Z134" i="57"/>
  <c r="AC134" i="57" s="1"/>
  <c r="Q191" i="56" s="1"/>
  <c r="Z180" i="57"/>
  <c r="AC180" i="57" s="1"/>
  <c r="Q237" i="56" s="1"/>
  <c r="Z155" i="57"/>
  <c r="AC155" i="57" s="1"/>
  <c r="Q212" i="56" s="1"/>
  <c r="Y116" i="57"/>
  <c r="Z116" i="57" s="1"/>
  <c r="AC116" i="57" s="1"/>
  <c r="Q173" i="56" s="1"/>
  <c r="Z126" i="57"/>
  <c r="AC126" i="57" s="1"/>
  <c r="Q183" i="56" s="1"/>
  <c r="Z169" i="57"/>
  <c r="AC169" i="57" s="1"/>
  <c r="Q226" i="56" s="1"/>
  <c r="G56" i="12"/>
  <c r="F319" i="56"/>
  <c r="G57" i="12" s="1"/>
  <c r="E302" i="3"/>
  <c r="K288" i="3"/>
  <c r="N216" i="18"/>
  <c r="N164" i="18"/>
  <c r="N122" i="18"/>
  <c r="X122" i="18" s="1"/>
  <c r="J78" i="17" s="1"/>
  <c r="N124" i="18"/>
  <c r="N120" i="18"/>
  <c r="X120" i="18" s="1"/>
  <c r="J76" i="17" s="1"/>
  <c r="N215" i="18"/>
  <c r="N127" i="18"/>
  <c r="N126" i="18"/>
  <c r="N197" i="18"/>
  <c r="N154" i="18"/>
  <c r="N177" i="18"/>
  <c r="N117" i="18"/>
  <c r="X117" i="18" s="1"/>
  <c r="J73" i="17" s="1"/>
  <c r="N119" i="18"/>
  <c r="X119" i="18" s="1"/>
  <c r="J75" i="17" s="1"/>
  <c r="F224" i="20"/>
  <c r="N196" i="18"/>
  <c r="F367" i="20"/>
  <c r="N185" i="18"/>
  <c r="N145" i="18"/>
  <c r="F102" i="20"/>
  <c r="F339" i="20"/>
  <c r="F289" i="20"/>
  <c r="N161" i="18"/>
  <c r="F118" i="20"/>
  <c r="N148" i="18"/>
  <c r="F257" i="20"/>
  <c r="F84" i="20"/>
  <c r="F330" i="20"/>
  <c r="N152" i="18"/>
  <c r="N142" i="18"/>
  <c r="N172" i="18"/>
  <c r="N211" i="18"/>
  <c r="N210" i="18"/>
  <c r="N118" i="18"/>
  <c r="X118" i="18" s="1"/>
  <c r="J74" i="17" s="1"/>
  <c r="F258" i="20"/>
  <c r="F197" i="20"/>
  <c r="N146" i="18"/>
  <c r="N194" i="18"/>
  <c r="N207" i="18"/>
  <c r="N140" i="18"/>
  <c r="N131" i="18"/>
  <c r="N183" i="18"/>
  <c r="N159" i="18"/>
  <c r="N189" i="18"/>
  <c r="N175" i="18"/>
  <c r="N174" i="18"/>
  <c r="N182" i="18"/>
  <c r="N171" i="18"/>
  <c r="N181" i="18"/>
  <c r="N203" i="18"/>
  <c r="N202" i="18"/>
  <c r="N199" i="18"/>
  <c r="N178" i="18"/>
  <c r="N134" i="18"/>
  <c r="N214" i="18"/>
  <c r="N209" i="18"/>
  <c r="N188" i="18"/>
  <c r="N187" i="18"/>
  <c r="N201" i="18"/>
  <c r="N132" i="18"/>
  <c r="N153" i="18"/>
  <c r="N147" i="18"/>
  <c r="N204" i="18"/>
  <c r="N213" i="18"/>
  <c r="N141" i="18"/>
  <c r="N168" i="18"/>
  <c r="N186" i="18"/>
  <c r="N133" i="18"/>
  <c r="N206" i="18"/>
  <c r="N195" i="18"/>
  <c r="N138" i="18"/>
  <c r="N135" i="18"/>
  <c r="N125" i="18"/>
  <c r="N200" i="18"/>
  <c r="N179" i="18"/>
  <c r="N170" i="18"/>
  <c r="N191" i="18"/>
  <c r="N121" i="18"/>
  <c r="N144" i="18"/>
  <c r="N156" i="18"/>
  <c r="N123" i="18"/>
  <c r="X217" i="18"/>
  <c r="N173" i="18"/>
  <c r="N205" i="18"/>
  <c r="N198" i="18"/>
  <c r="N160" i="18"/>
  <c r="N208" i="18"/>
  <c r="N157" i="18"/>
  <c r="N136" i="18"/>
  <c r="N190" i="18"/>
  <c r="N176" i="18"/>
  <c r="N192" i="18"/>
  <c r="N184" i="18"/>
  <c r="N169" i="18"/>
  <c r="N166" i="18"/>
  <c r="N137" i="18"/>
  <c r="N149" i="18"/>
  <c r="N167" i="18"/>
  <c r="N143" i="18"/>
  <c r="N193" i="18"/>
  <c r="N158" i="18"/>
  <c r="N139" i="18"/>
  <c r="N165" i="18"/>
  <c r="N151" i="18"/>
  <c r="N150" i="18"/>
  <c r="N130" i="18"/>
  <c r="N129" i="18"/>
  <c r="X129" i="18" s="1"/>
  <c r="J85" i="17" s="1"/>
  <c r="E185" i="17" s="1"/>
  <c r="G68" i="12" s="1"/>
  <c r="N128" i="18"/>
  <c r="N180" i="18"/>
  <c r="N163" i="18"/>
  <c r="N162" i="18"/>
  <c r="N212" i="18"/>
  <c r="N155" i="18"/>
  <c r="AB115" i="57"/>
  <c r="P172" i="56" s="1"/>
  <c r="AB159" i="57"/>
  <c r="P216" i="56" s="1"/>
  <c r="AB111" i="57"/>
  <c r="P168" i="56" s="1"/>
  <c r="AB150" i="57"/>
  <c r="P207" i="56" s="1"/>
  <c r="AB136" i="57"/>
  <c r="P193" i="56" s="1"/>
  <c r="AB168" i="57"/>
  <c r="P225" i="56" s="1"/>
  <c r="AB193" i="57"/>
  <c r="P250" i="56" s="1"/>
  <c r="AB132" i="57"/>
  <c r="P189" i="56" s="1"/>
  <c r="AB207" i="57"/>
  <c r="P264" i="56" s="1"/>
  <c r="AB164" i="57"/>
  <c r="P221" i="56" s="1"/>
  <c r="AB142" i="57"/>
  <c r="P199" i="56" s="1"/>
  <c r="AB165" i="57"/>
  <c r="P222" i="56" s="1"/>
  <c r="AB177" i="57"/>
  <c r="P234" i="56" s="1"/>
  <c r="AB197" i="57"/>
  <c r="P254" i="56" s="1"/>
  <c r="AB166" i="57"/>
  <c r="P223" i="56" s="1"/>
  <c r="AB178" i="57"/>
  <c r="P235" i="56" s="1"/>
  <c r="AB191" i="57"/>
  <c r="P248" i="56" s="1"/>
  <c r="AB118" i="57"/>
  <c r="P175" i="56" s="1"/>
  <c r="AB122" i="57"/>
  <c r="P179" i="56" s="1"/>
  <c r="AB158" i="57"/>
  <c r="P215" i="56" s="1"/>
  <c r="AB194" i="57"/>
  <c r="P251" i="56" s="1"/>
  <c r="AB179" i="57"/>
  <c r="P236" i="56" s="1"/>
  <c r="AB190" i="57"/>
  <c r="P247" i="56" s="1"/>
  <c r="AB129" i="57"/>
  <c r="P186" i="56" s="1"/>
  <c r="AB120" i="57"/>
  <c r="P177" i="56" s="1"/>
  <c r="AB154" i="57"/>
  <c r="P211" i="56" s="1"/>
  <c r="AB130" i="57"/>
  <c r="P187" i="56" s="1"/>
  <c r="AB119" i="57"/>
  <c r="P176" i="56" s="1"/>
  <c r="AB152" i="57"/>
  <c r="P209" i="56" s="1"/>
  <c r="AB192" i="57"/>
  <c r="P249" i="56" s="1"/>
  <c r="AB143" i="57"/>
  <c r="P200" i="56" s="1"/>
  <c r="AB200" i="57"/>
  <c r="P257" i="56" s="1"/>
  <c r="AB169" i="57"/>
  <c r="P226" i="56" s="1"/>
  <c r="AB121" i="57"/>
  <c r="P178" i="56" s="1"/>
  <c r="AB133" i="57"/>
  <c r="P190" i="56" s="1"/>
  <c r="AB144" i="57"/>
  <c r="P201" i="56" s="1"/>
  <c r="AB204" i="57"/>
  <c r="P261" i="56" s="1"/>
  <c r="AB151" i="57"/>
  <c r="P208" i="56" s="1"/>
  <c r="AB201" i="57"/>
  <c r="P258" i="56" s="1"/>
  <c r="AB134" i="57"/>
  <c r="P191" i="56" s="1"/>
  <c r="AB202" i="57"/>
  <c r="P259" i="56" s="1"/>
  <c r="AB183" i="57"/>
  <c r="P240" i="56" s="1"/>
  <c r="AB172" i="57"/>
  <c r="P229" i="56" s="1"/>
  <c r="AB184" i="57"/>
  <c r="P241" i="56" s="1"/>
  <c r="AB112" i="57"/>
  <c r="P169" i="56" s="1"/>
  <c r="AB124" i="57"/>
  <c r="P181" i="56" s="1"/>
  <c r="AB138" i="57"/>
  <c r="P195" i="56" s="1"/>
  <c r="AB186" i="57"/>
  <c r="P243" i="56" s="1"/>
  <c r="AB109" i="57"/>
  <c r="P166" i="56" s="1"/>
  <c r="AB139" i="57"/>
  <c r="P196" i="56" s="1"/>
  <c r="AB155" i="57"/>
  <c r="P212" i="56" s="1"/>
  <c r="AB196" i="57"/>
  <c r="P253" i="56" s="1"/>
  <c r="AB180" i="57"/>
  <c r="P237" i="56" s="1"/>
  <c r="AB137" i="57"/>
  <c r="P194" i="56" s="1"/>
  <c r="AB206" i="57"/>
  <c r="P263" i="56" s="1"/>
  <c r="AB171" i="57"/>
  <c r="P228" i="56" s="1"/>
  <c r="AB195" i="57"/>
  <c r="P252" i="56" s="1"/>
  <c r="AB160" i="57"/>
  <c r="P217" i="56" s="1"/>
  <c r="AB163" i="57"/>
  <c r="P220" i="56" s="1"/>
  <c r="AB199" i="57"/>
  <c r="P256" i="56" s="1"/>
  <c r="AB113" i="57"/>
  <c r="P170" i="56" s="1"/>
  <c r="AB149" i="57"/>
  <c r="P206" i="56" s="1"/>
  <c r="AB185" i="57"/>
  <c r="P242" i="56" s="1"/>
  <c r="AB162" i="57"/>
  <c r="P219" i="56" s="1"/>
  <c r="AB174" i="57"/>
  <c r="P231" i="56" s="1"/>
  <c r="AB114" i="57"/>
  <c r="P171" i="56" s="1"/>
  <c r="AB126" i="57"/>
  <c r="P183" i="56" s="1"/>
  <c r="AB140" i="57"/>
  <c r="P197" i="56" s="1"/>
  <c r="AB189" i="57"/>
  <c r="P246" i="56" s="1"/>
  <c r="AB153" i="57"/>
  <c r="P210" i="56" s="1"/>
  <c r="AB161" i="57"/>
  <c r="P218" i="56" s="1"/>
  <c r="AB167" i="57"/>
  <c r="P224" i="56" s="1"/>
  <c r="AB148" i="57"/>
  <c r="P205" i="56" s="1"/>
  <c r="AB173" i="57"/>
  <c r="P230" i="56" s="1"/>
  <c r="AB198" i="57"/>
  <c r="P255" i="56" s="1"/>
  <c r="AB170" i="57"/>
  <c r="P227" i="56" s="1"/>
  <c r="AB108" i="57"/>
  <c r="P165" i="56" s="1"/>
  <c r="AB203" i="57"/>
  <c r="P260" i="56" s="1"/>
  <c r="AB147" i="57"/>
  <c r="P204" i="56" s="1"/>
  <c r="AB110" i="57"/>
  <c r="P167" i="56" s="1"/>
  <c r="AB146" i="57"/>
  <c r="P203" i="56" s="1"/>
  <c r="AB188" i="57"/>
  <c r="P245" i="56" s="1"/>
  <c r="AB141" i="57"/>
  <c r="P198" i="56" s="1"/>
  <c r="AC121" i="57"/>
  <c r="Q178" i="56" s="1"/>
  <c r="AC110" i="57"/>
  <c r="Q167" i="56" s="1"/>
  <c r="AC160" i="57"/>
  <c r="Q217" i="56" s="1"/>
  <c r="AC198" i="57"/>
  <c r="Q255" i="56" s="1"/>
  <c r="AC122" i="57"/>
  <c r="Q179" i="56" s="1"/>
  <c r="AC207" i="57"/>
  <c r="Q264" i="56" s="1"/>
  <c r="AC173" i="57"/>
  <c r="Q230" i="56" s="1"/>
  <c r="AC164" i="57"/>
  <c r="Q221" i="56" s="1"/>
  <c r="AC167" i="57"/>
  <c r="Q224" i="56" s="1"/>
  <c r="AC179" i="57"/>
  <c r="Q236" i="56" s="1"/>
  <c r="AC172" i="57"/>
  <c r="Q229" i="56" s="1"/>
  <c r="AC119" i="57"/>
  <c r="Q176" i="56" s="1"/>
  <c r="AC158" i="57"/>
  <c r="Q215" i="56" s="1"/>
  <c r="AC152" i="57"/>
  <c r="Q209" i="56" s="1"/>
  <c r="AC165" i="57"/>
  <c r="Q222" i="56" s="1"/>
  <c r="AC178" i="57"/>
  <c r="Q235" i="56" s="1"/>
  <c r="AC189" i="57"/>
  <c r="Q246" i="56" s="1"/>
  <c r="AC196" i="57"/>
  <c r="Q253" i="56" s="1"/>
  <c r="AC188" i="57"/>
  <c r="Q245" i="56" s="1"/>
  <c r="AC201" i="57"/>
  <c r="Q258" i="56" s="1"/>
  <c r="AC118" i="57"/>
  <c r="Q175" i="56" s="1"/>
  <c r="AC112" i="57"/>
  <c r="Q169" i="56" s="1"/>
  <c r="Z157" i="57"/>
  <c r="AC157" i="57" s="1"/>
  <c r="Q214" i="56" s="1"/>
  <c r="AC170" i="57"/>
  <c r="Q227" i="56" s="1"/>
  <c r="AC177" i="57"/>
  <c r="Q234" i="56" s="1"/>
  <c r="Z127" i="57"/>
  <c r="AC127" i="57" s="1"/>
  <c r="Q184" i="56" s="1"/>
  <c r="AC137" i="57"/>
  <c r="Q194" i="56" s="1"/>
  <c r="AC200" i="57"/>
  <c r="Q257" i="56" s="1"/>
  <c r="AC166" i="57"/>
  <c r="Q223" i="56" s="1"/>
  <c r="AC190" i="57"/>
  <c r="Q247" i="56" s="1"/>
  <c r="Z175" i="57"/>
  <c r="AC175" i="57" s="1"/>
  <c r="Q232" i="56" s="1"/>
  <c r="Z125" i="57"/>
  <c r="AC125" i="57" s="1"/>
  <c r="Q182" i="56" s="1"/>
  <c r="AC184" i="57"/>
  <c r="Q241" i="56" s="1"/>
  <c r="AC147" i="57"/>
  <c r="Q204" i="56" s="1"/>
  <c r="AC149" i="57"/>
  <c r="Q206" i="56" s="1"/>
  <c r="AC138" i="57"/>
  <c r="Q195" i="56" s="1"/>
  <c r="Z205" i="57"/>
  <c r="AC205" i="57" s="1"/>
  <c r="Q262" i="56" s="1"/>
  <c r="Z135" i="57"/>
  <c r="AC135" i="57" s="1"/>
  <c r="Q192" i="56" s="1"/>
  <c r="Z187" i="57"/>
  <c r="AC187" i="57" s="1"/>
  <c r="Q244" i="56" s="1"/>
  <c r="AC159" i="57"/>
  <c r="Q216" i="56" s="1"/>
  <c r="AC161" i="57"/>
  <c r="Q218" i="56" s="1"/>
  <c r="AC150" i="57"/>
  <c r="Q207" i="56" s="1"/>
  <c r="AC139" i="57"/>
  <c r="Q196" i="56" s="1"/>
  <c r="AC132" i="57"/>
  <c r="Q189" i="56" s="1"/>
  <c r="Z123" i="57"/>
  <c r="AC123" i="57" s="1"/>
  <c r="Q180" i="56" s="1"/>
  <c r="Z145" i="57"/>
  <c r="AC145" i="57" s="1"/>
  <c r="Q202" i="56" s="1"/>
  <c r="AC171" i="57"/>
  <c r="Q228" i="56" s="1"/>
  <c r="AC162" i="57"/>
  <c r="Q219" i="56" s="1"/>
  <c r="AC151" i="57"/>
  <c r="Q208" i="56" s="1"/>
  <c r="AC133" i="57"/>
  <c r="Q190" i="56" s="1"/>
  <c r="AC183" i="57"/>
  <c r="Q240" i="56" s="1"/>
  <c r="AC111" i="57"/>
  <c r="Q168" i="56" s="1"/>
  <c r="AC185" i="57"/>
  <c r="Q242" i="56" s="1"/>
  <c r="AC174" i="57"/>
  <c r="Q231" i="56" s="1"/>
  <c r="AC163" i="57"/>
  <c r="Q220" i="56" s="1"/>
  <c r="AC203" i="57"/>
  <c r="Q260" i="56" s="1"/>
  <c r="Z117" i="57"/>
  <c r="AC117" i="57" s="1"/>
  <c r="Q174" i="56" s="1"/>
  <c r="AC195" i="57"/>
  <c r="Q252" i="56" s="1"/>
  <c r="AC197" i="57"/>
  <c r="Q254" i="56" s="1"/>
  <c r="AC186" i="57"/>
  <c r="Q243" i="56" s="1"/>
  <c r="AC129" i="57"/>
  <c r="Q186" i="56" s="1"/>
  <c r="AC136" i="57"/>
  <c r="Q193" i="56" s="1"/>
  <c r="AC141" i="57"/>
  <c r="Q198" i="56" s="1"/>
  <c r="AC130" i="57"/>
  <c r="Q187" i="56" s="1"/>
  <c r="AC148" i="57"/>
  <c r="Q205" i="56" s="1"/>
  <c r="AC199" i="57"/>
  <c r="Q256" i="56" s="1"/>
  <c r="AC140" i="57"/>
  <c r="Q197" i="56" s="1"/>
  <c r="AC153" i="57"/>
  <c r="Q210" i="56" s="1"/>
  <c r="AC202" i="57"/>
  <c r="Q259" i="56" s="1"/>
  <c r="AC115" i="57"/>
  <c r="Q172" i="56" s="1"/>
  <c r="AC114" i="57"/>
  <c r="Q171" i="56" s="1"/>
  <c r="AC113" i="57"/>
  <c r="Q170" i="56" s="1"/>
  <c r="G65" i="57"/>
  <c r="H61" i="57"/>
  <c r="G67" i="57"/>
  <c r="H63" i="57"/>
  <c r="W109" i="57"/>
  <c r="G62" i="57"/>
  <c r="H58" i="57"/>
  <c r="G64" i="57"/>
  <c r="H60" i="57"/>
  <c r="J164" i="57"/>
  <c r="G164" i="57"/>
  <c r="J167" i="57"/>
  <c r="G167" i="57"/>
  <c r="J183" i="57"/>
  <c r="G183" i="57"/>
  <c r="J170" i="57"/>
  <c r="G170" i="57"/>
  <c r="J126" i="57"/>
  <c r="G126" i="57"/>
  <c r="J205" i="57"/>
  <c r="G205" i="57"/>
  <c r="J199" i="57"/>
  <c r="G199" i="57"/>
  <c r="J140" i="57"/>
  <c r="G140" i="57"/>
  <c r="J142" i="57"/>
  <c r="G142" i="57"/>
  <c r="J115" i="57"/>
  <c r="G115" i="57"/>
  <c r="J132" i="57"/>
  <c r="G132" i="57"/>
  <c r="J143" i="57"/>
  <c r="G143" i="57"/>
  <c r="J193" i="57"/>
  <c r="G193" i="57"/>
  <c r="J169" i="57"/>
  <c r="G169" i="57"/>
  <c r="J175" i="57"/>
  <c r="G175" i="57"/>
  <c r="J146" i="57"/>
  <c r="G146" i="57"/>
  <c r="J178" i="57"/>
  <c r="G178" i="57"/>
  <c r="J151" i="57"/>
  <c r="G151" i="57"/>
  <c r="J149" i="57"/>
  <c r="G149" i="57"/>
  <c r="J120" i="57"/>
  <c r="G120" i="57"/>
  <c r="J129" i="57"/>
  <c r="G129" i="57"/>
  <c r="J116" i="57"/>
  <c r="G116" i="57"/>
  <c r="J188" i="57"/>
  <c r="G188" i="57"/>
  <c r="J148" i="57"/>
  <c r="G148" i="57"/>
  <c r="J191" i="57"/>
  <c r="G191" i="57"/>
  <c r="J122" i="57"/>
  <c r="G122" i="57"/>
  <c r="J194" i="57"/>
  <c r="G194" i="57"/>
  <c r="J121" i="57"/>
  <c r="G121" i="57"/>
  <c r="J153" i="57"/>
  <c r="G153" i="57"/>
  <c r="J123" i="57"/>
  <c r="G123" i="57"/>
  <c r="J180" i="57"/>
  <c r="G180" i="57"/>
  <c r="J168" i="57"/>
  <c r="G168" i="57"/>
  <c r="J128" i="57"/>
  <c r="G128" i="57"/>
  <c r="J200" i="57"/>
  <c r="G200" i="57"/>
  <c r="J192" i="57"/>
  <c r="G192" i="57"/>
  <c r="J156" i="57"/>
  <c r="G156" i="57"/>
  <c r="J189" i="57"/>
  <c r="G189" i="57"/>
  <c r="J172" i="57"/>
  <c r="G172" i="57"/>
  <c r="J141" i="57"/>
  <c r="G141" i="57"/>
  <c r="J131" i="57"/>
  <c r="G131" i="57"/>
  <c r="J203" i="57"/>
  <c r="G203" i="57"/>
  <c r="J145" i="57"/>
  <c r="G145" i="57"/>
  <c r="J114" i="57"/>
  <c r="G114" i="57"/>
  <c r="J154" i="57"/>
  <c r="G154" i="57"/>
  <c r="J134" i="57"/>
  <c r="G134" i="57"/>
  <c r="J206" i="57"/>
  <c r="G206" i="57"/>
  <c r="J109" i="57"/>
  <c r="G109" i="57"/>
  <c r="J177" i="57"/>
  <c r="G177" i="57"/>
  <c r="J137" i="57"/>
  <c r="G137" i="57"/>
  <c r="J173" i="57"/>
  <c r="G173" i="57"/>
  <c r="J108" i="57"/>
  <c r="G108" i="57"/>
  <c r="J157" i="57"/>
  <c r="G157" i="57"/>
  <c r="J130" i="57"/>
  <c r="G130" i="57"/>
  <c r="J190" i="57"/>
  <c r="G190" i="57"/>
  <c r="J176" i="57"/>
  <c r="G176" i="57"/>
  <c r="J184" i="57"/>
  <c r="G184" i="57"/>
  <c r="J111" i="57"/>
  <c r="G111" i="57"/>
  <c r="J162" i="57"/>
  <c r="G162" i="57"/>
  <c r="J139" i="57"/>
  <c r="G139" i="57"/>
  <c r="J179" i="57"/>
  <c r="G179" i="57"/>
  <c r="J124" i="57"/>
  <c r="G124" i="57"/>
  <c r="J127" i="57"/>
  <c r="G127" i="57"/>
  <c r="J138" i="57"/>
  <c r="G138" i="57"/>
  <c r="J117" i="57"/>
  <c r="G117" i="57"/>
  <c r="J171" i="57"/>
  <c r="G171" i="57"/>
  <c r="J136" i="57"/>
  <c r="G136" i="57"/>
  <c r="J110" i="57"/>
  <c r="G110" i="57"/>
  <c r="J182" i="57"/>
  <c r="G182" i="57"/>
  <c r="J135" i="57"/>
  <c r="G135" i="57"/>
  <c r="J201" i="57"/>
  <c r="G201" i="57"/>
  <c r="J133" i="57"/>
  <c r="G133" i="57"/>
  <c r="J113" i="57"/>
  <c r="G113" i="57"/>
  <c r="J185" i="57"/>
  <c r="G185" i="57"/>
  <c r="J147" i="57"/>
  <c r="G147" i="57"/>
  <c r="J150" i="57"/>
  <c r="G150" i="57"/>
  <c r="J198" i="57"/>
  <c r="G198" i="57"/>
  <c r="J174" i="57"/>
  <c r="G174" i="57"/>
  <c r="J152" i="57"/>
  <c r="G152" i="57"/>
  <c r="J166" i="57"/>
  <c r="G166" i="57"/>
  <c r="J202" i="57"/>
  <c r="G202" i="57"/>
  <c r="J187" i="57"/>
  <c r="G187" i="57"/>
  <c r="J204" i="57"/>
  <c r="G204" i="57"/>
  <c r="J119" i="57"/>
  <c r="G119" i="57"/>
  <c r="J155" i="57"/>
  <c r="G155" i="57"/>
  <c r="J195" i="57"/>
  <c r="G195" i="57"/>
  <c r="J186" i="57"/>
  <c r="G186" i="57"/>
  <c r="J112" i="57"/>
  <c r="G112" i="57"/>
  <c r="J159" i="57"/>
  <c r="G159" i="57"/>
  <c r="J207" i="57"/>
  <c r="G207" i="57"/>
  <c r="J160" i="57"/>
  <c r="G160" i="57"/>
  <c r="J158" i="57"/>
  <c r="G158" i="57"/>
  <c r="J125" i="57"/>
  <c r="G125" i="57"/>
  <c r="J161" i="57"/>
  <c r="G161" i="57"/>
  <c r="J197" i="57"/>
  <c r="G197" i="57"/>
  <c r="J196" i="57"/>
  <c r="G196" i="57"/>
  <c r="J165" i="57"/>
  <c r="G165" i="57"/>
  <c r="J144" i="57"/>
  <c r="G144" i="57"/>
  <c r="J118" i="57"/>
  <c r="G118" i="57"/>
  <c r="J163" i="57"/>
  <c r="G163" i="57"/>
  <c r="J181" i="57"/>
  <c r="G181" i="57"/>
  <c r="K142" i="56"/>
  <c r="L142" i="56" s="1"/>
  <c r="K133" i="56"/>
  <c r="L133" i="56" s="1"/>
  <c r="K125" i="56"/>
  <c r="L125" i="56" s="1"/>
  <c r="K98" i="56"/>
  <c r="L98" i="56" s="1"/>
  <c r="K90" i="56"/>
  <c r="L90" i="56" s="1"/>
  <c r="K72" i="56"/>
  <c r="L72" i="56" s="1"/>
  <c r="K63" i="56"/>
  <c r="L63" i="56" s="1"/>
  <c r="K55" i="56"/>
  <c r="L55" i="56" s="1"/>
  <c r="K46" i="56"/>
  <c r="L46" i="56" s="1"/>
  <c r="K141" i="56"/>
  <c r="L141" i="56" s="1"/>
  <c r="K132" i="56"/>
  <c r="L132" i="56" s="1"/>
  <c r="K123" i="56"/>
  <c r="L123" i="56" s="1"/>
  <c r="K115" i="56"/>
  <c r="L115" i="56" s="1"/>
  <c r="K106" i="56"/>
  <c r="L106" i="56" s="1"/>
  <c r="K88" i="56"/>
  <c r="L88" i="56" s="1"/>
  <c r="K61" i="56"/>
  <c r="L61" i="56" s="1"/>
  <c r="K53" i="56"/>
  <c r="L53" i="56" s="1"/>
  <c r="K45" i="56"/>
  <c r="L45" i="56" s="1"/>
  <c r="K124" i="56"/>
  <c r="L124" i="56" s="1"/>
  <c r="K116" i="56"/>
  <c r="L116" i="56" s="1"/>
  <c r="K107" i="56"/>
  <c r="L107" i="56" s="1"/>
  <c r="K97" i="56"/>
  <c r="L97" i="56" s="1"/>
  <c r="K89" i="56"/>
  <c r="L89" i="56" s="1"/>
  <c r="K81" i="56"/>
  <c r="L81" i="56" s="1"/>
  <c r="K62" i="56"/>
  <c r="L62" i="56" s="1"/>
  <c r="K54" i="56"/>
  <c r="L54" i="56" s="1"/>
  <c r="K71" i="56"/>
  <c r="L71" i="56" s="1"/>
  <c r="K131" i="56"/>
  <c r="L131" i="56" s="1"/>
  <c r="K109" i="56"/>
  <c r="L109" i="56" s="1"/>
  <c r="K96" i="56"/>
  <c r="L96" i="56" s="1"/>
  <c r="K85" i="56"/>
  <c r="L85" i="56" s="1"/>
  <c r="K76" i="56"/>
  <c r="L76" i="56" s="1"/>
  <c r="K65" i="56"/>
  <c r="L65" i="56" s="1"/>
  <c r="K51" i="56"/>
  <c r="L51" i="56" s="1"/>
  <c r="K108" i="56"/>
  <c r="L108" i="56" s="1"/>
  <c r="K95" i="56"/>
  <c r="L95" i="56" s="1"/>
  <c r="K84" i="56"/>
  <c r="L84" i="56" s="1"/>
  <c r="K74" i="56"/>
  <c r="L74" i="56" s="1"/>
  <c r="B92" i="32"/>
  <c r="B116" i="32" s="1"/>
  <c r="K140" i="56"/>
  <c r="L140" i="56" s="1"/>
  <c r="K129" i="56"/>
  <c r="L129" i="56" s="1"/>
  <c r="K94" i="56"/>
  <c r="L94" i="56" s="1"/>
  <c r="K73" i="56"/>
  <c r="L73" i="56" s="1"/>
  <c r="K60" i="56"/>
  <c r="L60" i="56" s="1"/>
  <c r="K49" i="56"/>
  <c r="L49" i="56" s="1"/>
  <c r="K139" i="56"/>
  <c r="L139" i="56" s="1"/>
  <c r="K117" i="56"/>
  <c r="L117" i="56" s="1"/>
  <c r="K105" i="56"/>
  <c r="L105" i="56" s="1"/>
  <c r="K83" i="56"/>
  <c r="L83" i="56" s="1"/>
  <c r="K128" i="56"/>
  <c r="L128" i="56" s="1"/>
  <c r="K82" i="56"/>
  <c r="L82" i="56" s="1"/>
  <c r="K59" i="56"/>
  <c r="L59" i="56" s="1"/>
  <c r="K137" i="56"/>
  <c r="L137" i="56" s="1"/>
  <c r="K114" i="56"/>
  <c r="L114" i="56" s="1"/>
  <c r="K58" i="56"/>
  <c r="L58" i="56" s="1"/>
  <c r="K126" i="56"/>
  <c r="L126" i="56" s="1"/>
  <c r="K103" i="56"/>
  <c r="L103" i="56" s="1"/>
  <c r="K69" i="56"/>
  <c r="L69" i="56" s="1"/>
  <c r="K47" i="56"/>
  <c r="L47" i="56" s="1"/>
  <c r="K102" i="56"/>
  <c r="L102" i="56" s="1"/>
  <c r="K121" i="56"/>
  <c r="L121" i="56" s="1"/>
  <c r="K130" i="56"/>
  <c r="L130" i="56" s="1"/>
  <c r="K119" i="56"/>
  <c r="L119" i="56" s="1"/>
  <c r="K75" i="56"/>
  <c r="L75" i="56" s="1"/>
  <c r="K64" i="56"/>
  <c r="L64" i="56" s="1"/>
  <c r="K50" i="56"/>
  <c r="L50" i="56" s="1"/>
  <c r="K118" i="56"/>
  <c r="L118" i="56" s="1"/>
  <c r="K138" i="56"/>
  <c r="L138" i="56" s="1"/>
  <c r="K93" i="56"/>
  <c r="L93" i="56" s="1"/>
  <c r="K70" i="56"/>
  <c r="L70" i="56" s="1"/>
  <c r="K48" i="56"/>
  <c r="L48" i="56" s="1"/>
  <c r="K127" i="56"/>
  <c r="L127" i="56" s="1"/>
  <c r="K104" i="56"/>
  <c r="L104" i="56" s="1"/>
  <c r="K136" i="56"/>
  <c r="L136" i="56" s="1"/>
  <c r="K113" i="56"/>
  <c r="L113" i="56" s="1"/>
  <c r="K92" i="56"/>
  <c r="L92" i="56" s="1"/>
  <c r="K135" i="56"/>
  <c r="L135" i="56" s="1"/>
  <c r="K122" i="56"/>
  <c r="L122" i="56" s="1"/>
  <c r="K112" i="56"/>
  <c r="L112" i="56" s="1"/>
  <c r="K91" i="56"/>
  <c r="L91" i="56" s="1"/>
  <c r="K80" i="56"/>
  <c r="L80" i="56" s="1"/>
  <c r="K57" i="56"/>
  <c r="L57" i="56" s="1"/>
  <c r="K134" i="56"/>
  <c r="L134" i="56" s="1"/>
  <c r="K87" i="56"/>
  <c r="L87" i="56" s="1"/>
  <c r="K68" i="56"/>
  <c r="L68" i="56" s="1"/>
  <c r="K44" i="56"/>
  <c r="L44" i="56" s="1"/>
  <c r="K101" i="56"/>
  <c r="L101" i="56" s="1"/>
  <c r="K79" i="56"/>
  <c r="L79" i="56" s="1"/>
  <c r="K56" i="56"/>
  <c r="L56" i="56" s="1"/>
  <c r="K111" i="56"/>
  <c r="L111" i="56" s="1"/>
  <c r="K86" i="56"/>
  <c r="L86" i="56" s="1"/>
  <c r="K67" i="56"/>
  <c r="L67" i="56" s="1"/>
  <c r="K43" i="56"/>
  <c r="K110" i="56"/>
  <c r="L110" i="56" s="1"/>
  <c r="K66" i="56"/>
  <c r="L66" i="56" s="1"/>
  <c r="K100" i="56"/>
  <c r="L100" i="56" s="1"/>
  <c r="K78" i="56"/>
  <c r="L78" i="56" s="1"/>
  <c r="K52" i="56"/>
  <c r="L52" i="56" s="1"/>
  <c r="K99" i="56"/>
  <c r="L99" i="56" s="1"/>
  <c r="K77" i="56"/>
  <c r="L77" i="56" s="1"/>
  <c r="K120" i="56"/>
  <c r="L120" i="56" s="1"/>
  <c r="F63" i="20"/>
  <c r="F188" i="20"/>
  <c r="J62" i="20"/>
  <c r="G71" i="13"/>
  <c r="J318" i="20"/>
  <c r="E23" i="53"/>
  <c r="J225" i="20"/>
  <c r="J127" i="20"/>
  <c r="J241" i="20"/>
  <c r="J214" i="20"/>
  <c r="J289" i="20"/>
  <c r="J428" i="20"/>
  <c r="F151" i="20"/>
  <c r="F333" i="20"/>
  <c r="F234" i="20"/>
  <c r="F241" i="20"/>
  <c r="F66" i="20"/>
  <c r="F116" i="20"/>
  <c r="F282" i="20"/>
  <c r="F160" i="20"/>
  <c r="F287" i="20"/>
  <c r="F177" i="20"/>
  <c r="F423" i="20"/>
  <c r="J130" i="20"/>
  <c r="J370" i="20"/>
  <c r="F36" i="20"/>
  <c r="F338" i="20"/>
  <c r="F281" i="20"/>
  <c r="F161" i="20"/>
  <c r="J164" i="20"/>
  <c r="J193" i="20"/>
  <c r="J172" i="20"/>
  <c r="F223" i="20"/>
  <c r="F103" i="20"/>
  <c r="F51" i="20"/>
  <c r="F189" i="20"/>
  <c r="F259" i="20"/>
  <c r="J201" i="20"/>
  <c r="F136" i="20"/>
  <c r="F266" i="20"/>
  <c r="J143" i="20"/>
  <c r="F125" i="20"/>
  <c r="F245" i="20"/>
  <c r="F297" i="20"/>
  <c r="F271" i="20"/>
  <c r="F134" i="20"/>
  <c r="J333" i="20"/>
  <c r="J144" i="20"/>
  <c r="F244" i="20"/>
  <c r="F368" i="20"/>
  <c r="F131" i="20"/>
  <c r="F341" i="20"/>
  <c r="F59" i="20"/>
  <c r="F274" i="20"/>
  <c r="F141" i="20"/>
  <c r="F420" i="20"/>
  <c r="F306" i="20"/>
  <c r="F251" i="20"/>
  <c r="F431" i="20"/>
  <c r="F205" i="20"/>
  <c r="F313" i="20"/>
  <c r="F253" i="20"/>
  <c r="F82" i="20"/>
  <c r="F113" i="20"/>
  <c r="F318" i="20"/>
  <c r="F183" i="20"/>
  <c r="F171" i="20"/>
  <c r="F398" i="20"/>
  <c r="F167" i="20"/>
  <c r="J99" i="20"/>
  <c r="F322" i="20"/>
  <c r="J148" i="20"/>
  <c r="J135" i="20"/>
  <c r="F328" i="20"/>
  <c r="F147" i="20"/>
  <c r="F164" i="20"/>
  <c r="F185" i="20"/>
  <c r="F184" i="20"/>
  <c r="J395" i="20"/>
  <c r="F382" i="20"/>
  <c r="J74" i="20"/>
  <c r="F293" i="20"/>
  <c r="J67" i="20"/>
  <c r="F191" i="20"/>
  <c r="F152" i="20"/>
  <c r="J153" i="20"/>
  <c r="F334" i="20"/>
  <c r="H63" i="13"/>
  <c r="H119" i="13" s="1"/>
  <c r="F226" i="20"/>
  <c r="F72" i="20"/>
  <c r="F312" i="20"/>
  <c r="J351" i="20"/>
  <c r="J412" i="20"/>
  <c r="F48" i="20"/>
  <c r="F34" i="20"/>
  <c r="H60" i="13"/>
  <c r="H116" i="13" s="1"/>
  <c r="G76" i="13"/>
  <c r="G132" i="13" s="1"/>
  <c r="J133" i="20"/>
  <c r="H76" i="13"/>
  <c r="H132" i="13" s="1"/>
  <c r="J236" i="20"/>
  <c r="F37" i="20"/>
  <c r="F365" i="20"/>
  <c r="F71" i="13"/>
  <c r="F127" i="13" s="1"/>
  <c r="D24" i="53"/>
  <c r="D25" i="53"/>
  <c r="D23" i="53"/>
  <c r="J372" i="20"/>
  <c r="J341" i="20"/>
  <c r="J167" i="20"/>
  <c r="J60" i="20"/>
  <c r="J184" i="20"/>
  <c r="J282" i="20"/>
  <c r="J393" i="20"/>
  <c r="J122" i="20"/>
  <c r="J189" i="20"/>
  <c r="J235" i="20"/>
  <c r="J140" i="20"/>
  <c r="J391" i="20"/>
  <c r="J315" i="20"/>
  <c r="J423" i="20"/>
  <c r="J168" i="20"/>
  <c r="J305" i="20"/>
  <c r="J117" i="20"/>
  <c r="J284" i="20"/>
  <c r="J154" i="20"/>
  <c r="J345" i="20"/>
  <c r="J414" i="20"/>
  <c r="J329" i="20"/>
  <c r="J403" i="20"/>
  <c r="J429" i="20"/>
  <c r="J41" i="20"/>
  <c r="J273" i="20"/>
  <c r="J354" i="20"/>
  <c r="J47" i="20"/>
  <c r="J115" i="20"/>
  <c r="J192" i="20"/>
  <c r="J275" i="20"/>
  <c r="J383" i="20"/>
  <c r="J291" i="20"/>
  <c r="J413" i="20"/>
  <c r="J166" i="20"/>
  <c r="J296" i="20"/>
  <c r="J83" i="20"/>
  <c r="J95" i="20"/>
  <c r="J43" i="20"/>
  <c r="J233" i="20"/>
  <c r="J49" i="20"/>
  <c r="J102" i="20"/>
  <c r="J159" i="20"/>
  <c r="J223" i="20"/>
  <c r="J343" i="20"/>
  <c r="J255" i="20"/>
  <c r="J165" i="20"/>
  <c r="J380" i="20"/>
  <c r="J84" i="20"/>
  <c r="J425" i="20"/>
  <c r="J317" i="20"/>
  <c r="J206" i="20"/>
  <c r="J321" i="20"/>
  <c r="J112" i="20"/>
  <c r="J272" i="20"/>
  <c r="J176" i="20"/>
  <c r="J379" i="20"/>
  <c r="J58" i="20"/>
  <c r="J409" i="20"/>
  <c r="J249" i="20"/>
  <c r="J248" i="20"/>
  <c r="J87" i="20"/>
  <c r="J217" i="20"/>
  <c r="J61" i="20"/>
  <c r="J86" i="20"/>
  <c r="J419" i="20"/>
  <c r="J155" i="20"/>
  <c r="J312" i="20"/>
  <c r="J263" i="20"/>
  <c r="J240" i="20"/>
  <c r="J374" i="20"/>
  <c r="J378" i="20"/>
  <c r="J307" i="20"/>
  <c r="J384" i="20"/>
  <c r="J349" i="20"/>
  <c r="J360" i="20"/>
  <c r="J256" i="20"/>
  <c r="J288" i="20"/>
  <c r="J373" i="20"/>
  <c r="J48" i="20"/>
  <c r="J207" i="20"/>
  <c r="J266" i="20"/>
  <c r="J377" i="20"/>
  <c r="J271" i="20"/>
  <c r="J400" i="20"/>
  <c r="J145" i="20"/>
  <c r="J285" i="20"/>
  <c r="J71" i="20"/>
  <c r="J141" i="20"/>
  <c r="J46" i="20"/>
  <c r="J169" i="20"/>
  <c r="J300" i="20"/>
  <c r="J294" i="20"/>
  <c r="J432" i="20"/>
  <c r="J356" i="20"/>
  <c r="J82" i="20"/>
  <c r="J286" i="20"/>
  <c r="J212" i="20"/>
  <c r="J210" i="20"/>
  <c r="J336" i="20"/>
  <c r="J89" i="20"/>
  <c r="J221" i="20"/>
  <c r="J44" i="20"/>
  <c r="J301" i="20"/>
  <c r="J72" i="20"/>
  <c r="J424" i="20"/>
  <c r="J353" i="20"/>
  <c r="J229" i="20"/>
  <c r="J382" i="20"/>
  <c r="J120" i="20"/>
  <c r="J274" i="20"/>
  <c r="J59" i="20"/>
  <c r="J161" i="20"/>
  <c r="J108" i="20"/>
  <c r="J188" i="20"/>
  <c r="J66" i="20"/>
  <c r="J386" i="20"/>
  <c r="J156" i="20"/>
  <c r="J389" i="20"/>
  <c r="J279" i="20"/>
  <c r="J36" i="20"/>
  <c r="J316" i="20"/>
  <c r="J367" i="20"/>
  <c r="J45" i="20"/>
  <c r="J311" i="20"/>
  <c r="J245" i="20"/>
  <c r="J368" i="20"/>
  <c r="J232" i="20"/>
  <c r="J308" i="20"/>
  <c r="J220" i="20"/>
  <c r="J244" i="20"/>
  <c r="J262" i="20"/>
  <c r="J107" i="20"/>
  <c r="J121" i="20"/>
  <c r="J105" i="20"/>
  <c r="J267" i="20"/>
  <c r="J322" i="20"/>
  <c r="J362" i="20"/>
  <c r="J224" i="20"/>
  <c r="J185" i="20"/>
  <c r="J109" i="20"/>
  <c r="J323" i="20"/>
  <c r="J173" i="20"/>
  <c r="J174" i="20"/>
  <c r="J404" i="20"/>
  <c r="J35" i="20"/>
  <c r="J183" i="20"/>
  <c r="J283" i="20"/>
  <c r="J171" i="20"/>
  <c r="J51" i="20"/>
  <c r="J204" i="20"/>
  <c r="J268" i="20"/>
  <c r="J134" i="20"/>
  <c r="J94" i="20"/>
  <c r="J81" i="20"/>
  <c r="D60" i="26"/>
  <c r="J242" i="20"/>
  <c r="J110" i="20"/>
  <c r="J116" i="20"/>
  <c r="J175" i="20"/>
  <c r="J106" i="20"/>
  <c r="J287" i="20"/>
  <c r="D96" i="26"/>
  <c r="J327" i="20"/>
  <c r="J97" i="20"/>
  <c r="J415" i="20"/>
  <c r="J332" i="20"/>
  <c r="K52" i="18"/>
  <c r="J52" i="18"/>
  <c r="J369" i="20"/>
  <c r="J103" i="20"/>
  <c r="J126" i="20"/>
  <c r="J190" i="20"/>
  <c r="J178" i="20"/>
  <c r="J299" i="20"/>
  <c r="J250" i="20"/>
  <c r="C9" i="53"/>
  <c r="C25" i="53" s="1"/>
  <c r="J394" i="20"/>
  <c r="J366" i="20"/>
  <c r="J111" i="20"/>
  <c r="J390" i="20"/>
  <c r="J319" i="20"/>
  <c r="J137" i="20"/>
  <c r="J297" i="20"/>
  <c r="J222" i="20"/>
  <c r="J346" i="20"/>
  <c r="J251" i="20"/>
  <c r="J195" i="20"/>
  <c r="J79" i="20"/>
  <c r="J191" i="20"/>
  <c r="J147" i="20"/>
  <c r="J375" i="20"/>
  <c r="J200" i="20"/>
  <c r="J150" i="20"/>
  <c r="J227" i="20"/>
  <c r="J186" i="20"/>
  <c r="J350" i="20"/>
  <c r="J257" i="20"/>
  <c r="D84" i="26"/>
  <c r="D134" i="26"/>
  <c r="D86" i="26"/>
  <c r="D153" i="26"/>
  <c r="D126" i="26"/>
  <c r="J219" i="20"/>
  <c r="J411" i="20"/>
  <c r="D30" i="26"/>
  <c r="J340" i="20"/>
  <c r="J218" i="20"/>
  <c r="J254" i="20"/>
  <c r="J205" i="20"/>
  <c r="J406" i="20"/>
  <c r="J53" i="20"/>
  <c r="J50" i="20"/>
  <c r="J215" i="20"/>
  <c r="D70" i="26"/>
  <c r="J226" i="20"/>
  <c r="J303" i="20"/>
  <c r="J253" i="20"/>
  <c r="J363" i="20"/>
  <c r="J42" i="20"/>
  <c r="J90" i="20"/>
  <c r="J252" i="20"/>
  <c r="J295" i="20"/>
  <c r="J335" i="20"/>
  <c r="J124" i="20"/>
  <c r="J314" i="20"/>
  <c r="J85" i="20"/>
  <c r="J402" i="20"/>
  <c r="J337" i="20"/>
  <c r="J357" i="20"/>
  <c r="J397" i="20"/>
  <c r="J281" i="20"/>
  <c r="D105" i="26"/>
  <c r="J98" i="20"/>
  <c r="J57" i="20"/>
  <c r="J125" i="20"/>
  <c r="J392" i="20"/>
  <c r="J123" i="20"/>
  <c r="J298" i="20"/>
  <c r="J68" i="20"/>
  <c r="J361" i="20"/>
  <c r="D147" i="26"/>
  <c r="J55" i="20"/>
  <c r="J91" i="20"/>
  <c r="J149" i="20"/>
  <c r="J399" i="20"/>
  <c r="J180" i="20"/>
  <c r="J142" i="20"/>
  <c r="J347" i="20"/>
  <c r="J93" i="20"/>
  <c r="J396" i="20"/>
  <c r="F272" i="20"/>
  <c r="F180" i="20"/>
  <c r="S43" i="18"/>
  <c r="F252" i="20"/>
  <c r="F58" i="20"/>
  <c r="E25" i="53"/>
  <c r="F170" i="20"/>
  <c r="F165" i="20"/>
  <c r="F270" i="20"/>
  <c r="F54" i="20"/>
  <c r="F65" i="20"/>
  <c r="F107" i="20"/>
  <c r="F291" i="20"/>
  <c r="H150" i="27"/>
  <c r="F85" i="20"/>
  <c r="F347" i="20"/>
  <c r="F343" i="20"/>
  <c r="F301" i="20"/>
  <c r="F335" i="20"/>
  <c r="F218" i="20"/>
  <c r="F43" i="20"/>
  <c r="F71" i="20"/>
  <c r="F153" i="20"/>
  <c r="F91" i="20"/>
  <c r="F108" i="20"/>
  <c r="F336" i="20"/>
  <c r="J150" i="27"/>
  <c r="F73" i="20"/>
  <c r="F40" i="20"/>
  <c r="F349" i="20"/>
  <c r="F356" i="20"/>
  <c r="F314" i="20"/>
  <c r="F140" i="20"/>
  <c r="F135" i="20"/>
  <c r="F57" i="20"/>
  <c r="F155" i="20"/>
  <c r="F176" i="20"/>
  <c r="F129" i="20"/>
  <c r="F315" i="20"/>
  <c r="F390" i="20"/>
  <c r="F308" i="20"/>
  <c r="F159" i="20"/>
  <c r="F121" i="20"/>
  <c r="F249" i="20"/>
  <c r="F337" i="20"/>
  <c r="F47" i="20"/>
  <c r="C150" i="27"/>
  <c r="F410" i="20"/>
  <c r="F219" i="20"/>
  <c r="F236" i="20"/>
  <c r="F419" i="20"/>
  <c r="F41" i="20"/>
  <c r="F53" i="20"/>
  <c r="F93" i="20"/>
  <c r="F323" i="20"/>
  <c r="F309" i="20"/>
  <c r="F192" i="20"/>
  <c r="F145" i="20"/>
  <c r="F421" i="20"/>
  <c r="F427" i="20"/>
  <c r="G63" i="13"/>
  <c r="G119" i="13" s="1"/>
  <c r="F96" i="20"/>
  <c r="F67" i="20"/>
  <c r="F60" i="20"/>
  <c r="F105" i="20"/>
  <c r="F332" i="20"/>
  <c r="F303" i="20"/>
  <c r="F320" i="20"/>
  <c r="F39" i="20"/>
  <c r="F178" i="20"/>
  <c r="F33" i="20"/>
  <c r="F138" i="20"/>
  <c r="H59" i="13"/>
  <c r="H115" i="13" s="1"/>
  <c r="G59" i="13"/>
  <c r="G115" i="13" s="1"/>
  <c r="G65" i="13"/>
  <c r="G121" i="13" s="1"/>
  <c r="H62" i="13"/>
  <c r="H118" i="13" s="1"/>
  <c r="G86" i="13"/>
  <c r="G142" i="13" s="1"/>
  <c r="G68" i="13"/>
  <c r="G124" i="13" s="1"/>
  <c r="F77" i="13"/>
  <c r="F133" i="13" s="1"/>
  <c r="H77" i="13"/>
  <c r="H133" i="13" s="1"/>
  <c r="F69" i="13"/>
  <c r="F125" i="13" s="1"/>
  <c r="H69" i="13"/>
  <c r="H125" i="13" s="1"/>
  <c r="P51" i="18"/>
  <c r="P52" i="18" s="1"/>
  <c r="S47" i="18"/>
  <c r="F61" i="13"/>
  <c r="F117" i="13" s="1"/>
  <c r="G61" i="13"/>
  <c r="G117" i="13" s="1"/>
  <c r="F92" i="13"/>
  <c r="F242" i="20"/>
  <c r="F215" i="20"/>
  <c r="F98" i="20"/>
  <c r="F380" i="20"/>
  <c r="F311" i="20"/>
  <c r="F100" i="20"/>
  <c r="F302" i="20"/>
  <c r="F213" i="20"/>
  <c r="F109" i="20"/>
  <c r="F384" i="20"/>
  <c r="F166" i="20"/>
  <c r="F273" i="20"/>
  <c r="F114" i="20"/>
  <c r="F232" i="20"/>
  <c r="F117" i="20"/>
  <c r="F163" i="20"/>
  <c r="F261" i="20"/>
  <c r="F209" i="20"/>
  <c r="F104" i="20"/>
  <c r="F354" i="20"/>
  <c r="F210" i="20"/>
  <c r="F127" i="20"/>
  <c r="F61" i="20"/>
  <c r="F238" i="20"/>
  <c r="F413" i="20"/>
  <c r="F325" i="20"/>
  <c r="F377" i="20"/>
  <c r="F407" i="20"/>
  <c r="F288" i="20"/>
  <c r="F299" i="20"/>
  <c r="F146" i="20"/>
  <c r="F345" i="20"/>
  <c r="F212" i="20"/>
  <c r="F429" i="20"/>
  <c r="F247" i="20"/>
  <c r="F158" i="20"/>
  <c r="F49" i="20"/>
  <c r="F379" i="20"/>
  <c r="F397" i="20"/>
  <c r="F38" i="20"/>
  <c r="F157" i="20"/>
  <c r="F194" i="20"/>
  <c r="F248" i="20"/>
  <c r="F406" i="20"/>
  <c r="F280" i="20"/>
  <c r="F430" i="20"/>
  <c r="F69" i="20"/>
  <c r="F202" i="20"/>
  <c r="F75" i="20"/>
  <c r="F240" i="20"/>
  <c r="F316" i="20"/>
  <c r="F124" i="20"/>
  <c r="F307" i="20"/>
  <c r="F267" i="20"/>
  <c r="F304" i="20"/>
  <c r="F111" i="20"/>
  <c r="F203" i="20"/>
  <c r="F92" i="20"/>
  <c r="F265" i="20"/>
  <c r="F88" i="20"/>
  <c r="F99" i="20"/>
  <c r="F139" i="20"/>
  <c r="F221" i="20"/>
  <c r="F416" i="20"/>
  <c r="F372" i="20"/>
  <c r="F268" i="20"/>
  <c r="F286" i="20"/>
  <c r="F142" i="20"/>
  <c r="F317" i="20"/>
  <c r="F179" i="20"/>
  <c r="F403" i="20"/>
  <c r="F243" i="20"/>
  <c r="F137" i="20"/>
  <c r="F95" i="20"/>
  <c r="F394" i="20"/>
  <c r="F122" i="20"/>
  <c r="F162" i="20"/>
  <c r="F204" i="20"/>
  <c r="F263" i="20"/>
  <c r="F432" i="20"/>
  <c r="F254" i="20"/>
  <c r="F294" i="20"/>
  <c r="F42" i="20"/>
  <c r="F217" i="20"/>
  <c r="F346" i="20"/>
  <c r="F305" i="20"/>
  <c r="F424" i="20"/>
  <c r="F381" i="20"/>
  <c r="F329" i="20"/>
  <c r="F62" i="20"/>
  <c r="F352" i="20"/>
  <c r="F389" i="20"/>
  <c r="F327" i="20"/>
  <c r="F174" i="20"/>
  <c r="F385" i="20"/>
  <c r="F401" i="20"/>
  <c r="F409" i="20"/>
  <c r="F426" i="20"/>
  <c r="F250" i="20"/>
  <c r="F81" i="20"/>
  <c r="F233" i="20"/>
  <c r="F46" i="20"/>
  <c r="F239" i="20"/>
  <c r="F110" i="20"/>
  <c r="F300" i="20"/>
  <c r="F229" i="20"/>
  <c r="F404" i="20"/>
  <c r="F399" i="20"/>
  <c r="F275" i="20"/>
  <c r="F402" i="20"/>
  <c r="F190" i="20"/>
  <c r="F264" i="20"/>
  <c r="F246" i="20"/>
  <c r="F386" i="20"/>
  <c r="F363" i="20"/>
  <c r="F208" i="20"/>
  <c r="F195" i="20"/>
  <c r="F130" i="20"/>
  <c r="F80" i="20"/>
  <c r="F375" i="20"/>
  <c r="F371" i="20"/>
  <c r="F388" i="20"/>
  <c r="F295" i="20"/>
  <c r="F374" i="20"/>
  <c r="F422" i="20"/>
  <c r="F220" i="20"/>
  <c r="F378" i="20"/>
  <c r="F231" i="20"/>
  <c r="F408" i="20"/>
  <c r="F216" i="20"/>
  <c r="F97" i="20"/>
  <c r="F276" i="20"/>
  <c r="F86" i="20"/>
  <c r="F132" i="20"/>
  <c r="F373" i="20"/>
  <c r="F383" i="20"/>
  <c r="F262" i="20"/>
  <c r="F269" i="20"/>
  <c r="F173" i="20"/>
  <c r="F227" i="20"/>
  <c r="F143" i="20"/>
  <c r="F326" i="20"/>
  <c r="F344" i="20"/>
  <c r="F222" i="20"/>
  <c r="F148" i="20"/>
  <c r="F415" i="20"/>
  <c r="F417" i="20"/>
  <c r="F196" i="20"/>
  <c r="F391" i="20"/>
  <c r="F79" i="20"/>
  <c r="F298" i="20"/>
  <c r="F353" i="20"/>
  <c r="F361" i="20"/>
  <c r="F411" i="20"/>
  <c r="F201" i="20"/>
  <c r="F369" i="20"/>
  <c r="F214" i="20"/>
  <c r="F395" i="20"/>
  <c r="F193" i="20"/>
  <c r="F89" i="20"/>
  <c r="F284" i="20"/>
  <c r="F362" i="20"/>
  <c r="F376" i="20"/>
  <c r="F256" i="20"/>
  <c r="F207" i="20"/>
  <c r="F150" i="20"/>
  <c r="F168" i="20"/>
  <c r="F126" i="20"/>
  <c r="F199" i="20"/>
  <c r="F278" i="20"/>
  <c r="F101" i="20"/>
  <c r="F206" i="20"/>
  <c r="F428" i="20"/>
  <c r="F64" i="20"/>
  <c r="F149" i="20"/>
  <c r="F425" i="20"/>
  <c r="F350" i="20"/>
  <c r="F370" i="20"/>
  <c r="F186" i="20"/>
  <c r="F358" i="20"/>
  <c r="F181" i="20"/>
  <c r="F360" i="20"/>
  <c r="K71" i="13"/>
  <c r="K127" i="13" s="1"/>
  <c r="F35" i="20"/>
  <c r="F400" i="20"/>
  <c r="F74" i="20"/>
  <c r="F255" i="20"/>
  <c r="F154" i="20"/>
  <c r="F119" i="20"/>
  <c r="F348" i="20"/>
  <c r="F387" i="20"/>
  <c r="F115" i="20"/>
  <c r="F44" i="20"/>
  <c r="F366" i="20"/>
  <c r="F70" i="20"/>
  <c r="F283" i="20"/>
  <c r="F45" i="20"/>
  <c r="F230" i="20"/>
  <c r="F50" i="20"/>
  <c r="F296" i="20"/>
  <c r="F355" i="20"/>
  <c r="F83" i="20"/>
  <c r="F321" i="20"/>
  <c r="F324" i="20"/>
  <c r="F123" i="20"/>
  <c r="F279" i="20"/>
  <c r="F175" i="20"/>
  <c r="F128" i="20"/>
  <c r="F359" i="20"/>
  <c r="F396" i="20"/>
  <c r="F112" i="20"/>
  <c r="F55" i="20"/>
  <c r="F77" i="20"/>
  <c r="F392" i="20"/>
  <c r="F364" i="20"/>
  <c r="F120" i="20"/>
  <c r="F412" i="20"/>
  <c r="F331" i="20"/>
  <c r="G70" i="13"/>
  <c r="G126" i="13" s="1"/>
  <c r="H70" i="13"/>
  <c r="H126" i="13" s="1"/>
  <c r="H75" i="13"/>
  <c r="H131" i="13" s="1"/>
  <c r="E149" i="27"/>
  <c r="F172" i="20"/>
  <c r="F211" i="20"/>
  <c r="F133" i="20"/>
  <c r="F310" i="20"/>
  <c r="F235" i="20"/>
  <c r="F144" i="20"/>
  <c r="F277" i="20"/>
  <c r="F405" i="20"/>
  <c r="F340" i="20"/>
  <c r="F52" i="20"/>
  <c r="F285" i="20"/>
  <c r="F351" i="20"/>
  <c r="F182" i="20"/>
  <c r="F418" i="20"/>
  <c r="F68" i="20"/>
  <c r="F228" i="20"/>
  <c r="F200" i="20"/>
  <c r="F342" i="20"/>
  <c r="E150" i="27"/>
  <c r="F150" i="27"/>
  <c r="F56" i="20"/>
  <c r="F260" i="20"/>
  <c r="F156" i="20"/>
  <c r="F319" i="20"/>
  <c r="F237" i="20"/>
  <c r="F169" i="20"/>
  <c r="F290" i="20"/>
  <c r="F414" i="20"/>
  <c r="F106" i="20"/>
  <c r="F76" i="20"/>
  <c r="F292" i="20"/>
  <c r="F187" i="20"/>
  <c r="F87" i="20"/>
  <c r="F198" i="20"/>
  <c r="F90" i="20"/>
  <c r="F78" i="20"/>
  <c r="F393" i="20"/>
  <c r="F225" i="20"/>
  <c r="F357" i="20"/>
  <c r="S46" i="18"/>
  <c r="J358" i="20"/>
  <c r="J181" i="20"/>
  <c r="J247" i="20"/>
  <c r="J228" i="20"/>
  <c r="J136" i="20"/>
  <c r="J146" i="20"/>
  <c r="J209" i="20"/>
  <c r="J410" i="20"/>
  <c r="J199" i="20"/>
  <c r="J418" i="20"/>
  <c r="J231" i="20"/>
  <c r="J304" i="20"/>
  <c r="J417" i="20"/>
  <c r="J34" i="20"/>
  <c r="J160" i="20"/>
  <c r="J75" i="20"/>
  <c r="J63" i="20"/>
  <c r="J290" i="20"/>
  <c r="J33" i="20"/>
  <c r="J320" i="20"/>
  <c r="J238" i="20"/>
  <c r="J293" i="20"/>
  <c r="S34" i="18"/>
  <c r="D81" i="26"/>
  <c r="D122" i="26"/>
  <c r="D144" i="26"/>
  <c r="D89" i="26"/>
  <c r="J339" i="20"/>
  <c r="J157" i="20"/>
  <c r="J187" i="20"/>
  <c r="J216" i="20"/>
  <c r="J69" i="20"/>
  <c r="J328" i="20"/>
  <c r="J258" i="20"/>
  <c r="J202" i="20"/>
  <c r="J100" i="20"/>
  <c r="J359" i="20"/>
  <c r="J96" i="20"/>
  <c r="J230" i="20"/>
  <c r="J177" i="20"/>
  <c r="J427" i="20"/>
  <c r="J54" i="20"/>
  <c r="J129" i="20"/>
  <c r="J276" i="20"/>
  <c r="J376" i="20"/>
  <c r="J270" i="20"/>
  <c r="J420" i="20"/>
  <c r="J313" i="20"/>
  <c r="J237" i="20"/>
  <c r="J211" i="20"/>
  <c r="J119" i="20"/>
  <c r="J196" i="20"/>
  <c r="J92" i="20"/>
  <c r="J77" i="20"/>
  <c r="J407" i="20"/>
  <c r="J73" i="20"/>
  <c r="J234" i="20"/>
  <c r="J113" i="20"/>
  <c r="J56" i="20"/>
  <c r="J277" i="20"/>
  <c r="J388" i="20"/>
  <c r="J398" i="20"/>
  <c r="J310" i="20"/>
  <c r="J401" i="20"/>
  <c r="J364" i="20"/>
  <c r="J342" i="20"/>
  <c r="J151" i="20"/>
  <c r="J387" i="20"/>
  <c r="J197" i="20"/>
  <c r="J64" i="20"/>
  <c r="J265" i="20"/>
  <c r="J104" i="20"/>
  <c r="J101" i="20"/>
  <c r="J88" i="20"/>
  <c r="J131" i="20"/>
  <c r="J198" i="20"/>
  <c r="J278" i="20"/>
  <c r="J76" i="20"/>
  <c r="J118" i="20"/>
  <c r="J306" i="20"/>
  <c r="J422" i="20"/>
  <c r="J348" i="20"/>
  <c r="J352" i="20"/>
  <c r="J264" i="20"/>
  <c r="J194" i="20"/>
  <c r="J162" i="20"/>
  <c r="J355" i="20"/>
  <c r="J179" i="20"/>
  <c r="J39" i="20"/>
  <c r="J421" i="20"/>
  <c r="J381" i="20"/>
  <c r="J331" i="20"/>
  <c r="J182" i="20"/>
  <c r="J430" i="20"/>
  <c r="J70" i="20"/>
  <c r="J260" i="20"/>
  <c r="J365" i="20"/>
  <c r="J269" i="20"/>
  <c r="J426" i="20"/>
  <c r="J344" i="20"/>
  <c r="J324" i="20"/>
  <c r="J132" i="20"/>
  <c r="J325" i="20"/>
  <c r="J170" i="20"/>
  <c r="J38" i="20"/>
  <c r="J261" i="20"/>
  <c r="J80" i="20"/>
  <c r="J114" i="20"/>
  <c r="J37" i="20"/>
  <c r="J330" i="20"/>
  <c r="J385" i="20"/>
  <c r="J208" i="20"/>
  <c r="J416" i="20"/>
  <c r="J128" i="20"/>
  <c r="J40" i="20"/>
  <c r="J371" i="20"/>
  <c r="D111" i="26"/>
  <c r="J292" i="20"/>
  <c r="J213" i="20"/>
  <c r="J52" i="20"/>
  <c r="J259" i="20"/>
  <c r="J78" i="20"/>
  <c r="J203" i="20"/>
  <c r="J431" i="20"/>
  <c r="J280" i="20"/>
  <c r="J326" i="20"/>
  <c r="J408" i="20"/>
  <c r="F74" i="13"/>
  <c r="F130" i="13" s="1"/>
  <c r="G74" i="13"/>
  <c r="J302" i="20"/>
  <c r="J65" i="20"/>
  <c r="J158" i="20"/>
  <c r="J246" i="20"/>
  <c r="J239" i="20"/>
  <c r="J152" i="20"/>
  <c r="J309" i="20"/>
  <c r="J138" i="20"/>
  <c r="J243" i="20"/>
  <c r="J334" i="20"/>
  <c r="J338" i="20"/>
  <c r="J405" i="20"/>
  <c r="J163" i="20"/>
  <c r="D68" i="26"/>
  <c r="D100" i="26"/>
  <c r="D102" i="26"/>
  <c r="D130" i="26"/>
  <c r="D124" i="26"/>
  <c r="D133" i="26"/>
  <c r="D113" i="26"/>
  <c r="D104" i="26"/>
  <c r="D131" i="26"/>
  <c r="D142" i="26"/>
  <c r="D57" i="26"/>
  <c r="D152" i="26"/>
  <c r="D67" i="26"/>
  <c r="N51" i="18"/>
  <c r="N52" i="18" s="1"/>
  <c r="F70" i="13"/>
  <c r="F126" i="13" s="1"/>
  <c r="D156" i="27"/>
  <c r="C152" i="27"/>
  <c r="D110" i="26"/>
  <c r="D56" i="26"/>
  <c r="D140" i="26"/>
  <c r="D116" i="26"/>
  <c r="D138" i="26"/>
  <c r="D155" i="26"/>
  <c r="E164" i="26" s="1"/>
  <c r="D63" i="26"/>
  <c r="J53" i="26"/>
  <c r="J101" i="26" s="1"/>
  <c r="N80" i="13"/>
  <c r="K69" i="13"/>
  <c r="K125" i="13" s="1"/>
  <c r="E152" i="27"/>
  <c r="D146" i="26"/>
  <c r="D137" i="26"/>
  <c r="D145" i="26"/>
  <c r="D54" i="26"/>
  <c r="D69" i="26"/>
  <c r="D125" i="26"/>
  <c r="D101" i="26"/>
  <c r="D139" i="26"/>
  <c r="D149" i="26"/>
  <c r="D88" i="26"/>
  <c r="D75" i="26"/>
  <c r="D148" i="26"/>
  <c r="H74" i="13"/>
  <c r="H152" i="27"/>
  <c r="K129" i="46"/>
  <c r="D66" i="26"/>
  <c r="D115" i="26"/>
  <c r="S50" i="18"/>
  <c r="D106" i="26"/>
  <c r="D95" i="26"/>
  <c r="D150" i="26"/>
  <c r="D143" i="26"/>
  <c r="D85" i="26"/>
  <c r="D78" i="26"/>
  <c r="D62" i="26"/>
  <c r="D128" i="26"/>
  <c r="D71" i="26"/>
  <c r="D74" i="26"/>
  <c r="D114" i="26"/>
  <c r="D83" i="26"/>
  <c r="D98" i="26"/>
  <c r="D64" i="26"/>
  <c r="H66" i="13"/>
  <c r="H122" i="13" s="1"/>
  <c r="S41" i="18"/>
  <c r="D55" i="26"/>
  <c r="D82" i="26"/>
  <c r="D94" i="26"/>
  <c r="D127" i="26"/>
  <c r="D118" i="26"/>
  <c r="D117" i="26"/>
  <c r="S45" i="18"/>
  <c r="R51" i="18"/>
  <c r="I69" i="13"/>
  <c r="I125" i="13" s="1"/>
  <c r="F152" i="27"/>
  <c r="D120" i="26"/>
  <c r="D59" i="26"/>
  <c r="S32" i="18"/>
  <c r="E110" i="42"/>
  <c r="F255" i="41" s="1"/>
  <c r="D108" i="26"/>
  <c r="D136" i="26"/>
  <c r="D151" i="26"/>
  <c r="D103" i="26"/>
  <c r="D123" i="26"/>
  <c r="J152" i="27"/>
  <c r="F84" i="13"/>
  <c r="F140" i="13" s="1"/>
  <c r="D97" i="26"/>
  <c r="D91" i="26"/>
  <c r="D76" i="26"/>
  <c r="D72" i="26"/>
  <c r="D73" i="26"/>
  <c r="D107" i="26"/>
  <c r="D87" i="26"/>
  <c r="D129" i="26"/>
  <c r="D58" i="26"/>
  <c r="D121" i="26"/>
  <c r="D79" i="26"/>
  <c r="D77" i="26"/>
  <c r="D61" i="26"/>
  <c r="D93" i="26"/>
  <c r="D135" i="26"/>
  <c r="I433" i="20"/>
  <c r="D119" i="26"/>
  <c r="G66" i="13"/>
  <c r="G122" i="13" s="1"/>
  <c r="D110" i="42"/>
  <c r="E255" i="41" s="1"/>
  <c r="S36" i="18"/>
  <c r="D90" i="26"/>
  <c r="D132" i="26"/>
  <c r="D109" i="26"/>
  <c r="D92" i="26"/>
  <c r="D65" i="26"/>
  <c r="D99" i="26"/>
  <c r="D141" i="26"/>
  <c r="D112" i="26"/>
  <c r="G57" i="13"/>
  <c r="G113" i="13" s="1"/>
  <c r="H57" i="13"/>
  <c r="H113" i="13" s="1"/>
  <c r="H68" i="13"/>
  <c r="H124" i="13" s="1"/>
  <c r="H80" i="13"/>
  <c r="H136" i="13" s="1"/>
  <c r="H74" i="3"/>
  <c r="I74" i="3" s="1"/>
  <c r="H64" i="13"/>
  <c r="H120" i="13" s="1"/>
  <c r="G79" i="13"/>
  <c r="G135" i="13" s="1"/>
  <c r="H67" i="13"/>
  <c r="H123" i="13" s="1"/>
  <c r="H79" i="13"/>
  <c r="H135" i="13" s="1"/>
  <c r="G55" i="13"/>
  <c r="H56" i="13"/>
  <c r="H112" i="13" s="1"/>
  <c r="G64" i="13"/>
  <c r="G120" i="13" s="1"/>
  <c r="G64" i="41"/>
  <c r="G48" i="41"/>
  <c r="G80" i="41"/>
  <c r="D20" i="26"/>
  <c r="G108" i="41"/>
  <c r="G121" i="41"/>
  <c r="G83" i="41"/>
  <c r="G50" i="41"/>
  <c r="G31" i="41"/>
  <c r="G85" i="41"/>
  <c r="S39" i="18"/>
  <c r="J65" i="13"/>
  <c r="J121" i="13" s="1"/>
  <c r="G77" i="13"/>
  <c r="G133" i="13" s="1"/>
  <c r="G114" i="41"/>
  <c r="G33" i="41"/>
  <c r="G87" i="41"/>
  <c r="S37" i="18"/>
  <c r="H58" i="13"/>
  <c r="H114" i="13" s="1"/>
  <c r="G92" i="41"/>
  <c r="G90" i="41"/>
  <c r="G78" i="41"/>
  <c r="G127" i="41"/>
  <c r="G97" i="41"/>
  <c r="G39" i="41"/>
  <c r="G124" i="41"/>
  <c r="G30" i="41"/>
  <c r="G88" i="41"/>
  <c r="G107" i="41"/>
  <c r="G98" i="41"/>
  <c r="H86" i="13"/>
  <c r="H142" i="13" s="1"/>
  <c r="G61" i="41"/>
  <c r="G109" i="41"/>
  <c r="S35" i="18"/>
  <c r="G85" i="13"/>
  <c r="G141" i="13" s="1"/>
  <c r="G82" i="13"/>
  <c r="G138" i="13" s="1"/>
  <c r="H55" i="13"/>
  <c r="G83" i="13"/>
  <c r="G139" i="13" s="1"/>
  <c r="H73" i="13"/>
  <c r="H129" i="13" s="1"/>
  <c r="G87" i="13"/>
  <c r="G143" i="13" s="1"/>
  <c r="H149" i="27"/>
  <c r="F149" i="27"/>
  <c r="F110" i="42"/>
  <c r="G255" i="41" s="1"/>
  <c r="S48" i="18"/>
  <c r="G113" i="41"/>
  <c r="G117" i="41"/>
  <c r="G112" i="41"/>
  <c r="G89" i="41"/>
  <c r="G45" i="41"/>
  <c r="G99" i="41"/>
  <c r="G75" i="41"/>
  <c r="G122" i="41"/>
  <c r="G82" i="41"/>
  <c r="G69" i="41"/>
  <c r="G51" i="41"/>
  <c r="H432" i="20"/>
  <c r="H421" i="20"/>
  <c r="H412" i="20"/>
  <c r="H430" i="20"/>
  <c r="H410" i="20"/>
  <c r="H403" i="20"/>
  <c r="H394" i="20"/>
  <c r="H424" i="20"/>
  <c r="H398" i="20"/>
  <c r="H381" i="20"/>
  <c r="H368" i="20"/>
  <c r="H366" i="20"/>
  <c r="H357" i="20"/>
  <c r="H346" i="20"/>
  <c r="H328" i="20"/>
  <c r="H321" i="20"/>
  <c r="H310" i="20"/>
  <c r="H295" i="20"/>
  <c r="H275" i="20"/>
  <c r="H264" i="20"/>
  <c r="H257" i="20"/>
  <c r="H428" i="20"/>
  <c r="H417" i="20"/>
  <c r="H413" i="20"/>
  <c r="H400" i="20"/>
  <c r="H389" i="20"/>
  <c r="H387" i="20"/>
  <c r="H385" i="20"/>
  <c r="H383" i="20"/>
  <c r="H379" i="20"/>
  <c r="H355" i="20"/>
  <c r="H335" i="20"/>
  <c r="H319" i="20"/>
  <c r="H308" i="20"/>
  <c r="H306" i="20"/>
  <c r="H293" i="20"/>
  <c r="H284" i="20"/>
  <c r="H282" i="20"/>
  <c r="H273" i="20"/>
  <c r="H255" i="20"/>
  <c r="H248" i="20"/>
  <c r="H246" i="20"/>
  <c r="H235" i="20"/>
  <c r="H212" i="20"/>
  <c r="H210" i="20"/>
  <c r="H197" i="20"/>
  <c r="H195" i="20"/>
  <c r="H193" i="20"/>
  <c r="H180" i="20"/>
  <c r="H165" i="20"/>
  <c r="H163" i="20"/>
  <c r="H161" i="20"/>
  <c r="H136" i="20"/>
  <c r="H130" i="20"/>
  <c r="H109" i="20"/>
  <c r="H95" i="20"/>
  <c r="H83" i="20"/>
  <c r="H380" i="20"/>
  <c r="H373" i="20"/>
  <c r="H371" i="20"/>
  <c r="H351" i="20"/>
  <c r="H336" i="20"/>
  <c r="H334" i="20"/>
  <c r="H299" i="20"/>
  <c r="H290" i="20"/>
  <c r="H268" i="20"/>
  <c r="H239" i="20"/>
  <c r="H216" i="20"/>
  <c r="H187" i="20"/>
  <c r="H162" i="20"/>
  <c r="H139" i="20"/>
  <c r="H135" i="20"/>
  <c r="H128" i="20"/>
  <c r="H115" i="20"/>
  <c r="H105" i="20"/>
  <c r="H102" i="20"/>
  <c r="H81" i="20"/>
  <c r="H62" i="20"/>
  <c r="H55" i="20"/>
  <c r="H48" i="20"/>
  <c r="H34" i="20"/>
  <c r="H397" i="20"/>
  <c r="H392" i="20"/>
  <c r="H375" i="20"/>
  <c r="H364" i="20"/>
  <c r="H362" i="20"/>
  <c r="H353" i="20"/>
  <c r="H340" i="20"/>
  <c r="H338" i="20"/>
  <c r="H323" i="20"/>
  <c r="H301" i="20"/>
  <c r="H294" i="20"/>
  <c r="H292" i="20"/>
  <c r="H281" i="20"/>
  <c r="H270" i="20"/>
  <c r="H222" i="20"/>
  <c r="H220" i="20"/>
  <c r="H218" i="20"/>
  <c r="H164" i="20"/>
  <c r="H149" i="20"/>
  <c r="H143" i="20"/>
  <c r="H141" i="20"/>
  <c r="H125" i="20"/>
  <c r="H94" i="20"/>
  <c r="H86" i="20"/>
  <c r="H76" i="20"/>
  <c r="H69" i="20"/>
  <c r="H50" i="20"/>
  <c r="H43" i="20"/>
  <c r="H36" i="20"/>
  <c r="H429" i="20"/>
  <c r="H391" i="20"/>
  <c r="H388" i="20"/>
  <c r="H369" i="20"/>
  <c r="H348" i="20"/>
  <c r="H320" i="20"/>
  <c r="H287" i="20"/>
  <c r="H279" i="20"/>
  <c r="H260" i="20"/>
  <c r="H250" i="20"/>
  <c r="H243" i="20"/>
  <c r="H236" i="20"/>
  <c r="H226" i="20"/>
  <c r="H211" i="20"/>
  <c r="H201" i="20"/>
  <c r="H167" i="20"/>
  <c r="H134" i="20"/>
  <c r="H73" i="20"/>
  <c r="H64" i="20"/>
  <c r="H41" i="20"/>
  <c r="H35" i="20"/>
  <c r="H289" i="20"/>
  <c r="H245" i="20"/>
  <c r="H223" i="20"/>
  <c r="H203" i="20"/>
  <c r="H85" i="20"/>
  <c r="H67" i="20"/>
  <c r="H431" i="20"/>
  <c r="H350" i="20"/>
  <c r="H330" i="20"/>
  <c r="H278" i="20"/>
  <c r="H254" i="20"/>
  <c r="H242" i="20"/>
  <c r="H228" i="20"/>
  <c r="H213" i="20"/>
  <c r="H121" i="20"/>
  <c r="H108" i="20"/>
  <c r="H37" i="20"/>
  <c r="H406" i="20"/>
  <c r="H390" i="20"/>
  <c r="H332" i="20"/>
  <c r="H305" i="20"/>
  <c r="H215" i="20"/>
  <c r="H176" i="20"/>
  <c r="H98" i="20"/>
  <c r="H425" i="20"/>
  <c r="H419" i="20"/>
  <c r="H407" i="20"/>
  <c r="H382" i="20"/>
  <c r="H361" i="20"/>
  <c r="H356" i="20"/>
  <c r="H343" i="20"/>
  <c r="H317" i="20"/>
  <c r="H314" i="20"/>
  <c r="H303" i="20"/>
  <c r="H276" i="20"/>
  <c r="H265" i="20"/>
  <c r="H252" i="20"/>
  <c r="H238" i="20"/>
  <c r="H231" i="20"/>
  <c r="H206" i="20"/>
  <c r="H196" i="20"/>
  <c r="H191" i="20"/>
  <c r="H179" i="20"/>
  <c r="H177" i="20"/>
  <c r="H174" i="20"/>
  <c r="H159" i="20"/>
  <c r="H144" i="20"/>
  <c r="H92" i="20"/>
  <c r="H89" i="20"/>
  <c r="H82" i="20"/>
  <c r="H70" i="20"/>
  <c r="H61" i="20"/>
  <c r="H52" i="20"/>
  <c r="H186" i="20"/>
  <c r="H181" i="20"/>
  <c r="H169" i="20"/>
  <c r="H154" i="20"/>
  <c r="H151" i="20"/>
  <c r="H127" i="20"/>
  <c r="H118" i="20"/>
  <c r="H58" i="20"/>
  <c r="H49" i="20"/>
  <c r="H40" i="20"/>
  <c r="H233" i="20"/>
  <c r="H208" i="20"/>
  <c r="H131" i="20"/>
  <c r="H409" i="20"/>
  <c r="H124" i="20"/>
  <c r="H104" i="20"/>
  <c r="H422" i="20"/>
  <c r="H416" i="20"/>
  <c r="H374" i="20"/>
  <c r="H358" i="20"/>
  <c r="H345" i="20"/>
  <c r="H327" i="20"/>
  <c r="H322" i="20"/>
  <c r="H300" i="20"/>
  <c r="H342" i="20"/>
  <c r="H324" i="20"/>
  <c r="H311" i="20"/>
  <c r="H262" i="20"/>
  <c r="H240" i="20"/>
  <c r="H198" i="20"/>
  <c r="H188" i="20"/>
  <c r="H111" i="20"/>
  <c r="H88" i="20"/>
  <c r="H78" i="20"/>
  <c r="H363" i="20"/>
  <c r="H337" i="20"/>
  <c r="H267" i="20"/>
  <c r="H259" i="20"/>
  <c r="H247" i="20"/>
  <c r="H166" i="20"/>
  <c r="H146" i="20"/>
  <c r="H117" i="20"/>
  <c r="H114" i="20"/>
  <c r="H101" i="20"/>
  <c r="H91" i="20"/>
  <c r="H66" i="20"/>
  <c r="H46" i="20"/>
  <c r="H318" i="20"/>
  <c r="H298" i="20"/>
  <c r="H271" i="20"/>
  <c r="H263" i="20"/>
  <c r="H251" i="20"/>
  <c r="H244" i="20"/>
  <c r="H241" i="20"/>
  <c r="H234" i="20"/>
  <c r="H224" i="20"/>
  <c r="H173" i="20"/>
  <c r="H140" i="20"/>
  <c r="H96" i="20"/>
  <c r="H74" i="20"/>
  <c r="H54" i="20"/>
  <c r="H396" i="20"/>
  <c r="H386" i="20"/>
  <c r="H297" i="20"/>
  <c r="H172" i="20"/>
  <c r="H113" i="20"/>
  <c r="H107" i="20"/>
  <c r="H87" i="20"/>
  <c r="H401" i="20"/>
  <c r="H370" i="20"/>
  <c r="H341" i="20"/>
  <c r="H277" i="20"/>
  <c r="H266" i="20"/>
  <c r="H204" i="20"/>
  <c r="H157" i="20"/>
  <c r="H150" i="20"/>
  <c r="H80" i="20"/>
  <c r="H72" i="20"/>
  <c r="H42" i="20"/>
  <c r="H347" i="20"/>
  <c r="H304" i="20"/>
  <c r="H261" i="20"/>
  <c r="H153" i="20"/>
  <c r="H100" i="20"/>
  <c r="H57" i="20"/>
  <c r="H418" i="20"/>
  <c r="H399" i="20"/>
  <c r="H395" i="20"/>
  <c r="H377" i="20"/>
  <c r="H365" i="20"/>
  <c r="H316" i="20"/>
  <c r="H269" i="20"/>
  <c r="H232" i="20"/>
  <c r="H112" i="20"/>
  <c r="H93" i="20"/>
  <c r="H71" i="20"/>
  <c r="H256" i="20"/>
  <c r="H185" i="20"/>
  <c r="H175" i="20"/>
  <c r="H171" i="20"/>
  <c r="H99" i="20"/>
  <c r="H51" i="20"/>
  <c r="H414" i="20"/>
  <c r="H384" i="20"/>
  <c r="H339" i="20"/>
  <c r="H291" i="20"/>
  <c r="H283" i="20"/>
  <c r="H178" i="20"/>
  <c r="H106" i="20"/>
  <c r="H217" i="20"/>
  <c r="H84" i="20"/>
  <c r="H79" i="20"/>
  <c r="H45" i="20"/>
  <c r="H393" i="20"/>
  <c r="H307" i="20"/>
  <c r="H209" i="20"/>
  <c r="H148" i="20"/>
  <c r="H402" i="20"/>
  <c r="H372" i="20"/>
  <c r="H302" i="20"/>
  <c r="H205" i="20"/>
  <c r="H184" i="20"/>
  <c r="H155" i="20"/>
  <c r="H152" i="20"/>
  <c r="H137" i="20"/>
  <c r="H133" i="20"/>
  <c r="H237" i="20"/>
  <c r="H227" i="20"/>
  <c r="H158" i="20"/>
  <c r="H120" i="20"/>
  <c r="H77" i="20"/>
  <c r="H59" i="20"/>
  <c r="H38" i="20"/>
  <c r="H367" i="20"/>
  <c r="H138" i="20"/>
  <c r="H427" i="20"/>
  <c r="H354" i="20"/>
  <c r="H331" i="20"/>
  <c r="H129" i="20"/>
  <c r="H65" i="20"/>
  <c r="H110" i="20"/>
  <c r="H97" i="20"/>
  <c r="H39" i="20"/>
  <c r="H122" i="20"/>
  <c r="H103" i="20"/>
  <c r="H415" i="20"/>
  <c r="H378" i="20"/>
  <c r="H359" i="20"/>
  <c r="H352" i="20"/>
  <c r="H333" i="20"/>
  <c r="H329" i="20"/>
  <c r="H286" i="20"/>
  <c r="H274" i="20"/>
  <c r="H258" i="20"/>
  <c r="H230" i="20"/>
  <c r="H194" i="20"/>
  <c r="H190" i="20"/>
  <c r="H183" i="20"/>
  <c r="H147" i="20"/>
  <c r="H63" i="20"/>
  <c r="H44" i="20"/>
  <c r="H420" i="20"/>
  <c r="H411" i="20"/>
  <c r="H344" i="20"/>
  <c r="H325" i="20"/>
  <c r="H132" i="20"/>
  <c r="H126" i="20"/>
  <c r="H68" i="20"/>
  <c r="H33" i="20"/>
  <c r="H313" i="20"/>
  <c r="H285" i="20"/>
  <c r="H253" i="20"/>
  <c r="H405" i="20"/>
  <c r="H309" i="20"/>
  <c r="H296" i="20"/>
  <c r="H280" i="20"/>
  <c r="H219" i="20"/>
  <c r="H207" i="20"/>
  <c r="H200" i="20"/>
  <c r="H168" i="20"/>
  <c r="H53" i="20"/>
  <c r="H182" i="20"/>
  <c r="H145" i="20"/>
  <c r="H142" i="20"/>
  <c r="H119" i="20"/>
  <c r="H423" i="20"/>
  <c r="H404" i="20"/>
  <c r="H288" i="20"/>
  <c r="H229" i="20"/>
  <c r="H214" i="20"/>
  <c r="H189" i="20"/>
  <c r="H160" i="20"/>
  <c r="H75" i="20"/>
  <c r="H408" i="20"/>
  <c r="H272" i="20"/>
  <c r="H225" i="20"/>
  <c r="H192" i="20"/>
  <c r="H156" i="20"/>
  <c r="H47" i="20"/>
  <c r="H376" i="20"/>
  <c r="H360" i="20"/>
  <c r="H312" i="20"/>
  <c r="H202" i="20"/>
  <c r="H123" i="20"/>
  <c r="H116" i="20"/>
  <c r="H349" i="20"/>
  <c r="H315" i="20"/>
  <c r="H249" i="20"/>
  <c r="H221" i="20"/>
  <c r="H199" i="20"/>
  <c r="H170" i="20"/>
  <c r="H56" i="20"/>
  <c r="H426" i="20"/>
  <c r="H326" i="20"/>
  <c r="H90" i="20"/>
  <c r="H60" i="20"/>
  <c r="G94" i="41"/>
  <c r="G44" i="41"/>
  <c r="G68" i="41"/>
  <c r="G58" i="41"/>
  <c r="G53" i="41"/>
  <c r="G38" i="41"/>
  <c r="G52" i="41"/>
  <c r="G67" i="41"/>
  <c r="G55" i="41"/>
  <c r="G110" i="41"/>
  <c r="G73" i="41"/>
  <c r="L65" i="13"/>
  <c r="G123" i="41"/>
  <c r="G100" i="41"/>
  <c r="G81" i="13"/>
  <c r="G137" i="13" s="1"/>
  <c r="H81" i="13"/>
  <c r="H137" i="13" s="1"/>
  <c r="G37" i="41"/>
  <c r="G65" i="41"/>
  <c r="G34" i="41"/>
  <c r="G56" i="41"/>
  <c r="F56" i="13"/>
  <c r="F112" i="13" s="1"/>
  <c r="G63" i="41"/>
  <c r="G72" i="41"/>
  <c r="H61" i="13"/>
  <c r="H117" i="13" s="1"/>
  <c r="G75" i="13"/>
  <c r="G131" i="13" s="1"/>
  <c r="S33" i="18"/>
  <c r="S38" i="18"/>
  <c r="G69" i="13"/>
  <c r="G125" i="13" s="1"/>
  <c r="H82" i="13"/>
  <c r="H138" i="13" s="1"/>
  <c r="G106" i="41"/>
  <c r="G43" i="41"/>
  <c r="G91" i="41"/>
  <c r="G67" i="13"/>
  <c r="G123" i="13" s="1"/>
  <c r="D153" i="27"/>
  <c r="J153" i="27" s="1"/>
  <c r="F148" i="26"/>
  <c r="F142" i="26"/>
  <c r="F136" i="26"/>
  <c r="F130" i="26"/>
  <c r="F124" i="26"/>
  <c r="F137" i="26"/>
  <c r="F126" i="26"/>
  <c r="F122" i="26"/>
  <c r="F145" i="26"/>
  <c r="F141" i="26"/>
  <c r="F118" i="26"/>
  <c r="F112" i="26"/>
  <c r="F106" i="26"/>
  <c r="F100" i="26"/>
  <c r="F94" i="26"/>
  <c r="F88" i="26"/>
  <c r="F82" i="26"/>
  <c r="F76" i="26"/>
  <c r="F70" i="26"/>
  <c r="F64" i="26"/>
  <c r="F58" i="26"/>
  <c r="F155" i="26"/>
  <c r="G164" i="26" s="1"/>
  <c r="F127" i="26"/>
  <c r="F96" i="26"/>
  <c r="F92" i="26"/>
  <c r="F77" i="26"/>
  <c r="F73" i="26"/>
  <c r="F69" i="26"/>
  <c r="F139" i="26"/>
  <c r="F119" i="26"/>
  <c r="F115" i="26"/>
  <c r="F111" i="26"/>
  <c r="F66" i="26"/>
  <c r="F62" i="26"/>
  <c r="F151" i="26"/>
  <c r="F108" i="26"/>
  <c r="F104" i="26"/>
  <c r="F89" i="26"/>
  <c r="F85" i="26"/>
  <c r="F81" i="26"/>
  <c r="F147" i="26"/>
  <c r="F110" i="26"/>
  <c r="F99" i="26"/>
  <c r="F71" i="26"/>
  <c r="F54" i="26"/>
  <c r="F125" i="26"/>
  <c r="F123" i="26"/>
  <c r="F113" i="26"/>
  <c r="F97" i="26"/>
  <c r="F84" i="26"/>
  <c r="F68" i="26"/>
  <c r="F63" i="26"/>
  <c r="F57" i="26"/>
  <c r="F102" i="26"/>
  <c r="F91" i="26"/>
  <c r="F56" i="26"/>
  <c r="F143" i="26"/>
  <c r="F121" i="26"/>
  <c r="F114" i="26"/>
  <c r="F107" i="26"/>
  <c r="F144" i="26"/>
  <c r="F101" i="26"/>
  <c r="F74" i="26"/>
  <c r="F72" i="26"/>
  <c r="F150" i="26"/>
  <c r="F117" i="26"/>
  <c r="F140" i="26"/>
  <c r="F109" i="26"/>
  <c r="F90" i="26"/>
  <c r="F133" i="26"/>
  <c r="F60" i="26"/>
  <c r="F149" i="26"/>
  <c r="F135" i="26"/>
  <c r="F128" i="26"/>
  <c r="F105" i="26"/>
  <c r="F103" i="26"/>
  <c r="L53" i="26"/>
  <c r="F132" i="26"/>
  <c r="F87" i="26"/>
  <c r="F67" i="26"/>
  <c r="F98" i="26"/>
  <c r="F86" i="26"/>
  <c r="F61" i="26"/>
  <c r="F134" i="26"/>
  <c r="F75" i="26"/>
  <c r="F129" i="26"/>
  <c r="F79" i="26"/>
  <c r="F65" i="26"/>
  <c r="F146" i="26"/>
  <c r="F131" i="26"/>
  <c r="F116" i="26"/>
  <c r="F138" i="26"/>
  <c r="F78" i="26"/>
  <c r="F153" i="26"/>
  <c r="F55" i="26"/>
  <c r="F80" i="26"/>
  <c r="F120" i="26"/>
  <c r="F152" i="26"/>
  <c r="F59" i="26"/>
  <c r="F93" i="26"/>
  <c r="F95" i="26"/>
  <c r="F83" i="26"/>
  <c r="G105" i="41"/>
  <c r="G40" i="41"/>
  <c r="G95" i="41"/>
  <c r="G47" i="41"/>
  <c r="G126" i="41"/>
  <c r="G77" i="41"/>
  <c r="S44" i="18"/>
  <c r="G116" i="41"/>
  <c r="G118" i="41"/>
  <c r="G81" i="41"/>
  <c r="G129" i="41"/>
  <c r="G89" i="13"/>
  <c r="G145" i="13" s="1"/>
  <c r="E19" i="26"/>
  <c r="G115" i="41"/>
  <c r="G71" i="41"/>
  <c r="G60" i="41"/>
  <c r="G58" i="13"/>
  <c r="G114" i="13" s="1"/>
  <c r="H89" i="13"/>
  <c r="H145" i="13" s="1"/>
  <c r="G74" i="41"/>
  <c r="G57" i="41"/>
  <c r="C19" i="26"/>
  <c r="G80" i="13"/>
  <c r="G136" i="13" s="1"/>
  <c r="G35" i="41"/>
  <c r="G96" i="41"/>
  <c r="E148" i="26"/>
  <c r="E142" i="26"/>
  <c r="E136" i="26"/>
  <c r="E130" i="26"/>
  <c r="E124" i="26"/>
  <c r="E152" i="26"/>
  <c r="E133" i="26"/>
  <c r="E129" i="26"/>
  <c r="E117" i="26"/>
  <c r="E111" i="26"/>
  <c r="E105" i="26"/>
  <c r="E99" i="26"/>
  <c r="E93" i="26"/>
  <c r="E87" i="26"/>
  <c r="E81" i="26"/>
  <c r="E75" i="26"/>
  <c r="E69" i="26"/>
  <c r="E63" i="26"/>
  <c r="E57" i="26"/>
  <c r="E137" i="26"/>
  <c r="E126" i="26"/>
  <c r="E122" i="26"/>
  <c r="E153" i="26"/>
  <c r="E147" i="26"/>
  <c r="E107" i="26"/>
  <c r="E103" i="26"/>
  <c r="E88" i="26"/>
  <c r="E54" i="26"/>
  <c r="E155" i="26"/>
  <c r="F164" i="26" s="1"/>
  <c r="E127" i="26"/>
  <c r="E96" i="26"/>
  <c r="E92" i="26"/>
  <c r="E77" i="26"/>
  <c r="E73" i="26"/>
  <c r="E58" i="26"/>
  <c r="E145" i="26"/>
  <c r="E139" i="26"/>
  <c r="E119" i="26"/>
  <c r="E115" i="26"/>
  <c r="E100" i="26"/>
  <c r="E66" i="26"/>
  <c r="E149" i="26"/>
  <c r="E138" i="26"/>
  <c r="E131" i="26"/>
  <c r="E102" i="26"/>
  <c r="E94" i="26"/>
  <c r="E89" i="26"/>
  <c r="E60" i="26"/>
  <c r="E110" i="26"/>
  <c r="E76" i="26"/>
  <c r="E71" i="26"/>
  <c r="E151" i="26"/>
  <c r="E116" i="26"/>
  <c r="E104" i="26"/>
  <c r="E82" i="26"/>
  <c r="E70" i="26"/>
  <c r="E123" i="26"/>
  <c r="E91" i="26"/>
  <c r="E56" i="26"/>
  <c r="E146" i="26"/>
  <c r="E140" i="26"/>
  <c r="E113" i="26"/>
  <c r="E109" i="26"/>
  <c r="E68" i="26"/>
  <c r="E55" i="26"/>
  <c r="E144" i="26"/>
  <c r="E125" i="26"/>
  <c r="E101" i="26"/>
  <c r="E74" i="26"/>
  <c r="E72" i="26"/>
  <c r="E86" i="26"/>
  <c r="E84" i="26"/>
  <c r="E90" i="26"/>
  <c r="E62" i="26"/>
  <c r="E118" i="26"/>
  <c r="E80" i="26"/>
  <c r="E106" i="26"/>
  <c r="E61" i="26"/>
  <c r="E134" i="26"/>
  <c r="E112" i="26"/>
  <c r="E65" i="26"/>
  <c r="E132" i="26"/>
  <c r="K53" i="26"/>
  <c r="E67" i="26"/>
  <c r="E79" i="26"/>
  <c r="E83" i="26"/>
  <c r="E128" i="26"/>
  <c r="E108" i="26"/>
  <c r="E121" i="26"/>
  <c r="E97" i="26"/>
  <c r="E150" i="26"/>
  <c r="E85" i="26"/>
  <c r="E135" i="26"/>
  <c r="E141" i="26"/>
  <c r="E120" i="26"/>
  <c r="E143" i="26"/>
  <c r="E98" i="26"/>
  <c r="E59" i="26"/>
  <c r="E114" i="26"/>
  <c r="E64" i="26"/>
  <c r="E95" i="26"/>
  <c r="E78" i="26"/>
  <c r="G101" i="41"/>
  <c r="G111" i="41"/>
  <c r="S42" i="18"/>
  <c r="H65" i="13"/>
  <c r="H121" i="13" s="1"/>
  <c r="G102" i="41"/>
  <c r="G66" i="41"/>
  <c r="G41" i="41"/>
  <c r="G62" i="13"/>
  <c r="G118" i="13" s="1"/>
  <c r="G86" i="41"/>
  <c r="G119" i="41"/>
  <c r="S49" i="18"/>
  <c r="H84" i="13"/>
  <c r="H140" i="13" s="1"/>
  <c r="I55" i="13"/>
  <c r="I111" i="13" s="1"/>
  <c r="H87" i="13"/>
  <c r="H143" i="13" s="1"/>
  <c r="H83" i="13"/>
  <c r="H139" i="13" s="1"/>
  <c r="G73" i="13"/>
  <c r="G129" i="13" s="1"/>
  <c r="H85" i="13"/>
  <c r="H141" i="13" s="1"/>
  <c r="J149" i="27"/>
  <c r="G46" i="41"/>
  <c r="G54" i="41"/>
  <c r="G36" i="41"/>
  <c r="G104" i="41"/>
  <c r="G49" i="41"/>
  <c r="G62" i="41"/>
  <c r="G79" i="41"/>
  <c r="S40" i="18"/>
  <c r="K428" i="20"/>
  <c r="K426" i="20"/>
  <c r="K417" i="20"/>
  <c r="K399" i="20"/>
  <c r="K392" i="20"/>
  <c r="K390" i="20"/>
  <c r="K406" i="20"/>
  <c r="K397" i="20"/>
  <c r="K388" i="20"/>
  <c r="K404" i="20"/>
  <c r="K375" i="20"/>
  <c r="K351" i="20"/>
  <c r="K342" i="20"/>
  <c r="K333" i="20"/>
  <c r="K324" i="20"/>
  <c r="K315" i="20"/>
  <c r="K291" i="20"/>
  <c r="K280" i="20"/>
  <c r="K271" i="20"/>
  <c r="K430" i="20"/>
  <c r="K395" i="20"/>
  <c r="K393" i="20"/>
  <c r="K373" i="20"/>
  <c r="K362" i="20"/>
  <c r="K360" i="20"/>
  <c r="K349" i="20"/>
  <c r="K340" i="20"/>
  <c r="K313" i="20"/>
  <c r="K302" i="20"/>
  <c r="K300" i="20"/>
  <c r="K289" i="20"/>
  <c r="K278" i="20"/>
  <c r="K269" i="20"/>
  <c r="K267" i="20"/>
  <c r="K260" i="20"/>
  <c r="K251" i="20"/>
  <c r="K242" i="20"/>
  <c r="K227" i="20"/>
  <c r="K225" i="20"/>
  <c r="K223" i="20"/>
  <c r="K221" i="20"/>
  <c r="K204" i="20"/>
  <c r="K202" i="20"/>
  <c r="K189" i="20"/>
  <c r="K176" i="20"/>
  <c r="K174" i="20"/>
  <c r="K172" i="20"/>
  <c r="K127" i="20"/>
  <c r="K118" i="20"/>
  <c r="K104" i="20"/>
  <c r="K92" i="20"/>
  <c r="K80" i="20"/>
  <c r="K410" i="20"/>
  <c r="K366" i="20"/>
  <c r="K364" i="20"/>
  <c r="K353" i="20"/>
  <c r="K327" i="20"/>
  <c r="K314" i="20"/>
  <c r="K305" i="20"/>
  <c r="K296" i="20"/>
  <c r="K285" i="20"/>
  <c r="K274" i="20"/>
  <c r="K272" i="20"/>
  <c r="K265" i="20"/>
  <c r="K263" i="20"/>
  <c r="K261" i="20"/>
  <c r="K259" i="20"/>
  <c r="K226" i="20"/>
  <c r="K209" i="20"/>
  <c r="K205" i="20"/>
  <c r="K151" i="20"/>
  <c r="K147" i="20"/>
  <c r="K130" i="20"/>
  <c r="K117" i="20"/>
  <c r="K83" i="20"/>
  <c r="K71" i="20"/>
  <c r="K59" i="20"/>
  <c r="K52" i="20"/>
  <c r="K45" i="20"/>
  <c r="K425" i="20"/>
  <c r="K420" i="20"/>
  <c r="K405" i="20"/>
  <c r="K389" i="20"/>
  <c r="K384" i="20"/>
  <c r="K355" i="20"/>
  <c r="K329" i="20"/>
  <c r="K316" i="20"/>
  <c r="K307" i="20"/>
  <c r="K298" i="20"/>
  <c r="K287" i="20"/>
  <c r="K276" i="20"/>
  <c r="K234" i="20"/>
  <c r="K232" i="20"/>
  <c r="K230" i="20"/>
  <c r="K228" i="20"/>
  <c r="K211" i="20"/>
  <c r="K207" i="20"/>
  <c r="K153" i="20"/>
  <c r="K122" i="20"/>
  <c r="K109" i="20"/>
  <c r="K96" i="20"/>
  <c r="K88" i="20"/>
  <c r="K73" i="20"/>
  <c r="K66" i="20"/>
  <c r="K40" i="20"/>
  <c r="K419" i="20"/>
  <c r="K394" i="20"/>
  <c r="K385" i="20"/>
  <c r="K382" i="20"/>
  <c r="K379" i="20"/>
  <c r="K350" i="20"/>
  <c r="K330" i="20"/>
  <c r="K317" i="20"/>
  <c r="K311" i="20"/>
  <c r="K303" i="20"/>
  <c r="K292" i="20"/>
  <c r="K284" i="20"/>
  <c r="K257" i="20"/>
  <c r="K254" i="20"/>
  <c r="K240" i="20"/>
  <c r="K213" i="20"/>
  <c r="K198" i="20"/>
  <c r="K188" i="20"/>
  <c r="K164" i="20"/>
  <c r="K136" i="20"/>
  <c r="K131" i="20"/>
  <c r="K121" i="20"/>
  <c r="K108" i="20"/>
  <c r="K95" i="20"/>
  <c r="K85" i="20"/>
  <c r="K55" i="20"/>
  <c r="K37" i="20"/>
  <c r="K400" i="20"/>
  <c r="K297" i="20"/>
  <c r="K294" i="20"/>
  <c r="K273" i="20"/>
  <c r="K270" i="20"/>
  <c r="K262" i="20"/>
  <c r="K256" i="20"/>
  <c r="K200" i="20"/>
  <c r="K427" i="20"/>
  <c r="K421" i="20"/>
  <c r="K412" i="20"/>
  <c r="K403" i="20"/>
  <c r="K339" i="20"/>
  <c r="K244" i="20"/>
  <c r="K210" i="20"/>
  <c r="K190" i="20"/>
  <c r="K166" i="20"/>
  <c r="K143" i="20"/>
  <c r="K133" i="20"/>
  <c r="K81" i="20"/>
  <c r="K72" i="20"/>
  <c r="K69" i="20"/>
  <c r="K60" i="20"/>
  <c r="K54" i="20"/>
  <c r="K34" i="20"/>
  <c r="K424" i="20"/>
  <c r="K365" i="20"/>
  <c r="K217" i="20"/>
  <c r="K195" i="20"/>
  <c r="K185" i="20"/>
  <c r="K173" i="20"/>
  <c r="K158" i="20"/>
  <c r="K87" i="20"/>
  <c r="K42" i="20"/>
  <c r="K39" i="20"/>
  <c r="K413" i="20"/>
  <c r="K409" i="20"/>
  <c r="K371" i="20"/>
  <c r="K363" i="20"/>
  <c r="K337" i="20"/>
  <c r="K332" i="20"/>
  <c r="K281" i="20"/>
  <c r="K247" i="20"/>
  <c r="K233" i="20"/>
  <c r="K218" i="20"/>
  <c r="K215" i="20"/>
  <c r="K208" i="20"/>
  <c r="K203" i="20"/>
  <c r="K193" i="20"/>
  <c r="K161" i="20"/>
  <c r="K146" i="20"/>
  <c r="K141" i="20"/>
  <c r="K124" i="20"/>
  <c r="K114" i="20"/>
  <c r="K111" i="20"/>
  <c r="K105" i="20"/>
  <c r="K101" i="20"/>
  <c r="K98" i="20"/>
  <c r="K46" i="20"/>
  <c r="K43" i="20"/>
  <c r="K183" i="20"/>
  <c r="K171" i="20"/>
  <c r="K156" i="20"/>
  <c r="K138" i="20"/>
  <c r="K78" i="20"/>
  <c r="K75" i="20"/>
  <c r="K63" i="20"/>
  <c r="K220" i="20"/>
  <c r="K51" i="20"/>
  <c r="K178" i="20"/>
  <c r="K94" i="20"/>
  <c r="K84" i="20"/>
  <c r="K431" i="20"/>
  <c r="K376" i="20"/>
  <c r="K347" i="20"/>
  <c r="K368" i="20"/>
  <c r="K352" i="20"/>
  <c r="K319" i="20"/>
  <c r="K308" i="20"/>
  <c r="K286" i="20"/>
  <c r="K249" i="20"/>
  <c r="K235" i="20"/>
  <c r="K148" i="20"/>
  <c r="K91" i="20"/>
  <c r="K418" i="20"/>
  <c r="K415" i="20"/>
  <c r="K396" i="20"/>
  <c r="K387" i="20"/>
  <c r="K381" i="20"/>
  <c r="K378" i="20"/>
  <c r="K334" i="20"/>
  <c r="K283" i="20"/>
  <c r="K237" i="20"/>
  <c r="K163" i="20"/>
  <c r="K57" i="20"/>
  <c r="K416" i="20"/>
  <c r="K411" i="20"/>
  <c r="K386" i="20"/>
  <c r="K383" i="20"/>
  <c r="K348" i="20"/>
  <c r="K310" i="20"/>
  <c r="K290" i="20"/>
  <c r="K248" i="20"/>
  <c r="K216" i="20"/>
  <c r="K177" i="20"/>
  <c r="K126" i="20"/>
  <c r="K120" i="20"/>
  <c r="K113" i="20"/>
  <c r="K82" i="20"/>
  <c r="K68" i="20"/>
  <c r="K49" i="20"/>
  <c r="K38" i="20"/>
  <c r="K33" i="20"/>
  <c r="K401" i="20"/>
  <c r="K391" i="20"/>
  <c r="K374" i="20"/>
  <c r="K358" i="20"/>
  <c r="K250" i="20"/>
  <c r="K236" i="20"/>
  <c r="K197" i="20"/>
  <c r="K186" i="20"/>
  <c r="K182" i="20"/>
  <c r="K142" i="20"/>
  <c r="K304" i="20"/>
  <c r="K288" i="20"/>
  <c r="K246" i="20"/>
  <c r="K243" i="20"/>
  <c r="K179" i="20"/>
  <c r="K160" i="20"/>
  <c r="K58" i="20"/>
  <c r="K414" i="20"/>
  <c r="K239" i="20"/>
  <c r="K229" i="20"/>
  <c r="K192" i="20"/>
  <c r="K112" i="20"/>
  <c r="K106" i="20"/>
  <c r="K86" i="20"/>
  <c r="K67" i="20"/>
  <c r="K432" i="20"/>
  <c r="K423" i="20"/>
  <c r="K346" i="20"/>
  <c r="K331" i="20"/>
  <c r="K196" i="20"/>
  <c r="K129" i="20"/>
  <c r="K99" i="20"/>
  <c r="K65" i="20"/>
  <c r="K343" i="20"/>
  <c r="K299" i="20"/>
  <c r="K252" i="20"/>
  <c r="K116" i="20"/>
  <c r="K61" i="20"/>
  <c r="K372" i="20"/>
  <c r="K312" i="20"/>
  <c r="K295" i="20"/>
  <c r="K103" i="20"/>
  <c r="K422" i="20"/>
  <c r="K275" i="20"/>
  <c r="K241" i="20"/>
  <c r="K144" i="20"/>
  <c r="K90" i="20"/>
  <c r="K402" i="20"/>
  <c r="K326" i="20"/>
  <c r="K345" i="20"/>
  <c r="K282" i="20"/>
  <c r="K258" i="20"/>
  <c r="K224" i="20"/>
  <c r="K191" i="20"/>
  <c r="K162" i="20"/>
  <c r="K128" i="20"/>
  <c r="K115" i="20"/>
  <c r="K370" i="20"/>
  <c r="K341" i="20"/>
  <c r="K306" i="20"/>
  <c r="K277" i="20"/>
  <c r="K266" i="20"/>
  <c r="K201" i="20"/>
  <c r="K169" i="20"/>
  <c r="K165" i="20"/>
  <c r="K150" i="20"/>
  <c r="K132" i="20"/>
  <c r="K102" i="20"/>
  <c r="K89" i="20"/>
  <c r="K380" i="20"/>
  <c r="K323" i="20"/>
  <c r="K149" i="20"/>
  <c r="K167" i="20"/>
  <c r="K70" i="20"/>
  <c r="K170" i="20"/>
  <c r="K140" i="20"/>
  <c r="K74" i="20"/>
  <c r="K231" i="20"/>
  <c r="K44" i="20"/>
  <c r="K429" i="20"/>
  <c r="K344" i="20"/>
  <c r="K325" i="20"/>
  <c r="K321" i="20"/>
  <c r="K309" i="20"/>
  <c r="K301" i="20"/>
  <c r="K293" i="20"/>
  <c r="K219" i="20"/>
  <c r="K157" i="20"/>
  <c r="K154" i="20"/>
  <c r="K139" i="20"/>
  <c r="K135" i="20"/>
  <c r="K107" i="20"/>
  <c r="K100" i="20"/>
  <c r="K53" i="20"/>
  <c r="K48" i="20"/>
  <c r="K336" i="20"/>
  <c r="K253" i="20"/>
  <c r="K119" i="20"/>
  <c r="K93" i="20"/>
  <c r="K361" i="20"/>
  <c r="K222" i="20"/>
  <c r="K214" i="20"/>
  <c r="K175" i="20"/>
  <c r="K168" i="20"/>
  <c r="K76" i="20"/>
  <c r="K62" i="20"/>
  <c r="K36" i="20"/>
  <c r="K377" i="20"/>
  <c r="K369" i="20"/>
  <c r="K354" i="20"/>
  <c r="K328" i="20"/>
  <c r="K320" i="20"/>
  <c r="K145" i="20"/>
  <c r="K125" i="20"/>
  <c r="K47" i="20"/>
  <c r="K357" i="20"/>
  <c r="K134" i="20"/>
  <c r="K79" i="20"/>
  <c r="K41" i="20"/>
  <c r="K408" i="20"/>
  <c r="K264" i="20"/>
  <c r="K123" i="20"/>
  <c r="K110" i="20"/>
  <c r="K56" i="20"/>
  <c r="K35" i="20"/>
  <c r="K335" i="20"/>
  <c r="K279" i="20"/>
  <c r="K238" i="20"/>
  <c r="K206" i="20"/>
  <c r="K184" i="20"/>
  <c r="K181" i="20"/>
  <c r="K152" i="20"/>
  <c r="K137" i="20"/>
  <c r="K97" i="20"/>
  <c r="K318" i="20"/>
  <c r="K268" i="20"/>
  <c r="K199" i="20"/>
  <c r="K159" i="20"/>
  <c r="K155" i="20"/>
  <c r="K50" i="20"/>
  <c r="K407" i="20"/>
  <c r="K398" i="20"/>
  <c r="K245" i="20"/>
  <c r="K212" i="20"/>
  <c r="K77" i="20"/>
  <c r="K367" i="20"/>
  <c r="K359" i="20"/>
  <c r="K356" i="20"/>
  <c r="K338" i="20"/>
  <c r="K322" i="20"/>
  <c r="K255" i="20"/>
  <c r="K194" i="20"/>
  <c r="K187" i="20"/>
  <c r="K180" i="20"/>
  <c r="K64" i="20"/>
  <c r="L69" i="13"/>
  <c r="I93" i="13"/>
  <c r="I148" i="13" s="1"/>
  <c r="L64" i="13"/>
  <c r="J64" i="13"/>
  <c r="J120" i="13" s="1"/>
  <c r="N86" i="13"/>
  <c r="N64" i="13"/>
  <c r="K64" i="13"/>
  <c r="K120" i="13" s="1"/>
  <c r="J59" i="13"/>
  <c r="J115" i="13" s="1"/>
  <c r="J60" i="13"/>
  <c r="J116" i="13" s="1"/>
  <c r="N78" i="13"/>
  <c r="K68" i="13"/>
  <c r="K124" i="13" s="1"/>
  <c r="N63" i="13"/>
  <c r="N65" i="13"/>
  <c r="J68" i="13"/>
  <c r="J124" i="13" s="1"/>
  <c r="N59" i="13"/>
  <c r="K65" i="13"/>
  <c r="K121" i="13" s="1"/>
  <c r="K59" i="13"/>
  <c r="K115" i="13" s="1"/>
  <c r="I66" i="13"/>
  <c r="I122" i="13" s="1"/>
  <c r="K63" i="13"/>
  <c r="K119" i="13" s="1"/>
  <c r="I63" i="13"/>
  <c r="I119" i="13" s="1"/>
  <c r="J63" i="13"/>
  <c r="J119" i="13" s="1"/>
  <c r="I99" i="13"/>
  <c r="I154" i="13" s="1"/>
  <c r="J99" i="13"/>
  <c r="J154" i="13" s="1"/>
  <c r="K99" i="13"/>
  <c r="K154" i="13" s="1"/>
  <c r="K66" i="13"/>
  <c r="K122" i="13" s="1"/>
  <c r="L78" i="13"/>
  <c r="K78" i="13"/>
  <c r="K134" i="13" s="1"/>
  <c r="J78" i="13"/>
  <c r="J134" i="13" s="1"/>
  <c r="I86" i="13"/>
  <c r="I142" i="13" s="1"/>
  <c r="I62" i="13"/>
  <c r="I118" i="13" s="1"/>
  <c r="N62" i="13"/>
  <c r="J93" i="13"/>
  <c r="J148" i="13" s="1"/>
  <c r="I91" i="13"/>
  <c r="L77" i="13"/>
  <c r="K77" i="13"/>
  <c r="K133" i="13" s="1"/>
  <c r="N77" i="13"/>
  <c r="J86" i="13"/>
  <c r="J142" i="13" s="1"/>
  <c r="J69" i="13"/>
  <c r="J125" i="13" s="1"/>
  <c r="J70" i="13"/>
  <c r="J126" i="13" s="1"/>
  <c r="J77" i="13"/>
  <c r="J133" i="13" s="1"/>
  <c r="N68" i="13"/>
  <c r="J80" i="13"/>
  <c r="J136" i="13" s="1"/>
  <c r="L61" i="13"/>
  <c r="L62" i="13"/>
  <c r="J62" i="13"/>
  <c r="J118" i="13" s="1"/>
  <c r="J88" i="13"/>
  <c r="J144" i="13" s="1"/>
  <c r="J58" i="13"/>
  <c r="J114" i="13" s="1"/>
  <c r="I72" i="13"/>
  <c r="I128" i="13" s="1"/>
  <c r="J61" i="13"/>
  <c r="J117" i="13" s="1"/>
  <c r="N58" i="13"/>
  <c r="K85" i="13"/>
  <c r="K141" i="13" s="1"/>
  <c r="L60" i="13"/>
  <c r="I58" i="13"/>
  <c r="I114" i="13" s="1"/>
  <c r="L80" i="13"/>
  <c r="I59" i="13"/>
  <c r="I115" i="13" s="1"/>
  <c r="L58" i="13"/>
  <c r="K80" i="13"/>
  <c r="K136" i="13" s="1"/>
  <c r="L85" i="13"/>
  <c r="N60" i="13"/>
  <c r="N61" i="13"/>
  <c r="I61" i="13"/>
  <c r="I117" i="13" s="1"/>
  <c r="N70" i="13"/>
  <c r="J85" i="13"/>
  <c r="J141" i="13" s="1"/>
  <c r="K70" i="13"/>
  <c r="K126" i="13" s="1"/>
  <c r="L70" i="13"/>
  <c r="N85" i="13"/>
  <c r="L76" i="13"/>
  <c r="F154" i="27"/>
  <c r="E154" i="27"/>
  <c r="C154" i="27"/>
  <c r="J154" i="27"/>
  <c r="H154" i="27"/>
  <c r="N81" i="13"/>
  <c r="K60" i="13"/>
  <c r="K116" i="13" s="1"/>
  <c r="N146" i="13"/>
  <c r="K98" i="13"/>
  <c r="K152" i="13" s="1"/>
  <c r="I79" i="13"/>
  <c r="I135" i="13" s="1"/>
  <c r="K81" i="13"/>
  <c r="K137" i="13" s="1"/>
  <c r="I81" i="13"/>
  <c r="I137" i="13" s="1"/>
  <c r="I76" i="13"/>
  <c r="I132" i="13" s="1"/>
  <c r="I98" i="13"/>
  <c r="I152" i="13" s="1"/>
  <c r="L81" i="13"/>
  <c r="N76" i="13"/>
  <c r="J95" i="13"/>
  <c r="J150" i="13" s="1"/>
  <c r="L72" i="13"/>
  <c r="K86" i="13"/>
  <c r="K142" i="13" s="1"/>
  <c r="I95" i="13"/>
  <c r="I150" i="13" s="1"/>
  <c r="K88" i="13"/>
  <c r="K144" i="13" s="1"/>
  <c r="N88" i="13"/>
  <c r="I88" i="13"/>
  <c r="I144" i="13" s="1"/>
  <c r="J76" i="13"/>
  <c r="J132" i="13" s="1"/>
  <c r="K72" i="13"/>
  <c r="K128" i="13" s="1"/>
  <c r="L66" i="13"/>
  <c r="N66" i="13"/>
  <c r="J79" i="13"/>
  <c r="J135" i="13" s="1"/>
  <c r="J91" i="13"/>
  <c r="N72" i="13"/>
  <c r="I73" i="13"/>
  <c r="I129" i="13" s="1"/>
  <c r="L73" i="13"/>
  <c r="K73" i="13"/>
  <c r="K129" i="13" s="1"/>
  <c r="J73" i="13"/>
  <c r="J129" i="13" s="1"/>
  <c r="L79" i="13"/>
  <c r="K79" i="13"/>
  <c r="K135" i="13" s="1"/>
  <c r="I68" i="13"/>
  <c r="I124" i="13" s="1"/>
  <c r="J151" i="27"/>
  <c r="H151" i="27"/>
  <c r="D155" i="27"/>
  <c r="C151" i="27"/>
  <c r="F151" i="27"/>
  <c r="E151" i="27"/>
  <c r="F142" i="58"/>
  <c r="F143" i="58" s="1"/>
  <c r="F136" i="46"/>
  <c r="F137" i="46" s="1"/>
  <c r="L128" i="13" l="1"/>
  <c r="J157" i="13"/>
  <c r="L132" i="13"/>
  <c r="L116" i="13"/>
  <c r="L148" i="13"/>
  <c r="L141" i="13"/>
  <c r="L117" i="13"/>
  <c r="K157" i="13"/>
  <c r="L137" i="13"/>
  <c r="L133" i="13"/>
  <c r="L134" i="13"/>
  <c r="L121" i="13"/>
  <c r="L120" i="13"/>
  <c r="L126" i="13"/>
  <c r="L152" i="13"/>
  <c r="L154" i="13"/>
  <c r="L119" i="13"/>
  <c r="L135" i="13"/>
  <c r="L136" i="13"/>
  <c r="L118" i="13"/>
  <c r="L122" i="13"/>
  <c r="L150" i="13"/>
  <c r="L114" i="13"/>
  <c r="L142" i="13"/>
  <c r="L125" i="13"/>
  <c r="J74" i="13"/>
  <c r="J130" i="13" s="1"/>
  <c r="G130" i="13"/>
  <c r="L115" i="13"/>
  <c r="J55" i="13"/>
  <c r="J111" i="13" s="1"/>
  <c r="G111" i="13"/>
  <c r="K74" i="13"/>
  <c r="K130" i="13" s="1"/>
  <c r="H130" i="13"/>
  <c r="J71" i="13"/>
  <c r="J127" i="13" s="1"/>
  <c r="G127" i="13"/>
  <c r="L129" i="13"/>
  <c r="L124" i="13"/>
  <c r="L144" i="13"/>
  <c r="K55" i="13"/>
  <c r="K111" i="13" s="1"/>
  <c r="H111" i="13"/>
  <c r="L132" i="15"/>
  <c r="F138" i="15" s="1"/>
  <c r="J288" i="3"/>
  <c r="G55" i="12" s="1"/>
  <c r="R52" i="18"/>
  <c r="K56" i="17"/>
  <c r="G66" i="12"/>
  <c r="AB131" i="57"/>
  <c r="P188" i="56" s="1"/>
  <c r="AB116" i="57"/>
  <c r="P173" i="56" s="1"/>
  <c r="Z128" i="57"/>
  <c r="AC128" i="57" s="1"/>
  <c r="Q185" i="56" s="1"/>
  <c r="AB156" i="57"/>
  <c r="P213" i="56" s="1"/>
  <c r="AB182" i="57"/>
  <c r="P239" i="56" s="1"/>
  <c r="Z176" i="57"/>
  <c r="AC176" i="57" s="1"/>
  <c r="Q233" i="56" s="1"/>
  <c r="AB181" i="57"/>
  <c r="P238" i="56" s="1"/>
  <c r="J61" i="12"/>
  <c r="J56" i="12"/>
  <c r="E183" i="17"/>
  <c r="G59" i="12" s="1"/>
  <c r="J173" i="17"/>
  <c r="E182" i="17" s="1"/>
  <c r="H174" i="3"/>
  <c r="F301" i="3" s="1"/>
  <c r="G58" i="12" s="1"/>
  <c r="C23" i="53"/>
  <c r="F23" i="53" s="1"/>
  <c r="G23" i="53" s="1"/>
  <c r="J73" i="26"/>
  <c r="J123" i="26"/>
  <c r="J127" i="26"/>
  <c r="J85" i="26"/>
  <c r="J153" i="26"/>
  <c r="J96" i="26"/>
  <c r="J130" i="26"/>
  <c r="J120" i="26"/>
  <c r="J105" i="26"/>
  <c r="J115" i="26"/>
  <c r="J103" i="26"/>
  <c r="J92" i="26"/>
  <c r="J69" i="26"/>
  <c r="J119" i="26"/>
  <c r="J112" i="26"/>
  <c r="J88" i="26"/>
  <c r="J75" i="26"/>
  <c r="J136" i="26"/>
  <c r="AB145" i="57"/>
  <c r="P202" i="56" s="1"/>
  <c r="AB135" i="57"/>
  <c r="P192" i="56" s="1"/>
  <c r="AB123" i="57"/>
  <c r="P180" i="56" s="1"/>
  <c r="AB125" i="57"/>
  <c r="P182" i="56" s="1"/>
  <c r="AB127" i="57"/>
  <c r="P184" i="56" s="1"/>
  <c r="AB175" i="57"/>
  <c r="P232" i="56" s="1"/>
  <c r="AB187" i="57"/>
  <c r="P244" i="56" s="1"/>
  <c r="AB157" i="57"/>
  <c r="P214" i="56" s="1"/>
  <c r="AB117" i="57"/>
  <c r="P174" i="56" s="1"/>
  <c r="AB205" i="57"/>
  <c r="P262" i="56" s="1"/>
  <c r="AC109" i="57"/>
  <c r="Q166" i="56" s="1"/>
  <c r="G68" i="57"/>
  <c r="H64" i="57"/>
  <c r="G66" i="57"/>
  <c r="H62" i="57"/>
  <c r="G69" i="57"/>
  <c r="H65" i="57"/>
  <c r="G71" i="57"/>
  <c r="H67" i="57"/>
  <c r="K143" i="56"/>
  <c r="L43" i="56"/>
  <c r="L143" i="56" s="1"/>
  <c r="H172" i="3"/>
  <c r="F299" i="3" s="1"/>
  <c r="F147" i="13"/>
  <c r="C24" i="53"/>
  <c r="F24" i="53" s="1"/>
  <c r="F25" i="53"/>
  <c r="H71" i="3"/>
  <c r="I71" i="3" s="1"/>
  <c r="J147" i="26"/>
  <c r="J108" i="26"/>
  <c r="J61" i="26"/>
  <c r="J121" i="26"/>
  <c r="J141" i="26"/>
  <c r="J93" i="26"/>
  <c r="J72" i="26"/>
  <c r="J97" i="26"/>
  <c r="J56" i="26"/>
  <c r="J116" i="26"/>
  <c r="I71" i="13"/>
  <c r="D31" i="26"/>
  <c r="S51" i="18"/>
  <c r="J122" i="26"/>
  <c r="J111" i="26"/>
  <c r="J146" i="26"/>
  <c r="J54" i="26"/>
  <c r="J137" i="26"/>
  <c r="J59" i="26"/>
  <c r="J102" i="26"/>
  <c r="J142" i="26"/>
  <c r="J63" i="26"/>
  <c r="J65" i="26"/>
  <c r="J433" i="20"/>
  <c r="J129" i="26"/>
  <c r="J134" i="26"/>
  <c r="J84" i="26"/>
  <c r="J91" i="26"/>
  <c r="J140" i="26"/>
  <c r="J107" i="26"/>
  <c r="J149" i="26"/>
  <c r="J99" i="26"/>
  <c r="J148" i="26"/>
  <c r="J113" i="26"/>
  <c r="F153" i="27"/>
  <c r="H72" i="3"/>
  <c r="I72" i="3" s="1"/>
  <c r="D154" i="26"/>
  <c r="E165" i="26" s="1"/>
  <c r="I74" i="13"/>
  <c r="I130" i="13" s="1"/>
  <c r="J109" i="26"/>
  <c r="J83" i="26"/>
  <c r="J117" i="26"/>
  <c r="J89" i="26"/>
  <c r="J152" i="26"/>
  <c r="J58" i="26"/>
  <c r="J139" i="26"/>
  <c r="J79" i="26"/>
  <c r="J100" i="26"/>
  <c r="J128" i="26"/>
  <c r="J78" i="26"/>
  <c r="J95" i="26"/>
  <c r="J150" i="26"/>
  <c r="C156" i="27"/>
  <c r="E156" i="27"/>
  <c r="J156" i="27"/>
  <c r="H273" i="19" s="1"/>
  <c r="K273" i="19" s="1"/>
  <c r="H156" i="27"/>
  <c r="F156" i="27"/>
  <c r="J145" i="26"/>
  <c r="J110" i="26"/>
  <c r="J124" i="26"/>
  <c r="J151" i="26"/>
  <c r="J68" i="26"/>
  <c r="J67" i="26"/>
  <c r="J125" i="26"/>
  <c r="J71" i="26"/>
  <c r="J126" i="26"/>
  <c r="J76" i="26"/>
  <c r="J143" i="26"/>
  <c r="J104" i="26"/>
  <c r="J60" i="26"/>
  <c r="J80" i="26"/>
  <c r="J82" i="26"/>
  <c r="J55" i="26"/>
  <c r="J77" i="26"/>
  <c r="J132" i="26"/>
  <c r="C153" i="27"/>
  <c r="D273" i="19" s="1"/>
  <c r="J106" i="26"/>
  <c r="J155" i="26"/>
  <c r="H164" i="26" s="1"/>
  <c r="J62" i="26"/>
  <c r="J135" i="26"/>
  <c r="J86" i="26"/>
  <c r="J70" i="26"/>
  <c r="J138" i="26"/>
  <c r="E153" i="27"/>
  <c r="J57" i="26"/>
  <c r="J114" i="26"/>
  <c r="J64" i="26"/>
  <c r="J87" i="26"/>
  <c r="J90" i="26"/>
  <c r="J74" i="26"/>
  <c r="J144" i="26"/>
  <c r="H153" i="27"/>
  <c r="J118" i="26"/>
  <c r="J94" i="26"/>
  <c r="J98" i="26"/>
  <c r="J81" i="26"/>
  <c r="J66" i="26"/>
  <c r="J131" i="26"/>
  <c r="J133" i="26"/>
  <c r="E154" i="26"/>
  <c r="F165" i="26" s="1"/>
  <c r="H255" i="41"/>
  <c r="L88" i="13"/>
  <c r="H73" i="3"/>
  <c r="I73" i="3" s="1"/>
  <c r="F154" i="26"/>
  <c r="G165" i="26" s="1"/>
  <c r="C20" i="26"/>
  <c r="K433" i="20"/>
  <c r="D32" i="26"/>
  <c r="L55" i="13"/>
  <c r="L151" i="26"/>
  <c r="L145" i="26"/>
  <c r="L139" i="26"/>
  <c r="L133" i="26"/>
  <c r="L127" i="26"/>
  <c r="L121" i="26"/>
  <c r="L155" i="26"/>
  <c r="J164" i="26" s="1"/>
  <c r="L142" i="26"/>
  <c r="L131" i="26"/>
  <c r="L114" i="26"/>
  <c r="L108" i="26"/>
  <c r="L102" i="26"/>
  <c r="L96" i="26"/>
  <c r="L90" i="26"/>
  <c r="L84" i="26"/>
  <c r="L78" i="26"/>
  <c r="L72" i="26"/>
  <c r="L66" i="26"/>
  <c r="L60" i="26"/>
  <c r="L54" i="26"/>
  <c r="L150" i="26"/>
  <c r="L135" i="26"/>
  <c r="L148" i="26"/>
  <c r="L140" i="26"/>
  <c r="L128" i="26"/>
  <c r="L101" i="26"/>
  <c r="L86" i="26"/>
  <c r="L82" i="26"/>
  <c r="L67" i="26"/>
  <c r="L63" i="26"/>
  <c r="L143" i="26"/>
  <c r="L134" i="26"/>
  <c r="L120" i="26"/>
  <c r="L109" i="26"/>
  <c r="L105" i="26"/>
  <c r="L71" i="26"/>
  <c r="L56" i="26"/>
  <c r="L152" i="26"/>
  <c r="L149" i="26"/>
  <c r="L146" i="26"/>
  <c r="L137" i="26"/>
  <c r="L113" i="26"/>
  <c r="L98" i="26"/>
  <c r="L94" i="26"/>
  <c r="L79" i="26"/>
  <c r="L75" i="26"/>
  <c r="L141" i="26"/>
  <c r="L116" i="26"/>
  <c r="L61" i="26"/>
  <c r="L58" i="26"/>
  <c r="L55" i="26"/>
  <c r="L111" i="26"/>
  <c r="L103" i="26"/>
  <c r="L85" i="26"/>
  <c r="L69" i="26"/>
  <c r="L129" i="26"/>
  <c r="L112" i="26"/>
  <c r="L110" i="26"/>
  <c r="L87" i="26"/>
  <c r="L73" i="26"/>
  <c r="L117" i="26"/>
  <c r="L83" i="26"/>
  <c r="L57" i="26"/>
  <c r="L97" i="26"/>
  <c r="L122" i="26"/>
  <c r="L93" i="26"/>
  <c r="L89" i="26"/>
  <c r="L77" i="26"/>
  <c r="L144" i="26"/>
  <c r="L119" i="26"/>
  <c r="L92" i="26"/>
  <c r="L70" i="26"/>
  <c r="L68" i="26"/>
  <c r="L64" i="26"/>
  <c r="L130" i="26"/>
  <c r="L100" i="26"/>
  <c r="L81" i="26"/>
  <c r="L124" i="26"/>
  <c r="L65" i="26"/>
  <c r="L91" i="26"/>
  <c r="L126" i="26"/>
  <c r="L107" i="26"/>
  <c r="L138" i="26"/>
  <c r="L76" i="26"/>
  <c r="L136" i="26"/>
  <c r="L153" i="26"/>
  <c r="L88" i="26"/>
  <c r="L74" i="26"/>
  <c r="L62" i="26"/>
  <c r="L147" i="26"/>
  <c r="L118" i="26"/>
  <c r="L59" i="26"/>
  <c r="L106" i="26"/>
  <c r="L95" i="26"/>
  <c r="L80" i="26"/>
  <c r="L132" i="26"/>
  <c r="L123" i="26"/>
  <c r="L99" i="26"/>
  <c r="L115" i="26"/>
  <c r="L104" i="26"/>
  <c r="L125" i="26"/>
  <c r="K150" i="26"/>
  <c r="K144" i="26"/>
  <c r="K138" i="26"/>
  <c r="K132" i="26"/>
  <c r="K126" i="26"/>
  <c r="K120" i="26"/>
  <c r="K146" i="26"/>
  <c r="K127" i="26"/>
  <c r="K123" i="26"/>
  <c r="K155" i="26"/>
  <c r="I164" i="26" s="1"/>
  <c r="K142" i="26"/>
  <c r="K131" i="26"/>
  <c r="K114" i="26"/>
  <c r="K108" i="26"/>
  <c r="K102" i="26"/>
  <c r="K96" i="26"/>
  <c r="K90" i="26"/>
  <c r="K84" i="26"/>
  <c r="K78" i="26"/>
  <c r="K72" i="26"/>
  <c r="K66" i="26"/>
  <c r="K60" i="26"/>
  <c r="K54" i="26"/>
  <c r="K125" i="26"/>
  <c r="K116" i="26"/>
  <c r="K112" i="26"/>
  <c r="K97" i="26"/>
  <c r="K93" i="26"/>
  <c r="K59" i="26"/>
  <c r="K148" i="26"/>
  <c r="K140" i="26"/>
  <c r="K128" i="26"/>
  <c r="K101" i="26"/>
  <c r="K86" i="26"/>
  <c r="K82" i="26"/>
  <c r="K67" i="26"/>
  <c r="K63" i="26"/>
  <c r="K143" i="26"/>
  <c r="K134" i="26"/>
  <c r="K109" i="26"/>
  <c r="K105" i="26"/>
  <c r="K71" i="26"/>
  <c r="K100" i="26"/>
  <c r="K95" i="26"/>
  <c r="K87" i="26"/>
  <c r="K74" i="26"/>
  <c r="K141" i="26"/>
  <c r="K139" i="26"/>
  <c r="K61" i="26"/>
  <c r="K58" i="26"/>
  <c r="K55" i="26"/>
  <c r="K119" i="26"/>
  <c r="K89" i="26"/>
  <c r="K85" i="26"/>
  <c r="K152" i="26"/>
  <c r="K133" i="26"/>
  <c r="K129" i="26"/>
  <c r="K110" i="26"/>
  <c r="K73" i="26"/>
  <c r="K91" i="26"/>
  <c r="K81" i="26"/>
  <c r="K79" i="26"/>
  <c r="K64" i="26"/>
  <c r="K62" i="26"/>
  <c r="K137" i="26"/>
  <c r="K153" i="26"/>
  <c r="K115" i="26"/>
  <c r="K113" i="26"/>
  <c r="K98" i="26"/>
  <c r="K77" i="26"/>
  <c r="K121" i="26"/>
  <c r="K117" i="26"/>
  <c r="K92" i="26"/>
  <c r="K94" i="26"/>
  <c r="K83" i="26"/>
  <c r="K70" i="26"/>
  <c r="K68" i="26"/>
  <c r="K149" i="26"/>
  <c r="K136" i="26"/>
  <c r="K107" i="26"/>
  <c r="K103" i="26"/>
  <c r="K69" i="26"/>
  <c r="K124" i="26"/>
  <c r="K65" i="26"/>
  <c r="K56" i="26"/>
  <c r="K151" i="26"/>
  <c r="K88" i="26"/>
  <c r="K80" i="26"/>
  <c r="K122" i="26"/>
  <c r="K76" i="26"/>
  <c r="K147" i="26"/>
  <c r="K135" i="26"/>
  <c r="K118" i="26"/>
  <c r="K99" i="26"/>
  <c r="K57" i="26"/>
  <c r="K104" i="26"/>
  <c r="K106" i="26"/>
  <c r="K111" i="26"/>
  <c r="K130" i="26"/>
  <c r="K145" i="26"/>
  <c r="K75" i="26"/>
  <c r="E20" i="26"/>
  <c r="D21" i="26"/>
  <c r="K102" i="13"/>
  <c r="N90" i="13"/>
  <c r="L102" i="13"/>
  <c r="I102" i="13"/>
  <c r="J102" i="13"/>
  <c r="J155" i="27"/>
  <c r="E155" i="27"/>
  <c r="C155" i="27"/>
  <c r="H155" i="27"/>
  <c r="F155" i="27"/>
  <c r="F138" i="46"/>
  <c r="F144" i="58"/>
  <c r="L157" i="13" l="1"/>
  <c r="L130" i="13"/>
  <c r="J146" i="13"/>
  <c r="L71" i="13"/>
  <c r="I127" i="13"/>
  <c r="L111" i="13"/>
  <c r="K146" i="13"/>
  <c r="K90" i="13"/>
  <c r="J90" i="13"/>
  <c r="K306" i="19"/>
  <c r="G69" i="12"/>
  <c r="D21" i="12" s="1"/>
  <c r="J69" i="12"/>
  <c r="I273" i="19"/>
  <c r="J273" i="19"/>
  <c r="M273" i="19" s="1"/>
  <c r="M306" i="19" s="1"/>
  <c r="F273" i="19"/>
  <c r="G64" i="12"/>
  <c r="D22" i="12" s="1"/>
  <c r="E186" i="17"/>
  <c r="Q265" i="56"/>
  <c r="F320" i="56" s="1"/>
  <c r="F318" i="56"/>
  <c r="F317" i="56" s="1"/>
  <c r="H171" i="3"/>
  <c r="F298" i="3"/>
  <c r="F321" i="56"/>
  <c r="H69" i="57"/>
  <c r="G73" i="57"/>
  <c r="G72" i="57"/>
  <c r="H68" i="57"/>
  <c r="H66" i="57"/>
  <c r="G70" i="57"/>
  <c r="G75" i="57"/>
  <c r="H71" i="57"/>
  <c r="G24" i="53"/>
  <c r="G25" i="53"/>
  <c r="F166" i="26"/>
  <c r="I90" i="13"/>
  <c r="L74" i="13"/>
  <c r="S52" i="18"/>
  <c r="K57" i="17"/>
  <c r="E181" i="17" s="1"/>
  <c r="G67" i="12" s="1"/>
  <c r="J154" i="26"/>
  <c r="D33" i="26"/>
  <c r="E21" i="26"/>
  <c r="C21" i="26"/>
  <c r="K154" i="26"/>
  <c r="L154" i="26"/>
  <c r="I144" i="58"/>
  <c r="I138" i="46"/>
  <c r="L273" i="19" l="1"/>
  <c r="L306" i="19" s="1"/>
  <c r="L90" i="13"/>
  <c r="L127" i="13"/>
  <c r="L146" i="13" s="1"/>
  <c r="I146" i="13"/>
  <c r="E180" i="17"/>
  <c r="G320" i="56"/>
  <c r="F316" i="56"/>
  <c r="F322" i="56"/>
  <c r="G65" i="12" s="1"/>
  <c r="G63" i="12"/>
  <c r="E299" i="3"/>
  <c r="E298" i="3"/>
  <c r="G298" i="3" s="1"/>
  <c r="J53" i="12" s="1"/>
  <c r="G54" i="12"/>
  <c r="H72" i="57"/>
  <c r="G76" i="57"/>
  <c r="H73" i="57"/>
  <c r="G77" i="57"/>
  <c r="H75" i="57"/>
  <c r="G79" i="57"/>
  <c r="H70" i="57"/>
  <c r="G74" i="57"/>
  <c r="I157" i="13"/>
  <c r="D34" i="26"/>
  <c r="C22" i="26"/>
  <c r="N273" i="19" l="1"/>
  <c r="N306" i="19" s="1"/>
  <c r="E315" i="19" s="1"/>
  <c r="E316" i="19" s="1"/>
  <c r="G70" i="12" s="1"/>
  <c r="D20" i="12" s="1"/>
  <c r="E271" i="19"/>
  <c r="J65" i="12"/>
  <c r="J66" i="12" s="1"/>
  <c r="J67" i="12"/>
  <c r="J68" i="12" s="1"/>
  <c r="G53" i="12"/>
  <c r="D23" i="12"/>
  <c r="J62" i="12"/>
  <c r="J64" i="12"/>
  <c r="J63" i="12"/>
  <c r="J58" i="12"/>
  <c r="J57" i="12"/>
  <c r="J55" i="12"/>
  <c r="J54" i="12"/>
  <c r="G83" i="57"/>
  <c r="H79" i="57"/>
  <c r="H77" i="57"/>
  <c r="G81" i="57"/>
  <c r="G80" i="57"/>
  <c r="H76" i="57"/>
  <c r="H74" i="57"/>
  <c r="G78" i="57"/>
  <c r="C23" i="26"/>
  <c r="E22" i="26"/>
  <c r="J19" i="26" s="1"/>
  <c r="D35" i="26"/>
  <c r="G71" i="12" l="1"/>
  <c r="H64" i="12" s="1"/>
  <c r="G84" i="57"/>
  <c r="H80" i="57"/>
  <c r="G85" i="57"/>
  <c r="H81" i="57"/>
  <c r="G87" i="57"/>
  <c r="H83" i="57"/>
  <c r="H78" i="57"/>
  <c r="G82" i="57"/>
  <c r="C24" i="26"/>
  <c r="E23" i="26"/>
  <c r="D36" i="26"/>
  <c r="H70" i="12" l="1"/>
  <c r="H69" i="12"/>
  <c r="H55" i="12"/>
  <c r="H56" i="12"/>
  <c r="H66" i="12"/>
  <c r="H57" i="12"/>
  <c r="H62" i="12"/>
  <c r="H53" i="12"/>
  <c r="H54" i="12"/>
  <c r="H68" i="12"/>
  <c r="H67" i="12"/>
  <c r="H63" i="12"/>
  <c r="H65" i="12"/>
  <c r="H60" i="12"/>
  <c r="H61" i="12"/>
  <c r="H59" i="12"/>
  <c r="H58" i="12"/>
  <c r="C12" i="12"/>
  <c r="G91" i="57"/>
  <c r="H87" i="57"/>
  <c r="H85" i="57"/>
  <c r="G89" i="57"/>
  <c r="G88" i="57"/>
  <c r="H84" i="57"/>
  <c r="H82" i="57"/>
  <c r="G86" i="57"/>
  <c r="C25" i="26"/>
  <c r="E24" i="26"/>
  <c r="D37" i="26"/>
  <c r="E22" i="12" l="1"/>
  <c r="E21" i="12"/>
  <c r="E20" i="12"/>
  <c r="E23" i="12"/>
  <c r="G93" i="57"/>
  <c r="H89" i="57"/>
  <c r="G95" i="57"/>
  <c r="H95" i="57" s="1"/>
  <c r="H91" i="57"/>
  <c r="H88" i="57"/>
  <c r="G92" i="57"/>
  <c r="G90" i="57"/>
  <c r="H86" i="57"/>
  <c r="J20" i="26"/>
  <c r="K19" i="26"/>
  <c r="L19" i="26" s="1"/>
  <c r="D38" i="26"/>
  <c r="E25" i="26"/>
  <c r="C26" i="26"/>
  <c r="H90" i="57" l="1"/>
  <c r="G94" i="57"/>
  <c r="H94" i="57" s="1"/>
  <c r="H92" i="57"/>
  <c r="G96" i="57"/>
  <c r="H96" i="57" s="1"/>
  <c r="H93" i="57"/>
  <c r="G97" i="57"/>
  <c r="H97" i="57" s="1"/>
  <c r="E26" i="26"/>
  <c r="C27" i="26"/>
  <c r="D39" i="26"/>
  <c r="D40" i="26" l="1"/>
  <c r="C28" i="26"/>
  <c r="E27" i="26"/>
  <c r="E28" i="26" l="1"/>
  <c r="C29" i="26"/>
  <c r="D41" i="26"/>
  <c r="D42" i="26" l="1"/>
  <c r="C30" i="26"/>
  <c r="E29" i="26"/>
  <c r="E30" i="26" l="1"/>
  <c r="C31" i="26"/>
  <c r="D43" i="26"/>
  <c r="D44" i="26" l="1"/>
  <c r="C32" i="26"/>
  <c r="E31" i="26"/>
  <c r="E32" i="26" l="1"/>
  <c r="C33" i="26"/>
  <c r="D45" i="26"/>
  <c r="C34" i="26" l="1"/>
  <c r="D46" i="26"/>
  <c r="D47" i="26"/>
  <c r="D48" i="26" s="1"/>
  <c r="E33" i="26"/>
  <c r="E34" i="26" l="1"/>
  <c r="C35" i="26"/>
  <c r="C36" i="26" l="1"/>
  <c r="E35" i="26"/>
  <c r="E36" i="26" l="1"/>
  <c r="C37" i="26"/>
  <c r="C38" i="26" l="1"/>
  <c r="E37" i="26"/>
  <c r="E38" i="26" l="1"/>
  <c r="C39" i="26"/>
  <c r="E39" i="26" l="1"/>
  <c r="C40" i="26"/>
  <c r="E40" i="26" l="1"/>
  <c r="C41" i="26"/>
  <c r="C42" i="26" l="1"/>
  <c r="E41" i="26"/>
  <c r="E42" i="26" l="1"/>
  <c r="C43" i="26"/>
  <c r="C44" i="26" l="1"/>
  <c r="E43" i="26"/>
  <c r="E44" i="26" l="1"/>
  <c r="C45" i="26"/>
  <c r="C46" i="26" l="1"/>
  <c r="E45" i="26"/>
  <c r="J21" i="26" l="1"/>
  <c r="K20" i="26"/>
  <c r="L20" i="26" s="1"/>
  <c r="E46" i="26"/>
  <c r="K21" i="26" s="1"/>
  <c r="C47" i="26"/>
  <c r="C48" i="26" s="1"/>
  <c r="L21" i="26" l="1"/>
  <c r="E47" i="26"/>
  <c r="E48" i="26" s="1"/>
  <c r="I59" i="41"/>
  <c r="J59" i="41" s="1"/>
  <c r="C39" i="42" s="1"/>
  <c r="I84" i="41"/>
  <c r="J84" i="41" s="1"/>
  <c r="C64" i="42" s="1"/>
  <c r="I32" i="41"/>
  <c r="J32" i="41" s="1"/>
  <c r="C12" i="42" s="1"/>
  <c r="I120" i="41"/>
  <c r="J120" i="41" s="1"/>
  <c r="C100" i="42" s="1"/>
  <c r="I125" i="41"/>
  <c r="J125" i="41" s="1"/>
  <c r="C105" i="42" s="1"/>
  <c r="I70" i="41"/>
  <c r="J70" i="41" s="1"/>
  <c r="C50" i="42" s="1"/>
  <c r="I103" i="41"/>
  <c r="J103" i="41" s="1"/>
  <c r="C83" i="42" s="1"/>
  <c r="I93" i="41"/>
  <c r="J93" i="41" s="1"/>
  <c r="C73" i="42" s="1"/>
  <c r="I128" i="41"/>
  <c r="J128" i="41" s="1"/>
  <c r="C108" i="42" s="1"/>
  <c r="I76" i="41"/>
  <c r="J76" i="41" s="1"/>
  <c r="C56" i="42" s="1"/>
  <c r="I42" i="41"/>
  <c r="J42" i="41" s="1"/>
  <c r="C22" i="42" s="1"/>
  <c r="I121" i="41"/>
  <c r="J121" i="41" s="1"/>
  <c r="C101" i="42" s="1"/>
  <c r="I31" i="41"/>
  <c r="J31" i="41" s="1"/>
  <c r="C11" i="42" s="1"/>
  <c r="I127" i="41"/>
  <c r="J127" i="41" s="1"/>
  <c r="C107" i="42" s="1"/>
  <c r="I113" i="41"/>
  <c r="J113" i="41" s="1"/>
  <c r="C93" i="42" s="1"/>
  <c r="I68" i="41"/>
  <c r="J68" i="41" s="1"/>
  <c r="C48" i="42" s="1"/>
  <c r="I67" i="41"/>
  <c r="J67" i="41" s="1"/>
  <c r="C47" i="42" s="1"/>
  <c r="I40" i="41"/>
  <c r="J40" i="41" s="1"/>
  <c r="C20" i="42" s="1"/>
  <c r="I71" i="41"/>
  <c r="J71" i="41" s="1"/>
  <c r="C51" i="42" s="1"/>
  <c r="I87" i="41"/>
  <c r="J87" i="41" s="1"/>
  <c r="C67" i="42" s="1"/>
  <c r="I92" i="41"/>
  <c r="J92" i="41" s="1"/>
  <c r="C72" i="42" s="1"/>
  <c r="I98" i="41"/>
  <c r="J98" i="41" s="1"/>
  <c r="C78" i="42" s="1"/>
  <c r="I95" i="41"/>
  <c r="J95" i="41" s="1"/>
  <c r="C75" i="42" s="1"/>
  <c r="I66" i="41"/>
  <c r="J66" i="41" s="1"/>
  <c r="C46" i="42" s="1"/>
  <c r="I117" i="41"/>
  <c r="J117" i="41" s="1"/>
  <c r="C97" i="42" s="1"/>
  <c r="I53" i="41"/>
  <c r="J53" i="41" s="1"/>
  <c r="C33" i="42" s="1"/>
  <c r="I47" i="41"/>
  <c r="J47" i="41" s="1"/>
  <c r="C27" i="42" s="1"/>
  <c r="I86" i="41"/>
  <c r="J86" i="41" s="1"/>
  <c r="C66" i="42" s="1"/>
  <c r="I62" i="41"/>
  <c r="J62" i="41" s="1"/>
  <c r="C42" i="42" s="1"/>
  <c r="I106" i="41"/>
  <c r="J106" i="41" s="1"/>
  <c r="C86" i="42" s="1"/>
  <c r="I122" i="41"/>
  <c r="J122" i="41" s="1"/>
  <c r="C102" i="42" s="1"/>
  <c r="I38" i="41"/>
  <c r="J38" i="41" s="1"/>
  <c r="C18" i="42" s="1"/>
  <c r="I34" i="41"/>
  <c r="J34" i="41" s="1"/>
  <c r="C14" i="42" s="1"/>
  <c r="I79" i="41"/>
  <c r="J79" i="41" s="1"/>
  <c r="C59" i="42" s="1"/>
  <c r="I64" i="41"/>
  <c r="J64" i="41" s="1"/>
  <c r="C44" i="42" s="1"/>
  <c r="I50" i="41"/>
  <c r="J50" i="41" s="1"/>
  <c r="C30" i="42" s="1"/>
  <c r="I78" i="41"/>
  <c r="J78" i="41" s="1"/>
  <c r="C58" i="42" s="1"/>
  <c r="I39" i="41"/>
  <c r="J39" i="41" s="1"/>
  <c r="C19" i="42" s="1"/>
  <c r="I112" i="41"/>
  <c r="J112" i="41" s="1"/>
  <c r="C92" i="42" s="1"/>
  <c r="I52" i="41"/>
  <c r="J52" i="41" s="1"/>
  <c r="C32" i="42" s="1"/>
  <c r="I77" i="41"/>
  <c r="J77" i="41" s="1"/>
  <c r="C57" i="42" s="1"/>
  <c r="I89" i="41"/>
  <c r="J89" i="41" s="1"/>
  <c r="C69" i="42" s="1"/>
  <c r="I91" i="41"/>
  <c r="J91" i="41" s="1"/>
  <c r="C71" i="42" s="1"/>
  <c r="I118" i="41"/>
  <c r="J118" i="41" s="1"/>
  <c r="C98" i="42" s="1"/>
  <c r="I88" i="41"/>
  <c r="J88" i="41" s="1"/>
  <c r="C68" i="42" s="1"/>
  <c r="I57" i="41"/>
  <c r="J57" i="41" s="1"/>
  <c r="C37" i="42" s="1"/>
  <c r="I83" i="41"/>
  <c r="J83" i="41" s="1"/>
  <c r="C63" i="42" s="1"/>
  <c r="I33" i="41"/>
  <c r="J33" i="41" s="1"/>
  <c r="C13" i="42" s="1"/>
  <c r="I107" i="41"/>
  <c r="J107" i="41" s="1"/>
  <c r="C87" i="42" s="1"/>
  <c r="I109" i="41"/>
  <c r="J109" i="41" s="1"/>
  <c r="C89" i="42" s="1"/>
  <c r="I37" i="41"/>
  <c r="J37" i="41" s="1"/>
  <c r="C17" i="42" s="1"/>
  <c r="I104" i="41"/>
  <c r="J104" i="41" s="1"/>
  <c r="C84" i="42" s="1"/>
  <c r="I58" i="41"/>
  <c r="J58" i="41" s="1"/>
  <c r="C38" i="42" s="1"/>
  <c r="I65" i="41"/>
  <c r="J65" i="41" s="1"/>
  <c r="C45" i="42" s="1"/>
  <c r="I60" i="41"/>
  <c r="J60" i="41" s="1"/>
  <c r="C40" i="42" s="1"/>
  <c r="I105" i="41"/>
  <c r="J105" i="41" s="1"/>
  <c r="C85" i="42" s="1"/>
  <c r="I100" i="41"/>
  <c r="J100" i="41" s="1"/>
  <c r="C80" i="42" s="1"/>
  <c r="I72" i="41"/>
  <c r="J72" i="41" s="1"/>
  <c r="C52" i="42" s="1"/>
  <c r="I119" i="41"/>
  <c r="J119" i="41" s="1"/>
  <c r="C99" i="42" s="1"/>
  <c r="I108" i="41"/>
  <c r="J108" i="41" s="1"/>
  <c r="C88" i="42" s="1"/>
  <c r="I56" i="41"/>
  <c r="J56" i="41" s="1"/>
  <c r="C36" i="42" s="1"/>
  <c r="I43" i="41"/>
  <c r="J43" i="41" s="1"/>
  <c r="C23" i="42" s="1"/>
  <c r="I116" i="41"/>
  <c r="J116" i="41" s="1"/>
  <c r="C96" i="42" s="1"/>
  <c r="I102" i="41"/>
  <c r="J102" i="41" s="1"/>
  <c r="C82" i="42" s="1"/>
  <c r="I30" i="41"/>
  <c r="J30" i="41" s="1"/>
  <c r="I74" i="41"/>
  <c r="J74" i="41" s="1"/>
  <c r="C54" i="42" s="1"/>
  <c r="I96" i="41"/>
  <c r="J96" i="41" s="1"/>
  <c r="C76" i="42" s="1"/>
  <c r="I36" i="41"/>
  <c r="J36" i="41" s="1"/>
  <c r="C16" i="42" s="1"/>
  <c r="I80" i="41"/>
  <c r="J80" i="41" s="1"/>
  <c r="C60" i="42" s="1"/>
  <c r="I44" i="41"/>
  <c r="J44" i="41" s="1"/>
  <c r="C24" i="42" s="1"/>
  <c r="I115" i="41"/>
  <c r="J115" i="41" s="1"/>
  <c r="C95" i="42" s="1"/>
  <c r="I111" i="41"/>
  <c r="J111" i="41" s="1"/>
  <c r="C91" i="42" s="1"/>
  <c r="I85" i="41"/>
  <c r="J85" i="41" s="1"/>
  <c r="C65" i="42" s="1"/>
  <c r="I97" i="41"/>
  <c r="J97" i="41" s="1"/>
  <c r="C77" i="42" s="1"/>
  <c r="I99" i="41"/>
  <c r="J99" i="41" s="1"/>
  <c r="C79" i="42" s="1"/>
  <c r="I51" i="41"/>
  <c r="J51" i="41" s="1"/>
  <c r="C31" i="42" s="1"/>
  <c r="I55" i="41"/>
  <c r="J55" i="41" s="1"/>
  <c r="C35" i="42" s="1"/>
  <c r="I63" i="41"/>
  <c r="J63" i="41" s="1"/>
  <c r="C43" i="42" s="1"/>
  <c r="I49" i="41"/>
  <c r="J49" i="41" s="1"/>
  <c r="C29" i="42" s="1"/>
  <c r="I75" i="41"/>
  <c r="J75" i="41" s="1"/>
  <c r="C55" i="42" s="1"/>
  <c r="I82" i="41"/>
  <c r="J82" i="41" s="1"/>
  <c r="C62" i="42" s="1"/>
  <c r="I123" i="41"/>
  <c r="J123" i="41" s="1"/>
  <c r="C103" i="42" s="1"/>
  <c r="I129" i="41"/>
  <c r="J129" i="41" s="1"/>
  <c r="C109" i="42" s="1"/>
  <c r="I46" i="41"/>
  <c r="J46" i="41" s="1"/>
  <c r="C26" i="42" s="1"/>
  <c r="I41" i="41"/>
  <c r="J41" i="41" s="1"/>
  <c r="C21" i="42" s="1"/>
  <c r="I90" i="41"/>
  <c r="J90" i="41" s="1"/>
  <c r="C70" i="42" s="1"/>
  <c r="I126" i="41"/>
  <c r="J126" i="41" s="1"/>
  <c r="C106" i="42" s="1"/>
  <c r="I110" i="41"/>
  <c r="J110" i="41" s="1"/>
  <c r="C90" i="42" s="1"/>
  <c r="I35" i="41"/>
  <c r="J35" i="41" s="1"/>
  <c r="C15" i="42" s="1"/>
  <c r="I73" i="41"/>
  <c r="J73" i="41" s="1"/>
  <c r="C53" i="42" s="1"/>
  <c r="I54" i="41"/>
  <c r="J54" i="41" s="1"/>
  <c r="C34" i="42" s="1"/>
  <c r="I48" i="41"/>
  <c r="J48" i="41" s="1"/>
  <c r="C28" i="42" s="1"/>
  <c r="I114" i="41"/>
  <c r="J114" i="41" s="1"/>
  <c r="C94" i="42" s="1"/>
  <c r="I94" i="41"/>
  <c r="J94" i="41" s="1"/>
  <c r="C74" i="42" s="1"/>
  <c r="I101" i="41"/>
  <c r="J101" i="41" s="1"/>
  <c r="C81" i="42" s="1"/>
  <c r="I124" i="41"/>
  <c r="J124" i="41" s="1"/>
  <c r="C104" i="42" s="1"/>
  <c r="I61" i="41"/>
  <c r="J61" i="41" s="1"/>
  <c r="C41" i="42" s="1"/>
  <c r="I69" i="41"/>
  <c r="J69" i="41" s="1"/>
  <c r="C49" i="42" s="1"/>
  <c r="I45" i="41"/>
  <c r="J45" i="41" s="1"/>
  <c r="C25" i="42" s="1"/>
  <c r="I81" i="41"/>
  <c r="J81" i="41" s="1"/>
  <c r="C61" i="42" s="1"/>
  <c r="C10" i="42" l="1"/>
  <c r="J130"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79" authorId="0" shapeId="0" xr:uid="{55638845-20BB-4462-ADE7-52399D625A32}">
      <text>
        <r>
          <rPr>
            <b/>
            <sz val="9"/>
            <color indexed="81"/>
            <rFont val="Tahoma"/>
            <family val="2"/>
          </rPr>
          <t>Autor:</t>
        </r>
        <r>
          <rPr>
            <sz val="9"/>
            <color indexed="81"/>
            <rFont val="Tahoma"/>
            <family val="2"/>
          </rPr>
          <t xml:space="preserve">
Includes 
- leakage major failures; 
- arc faults and 
- maintenance losses</t>
        </r>
      </text>
    </comment>
    <comment ref="G180" authorId="0" shapeId="0" xr:uid="{9AEA2056-979A-41A6-9117-FB3C764C88DD}">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183" authorId="0" shapeId="0" xr:uid="{6DEB8DFE-FE0D-4D8F-92CE-1E4DC32302CE}">
      <text>
        <r>
          <rPr>
            <b/>
            <sz val="9"/>
            <color indexed="81"/>
            <rFont val="Tahoma"/>
            <family val="2"/>
          </rPr>
          <t>Autor:</t>
        </r>
        <r>
          <rPr>
            <sz val="9"/>
            <color indexed="81"/>
            <rFont val="Tahoma"/>
            <family val="2"/>
          </rPr>
          <t xml:space="preserve">
Includes 
- leakage major failures; 
- arc faults and 
- maintenance losses</t>
        </r>
      </text>
    </comment>
    <comment ref="G184" authorId="0" shapeId="0" xr:uid="{3C06BB93-0725-4688-B69D-7CAD236A70C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Tiago</author>
  </authors>
  <commentList>
    <comment ref="A139" authorId="0" shapeId="0" xr:uid="{059A6BD7-9EDC-4356-BEBF-2856943709D3}">
      <text>
        <r>
          <rPr>
            <sz val="9"/>
            <color indexed="81"/>
            <rFont val="Tahoma"/>
            <family val="2"/>
          </rPr>
          <t>https://www.ipcc-nggip.iges.or.jp/public/2006gl/pdf/4_Volume4/V4_p_Ap3_WetlandsCH4.pdf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88" authorId="0" shapeId="0" xr:uid="{951B7A9E-868B-498C-9507-18E865948417}">
      <text>
        <r>
          <rPr>
            <b/>
            <sz val="9"/>
            <color indexed="81"/>
            <rFont val="Tahoma"/>
            <family val="2"/>
          </rPr>
          <t>Autor:</t>
        </r>
        <r>
          <rPr>
            <sz val="9"/>
            <color indexed="81"/>
            <rFont val="Tahoma"/>
            <family val="2"/>
          </rPr>
          <t xml:space="preserve">
Includes 
- leakage major failures; 
- arc faults and 
- maintenance losses</t>
        </r>
      </text>
    </comment>
    <comment ref="G89" authorId="0" shapeId="0" xr:uid="{D19A6230-C3C5-4D83-8DF8-9781EA1ED809}">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92" authorId="0" shapeId="0" xr:uid="{FACE3C3E-6152-4FA9-84C0-474AD65A52A7}">
      <text>
        <r>
          <rPr>
            <b/>
            <sz val="9"/>
            <color indexed="81"/>
            <rFont val="Tahoma"/>
            <family val="2"/>
          </rPr>
          <t>Autor:</t>
        </r>
        <r>
          <rPr>
            <sz val="9"/>
            <color indexed="81"/>
            <rFont val="Tahoma"/>
            <family val="2"/>
          </rPr>
          <t xml:space="preserve">
Includes 
- leakage major failures; 
- arc faults and 
- maintenance losses</t>
        </r>
      </text>
    </comment>
    <comment ref="G93" authorId="0" shapeId="0" xr:uid="{6927B204-17A0-4D7A-9D96-75A2F604803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<sst xmlns="http://schemas.openxmlformats.org/spreadsheetml/2006/main" count="2708" uniqueCount="1740">
  <si>
    <t>Orientações gerais:</t>
  </si>
  <si>
    <t>Nome do responsável:</t>
  </si>
  <si>
    <t>Combustível</t>
  </si>
  <si>
    <t>Definição</t>
  </si>
  <si>
    <t>Etano</t>
  </si>
  <si>
    <t>Lubrificantes</t>
  </si>
  <si>
    <t>Energia</t>
  </si>
  <si>
    <t>Antracite</t>
  </si>
  <si>
    <t>Carvão de coque</t>
  </si>
  <si>
    <t>Linhite</t>
  </si>
  <si>
    <t>Gasolina para motores</t>
  </si>
  <si>
    <t>Gás natural</t>
  </si>
  <si>
    <t>Matérias-primas para refinarias</t>
  </si>
  <si>
    <t xml:space="preserve">O carvão vegetal utilizado como energia abrange o resíduo sólido da destilação destrutiva e da pirólise da madeira e de outras matérias vegetais. </t>
  </si>
  <si>
    <t>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t>
  </si>
  <si>
    <t>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t>
  </si>
  <si>
    <t>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t>
  </si>
  <si>
    <t>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t>
  </si>
  <si>
    <t>Outros biocombustíveis líquidos não incluídos na biogasolina ou nos biodieseis.</t>
  </si>
  <si>
    <t>Um óleo mineral extraído do xisto betuminoso.</t>
  </si>
  <si>
    <t>O gás de lamas é derivado da fermentação anaeróbica de biomassa e resíduos sólidos de esgotos e lamas animais e é queimado para produzir calor e/ou eletricidade.</t>
  </si>
  <si>
    <t>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t>
  </si>
  <si>
    <t>Construção</t>
  </si>
  <si>
    <t>Setor</t>
  </si>
  <si>
    <t>Orientações:</t>
  </si>
  <si>
    <t>Combustível utilizado</t>
  </si>
  <si>
    <t>Unidades</t>
  </si>
  <si>
    <t>Turfa</t>
  </si>
  <si>
    <t>Produtos petrolíferos</t>
  </si>
  <si>
    <t>Unidade</t>
  </si>
  <si>
    <t>m³</t>
  </si>
  <si>
    <t>Litros</t>
  </si>
  <si>
    <t>Fase</t>
  </si>
  <si>
    <t>Exploração</t>
  </si>
  <si>
    <t>Fase:</t>
  </si>
  <si>
    <t>Toneladas</t>
  </si>
  <si>
    <t>Exemplo</t>
  </si>
  <si>
    <t>Total</t>
  </si>
  <si>
    <t>Tipo de combustível</t>
  </si>
  <si>
    <t>Gás</t>
  </si>
  <si>
    <t>Referência</t>
  </si>
  <si>
    <t>IPCC 2013</t>
  </si>
  <si>
    <t>Emissões biogénicas</t>
  </si>
  <si>
    <t>Biogénicas</t>
  </si>
  <si>
    <t>Normais</t>
  </si>
  <si>
    <t>Tabela 1.  Relato de Emissões de Processos Industriais</t>
  </si>
  <si>
    <t>Família / Tipo</t>
  </si>
  <si>
    <t>-</t>
  </si>
  <si>
    <t>HFC-23</t>
  </si>
  <si>
    <t>HFC</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</si>
  <si>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</si>
  <si>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</si>
  <si>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</si>
  <si>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</si>
  <si>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</si>
  <si>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</si>
  <si>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</si>
  <si>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</si>
  <si>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</si>
  <si>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</si>
  <si>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</si>
  <si>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</si>
  <si>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</si>
  <si>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</si>
  <si>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</si>
  <si>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</si>
  <si>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</si>
  <si>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</si>
  <si>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PFC-14</t>
  </si>
  <si>
    <t>PFC</t>
  </si>
  <si>
    <t>PFC-116</t>
  </si>
  <si>
    <t>PFC-218</t>
  </si>
  <si>
    <t>PFC-318</t>
  </si>
  <si>
    <t>PFC-3-1-10</t>
  </si>
  <si>
    <t>PFC-4-1-12</t>
  </si>
  <si>
    <t>PFC-5-1-14</t>
  </si>
  <si>
    <t>PFC-9-1-18</t>
  </si>
  <si>
    <t>R-400</t>
  </si>
  <si>
    <t>Composto</t>
  </si>
  <si>
    <t>R-401A</t>
  </si>
  <si>
    <t>R-401B</t>
  </si>
  <si>
    <t>R-401C</t>
  </si>
  <si>
    <t>R-402A</t>
  </si>
  <si>
    <t>R-402B</t>
  </si>
  <si>
    <t>R-403A</t>
  </si>
  <si>
    <t>R-403B</t>
  </si>
  <si>
    <t>R-404A</t>
  </si>
  <si>
    <t>R-406A</t>
  </si>
  <si>
    <t>R-407A</t>
  </si>
  <si>
    <t>R-407B</t>
  </si>
  <si>
    <t>R-407C</t>
  </si>
  <si>
    <t>R-407D</t>
  </si>
  <si>
    <t>R-407E</t>
  </si>
  <si>
    <t>R-407F</t>
  </si>
  <si>
    <t>R-408A</t>
  </si>
  <si>
    <t>R-409A</t>
  </si>
  <si>
    <t>R-409B</t>
  </si>
  <si>
    <t>R-410A</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</si>
  <si>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</si>
  <si>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</si>
  <si>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</si>
  <si>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</si>
  <si>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</si>
  <si>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</si>
  <si>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</si>
  <si>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</si>
  <si>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</si>
  <si>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</si>
  <si>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</si>
  <si>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</si>
  <si>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</si>
  <si>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</si>
  <si>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</si>
  <si>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</si>
  <si>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</si>
  <si>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</si>
  <si>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</si>
  <si>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</si>
  <si>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</si>
  <si>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</si>
  <si>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</si>
  <si>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</si>
  <si>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</si>
  <si>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</si>
  <si>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</si>
  <si>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</si>
  <si>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</si>
  <si>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</si>
  <si>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</si>
  <si>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</si>
  <si>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</si>
  <si>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</si>
  <si>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</si>
  <si>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R-434A</t>
  </si>
  <si>
    <t>R-435A</t>
  </si>
  <si>
    <t>R-436A</t>
  </si>
  <si>
    <t>R-436B</t>
  </si>
  <si>
    <t>R-437A</t>
  </si>
  <si>
    <t>R-438A</t>
  </si>
  <si>
    <t>R-439A</t>
  </si>
  <si>
    <t>R-440A</t>
  </si>
  <si>
    <t>R-441A</t>
  </si>
  <si>
    <t>R-442A</t>
  </si>
  <si>
    <t>R-443A</t>
  </si>
  <si>
    <t>R-444A</t>
  </si>
  <si>
    <t>R-445A</t>
  </si>
  <si>
    <t>R-500</t>
  </si>
  <si>
    <t>R-501</t>
  </si>
  <si>
    <t>R-502</t>
  </si>
  <si>
    <t>R-503</t>
  </si>
  <si>
    <t>R-504</t>
  </si>
  <si>
    <t>R-505</t>
  </si>
  <si>
    <t>R-506</t>
  </si>
  <si>
    <t>R-507 ou R-507A</t>
  </si>
  <si>
    <t>R-508A</t>
  </si>
  <si>
    <t>R-508B</t>
  </si>
  <si>
    <t>R-509 ou R-509A</t>
  </si>
  <si>
    <t>R-510A</t>
  </si>
  <si>
    <t>R-511A</t>
  </si>
  <si>
    <t>R-512A</t>
  </si>
  <si>
    <t>CFC-11</t>
  </si>
  <si>
    <t>CFC</t>
  </si>
  <si>
    <t>CFC-12</t>
  </si>
  <si>
    <t>CFC-13</t>
  </si>
  <si>
    <t>CFC-113</t>
  </si>
  <si>
    <t>CFC-114</t>
  </si>
  <si>
    <t>CFC-115</t>
  </si>
  <si>
    <t>Halon-1301</t>
  </si>
  <si>
    <t>Halon-1211</t>
  </si>
  <si>
    <t>Halon-2402</t>
  </si>
  <si>
    <t>HCFC-21</t>
  </si>
  <si>
    <t>HCFC</t>
  </si>
  <si>
    <t>HCFC-22 (R22)</t>
  </si>
  <si>
    <t>HCFC-123</t>
  </si>
  <si>
    <t>HCFC-124</t>
  </si>
  <si>
    <t>HCFC-141b</t>
  </si>
  <si>
    <t>HCFC-142b</t>
  </si>
  <si>
    <t>HCFC-225ca</t>
  </si>
  <si>
    <t>HCFC-225cb</t>
  </si>
  <si>
    <t>Remoção</t>
  </si>
  <si>
    <t>(kg)</t>
  </si>
  <si>
    <t>Tipo de Equipamento</t>
  </si>
  <si>
    <t>Refrigeração Residencial</t>
  </si>
  <si>
    <t>Comercial Individual</t>
  </si>
  <si>
    <t>Comercial Médio / Grande</t>
  </si>
  <si>
    <t>Refrigeração de Transporte</t>
  </si>
  <si>
    <t>Refrigeração Industrial</t>
  </si>
  <si>
    <t>Ar Condicionado Residencial / Comercial</t>
  </si>
  <si>
    <t>Ar Condicionado de Caminhões de Pequeno Porte</t>
  </si>
  <si>
    <t>Gasolina de Aviação</t>
  </si>
  <si>
    <t>Fator de emissão por tipo de transporte em ESTRADA</t>
  </si>
  <si>
    <t>Modo de transporte</t>
  </si>
  <si>
    <t>Tipo</t>
  </si>
  <si>
    <t>Descrição</t>
  </si>
  <si>
    <t>Fator emissão</t>
  </si>
  <si>
    <t>CO2</t>
  </si>
  <si>
    <t>CH4</t>
  </si>
  <si>
    <t>N2O</t>
  </si>
  <si>
    <t>valor</t>
  </si>
  <si>
    <t>unidades</t>
  </si>
  <si>
    <t>kg/p.km</t>
  </si>
  <si>
    <t>Veículo ligeiro de passageiros</t>
  </si>
  <si>
    <t>kg/km</t>
  </si>
  <si>
    <t>Gasolina - motor desconhecido</t>
  </si>
  <si>
    <t>Gasóleo - motor desconhecido</t>
  </si>
  <si>
    <t>Híbrido - motor desconhecido</t>
  </si>
  <si>
    <t>GPL - motor de tamanho médio</t>
  </si>
  <si>
    <t>Veículo ligeiro de mercadorias</t>
  </si>
  <si>
    <t>kg/t.km</t>
  </si>
  <si>
    <t>Mota</t>
  </si>
  <si>
    <t>Veículo pesado não articulado</t>
  </si>
  <si>
    <t>Comboio - passageiros</t>
  </si>
  <si>
    <t>Metro</t>
  </si>
  <si>
    <t>Comboio - carga</t>
  </si>
  <si>
    <t>Fator emissão - Diretas</t>
  </si>
  <si>
    <t>Transporte de passageiros</t>
  </si>
  <si>
    <t xml:space="preserve">Ferry </t>
  </si>
  <si>
    <t>Ferry - passageiros</t>
  </si>
  <si>
    <t>Navio de carga</t>
  </si>
  <si>
    <t>Ferry - carga</t>
  </si>
  <si>
    <t>Pequeno (844t de tara)</t>
  </si>
  <si>
    <t>Grande (18371t de tara)</t>
  </si>
  <si>
    <t>Muito grande (100000t de tara)</t>
  </si>
  <si>
    <t>Transporte de mercadorias</t>
  </si>
  <si>
    <t>Voo curto (carga)</t>
  </si>
  <si>
    <t>Voo longo (carga)</t>
  </si>
  <si>
    <t>Transporte Rodoviário</t>
  </si>
  <si>
    <t>Transporte ferroviário</t>
  </si>
  <si>
    <t>Transporte aéreo</t>
  </si>
  <si>
    <t>Transporte marítimo e fluvial (apenas para veículos pertencentes à Projeto)</t>
  </si>
  <si>
    <t>PAG</t>
  </si>
  <si>
    <t>Nota: valores de PAG para um horizonte de 100 anos.</t>
  </si>
  <si>
    <t>Secção 2 - Fatores de emissão para combustão móvel (transporte)</t>
  </si>
  <si>
    <t>Fator de emissão por tipo de transporte em CAMINHO DE FERRO</t>
  </si>
  <si>
    <t>Transporte de carga</t>
  </si>
  <si>
    <t>Fator de emissão por tipo de transporte MARÍTIMO ou FLUVIAL</t>
  </si>
  <si>
    <t>Fator de emissão por tipo de transporte AÉREO</t>
  </si>
  <si>
    <t>Tabela 10. Potencial de aquecimento global (GWP) dos gases de efeito estufa</t>
  </si>
  <si>
    <t>Nota: valores de GWP para um horizonte de 100 anos.</t>
  </si>
  <si>
    <t xml:space="preserve">A. </t>
  </si>
  <si>
    <t>Tipo de equipamento</t>
  </si>
  <si>
    <t xml:space="preserve">E. </t>
  </si>
  <si>
    <t>F.</t>
  </si>
  <si>
    <t>Unidades em operação</t>
  </si>
  <si>
    <t xml:space="preserve">G. </t>
  </si>
  <si>
    <t>Unidades dispensadas</t>
  </si>
  <si>
    <t>Desativação</t>
  </si>
  <si>
    <t>Compra de vapor à empresa x, meses Jan-Julho</t>
  </si>
  <si>
    <t>Abordagem baseada na localização</t>
  </si>
  <si>
    <t>Ano</t>
  </si>
  <si>
    <t>Abordagem baseada no mercado</t>
  </si>
  <si>
    <t>Conversão de unidades</t>
  </si>
  <si>
    <t>Nota: esta folha possui caráter exclusivamente informativo. Nenhuma informação desta folha é utilizada nos cálculos da ferramenta.</t>
  </si>
  <si>
    <t>Massa</t>
  </si>
  <si>
    <t>1 libra (lb)</t>
  </si>
  <si>
    <t>453,6 gramas (g)</t>
  </si>
  <si>
    <t>0,4536 quilograma (kg)</t>
  </si>
  <si>
    <t>0,0004536 tonelada métrica (t)</t>
  </si>
  <si>
    <t>1 quilograma (kg)</t>
  </si>
  <si>
    <t>2205 libras (lb)</t>
  </si>
  <si>
    <t>1 tonelada curta (T / ton)</t>
  </si>
  <si>
    <t>2000 libras (lb)</t>
  </si>
  <si>
    <t>907,2 quilogramas (kg)</t>
  </si>
  <si>
    <t>1 tonelada métrica (t)</t>
  </si>
  <si>
    <t>1000 quilogramas (kg)</t>
  </si>
  <si>
    <t>1,102 tonelada curta (T / ton)</t>
  </si>
  <si>
    <t>Volume</t>
  </si>
  <si>
    <t>7,4805 galões americanos (gal)</t>
  </si>
  <si>
    <t>0,1730 barril (bbl)</t>
  </si>
  <si>
    <t>28,32 litros (L)</t>
  </si>
  <si>
    <t>1 galão americano (gal)</t>
  </si>
  <si>
    <t>0,0238 barril (bbl)</t>
  </si>
  <si>
    <t>3,785 litros (L)</t>
  </si>
  <si>
    <t>1 barril (bbl)</t>
  </si>
  <si>
    <t>42 galões americanos (gal)</t>
  </si>
  <si>
    <t>158,9873 litros (L)</t>
  </si>
  <si>
    <t>1 litro (L)</t>
  </si>
  <si>
    <t>0,2642 galão americano (gal)</t>
  </si>
  <si>
    <t>6,2897 barris (bbl)</t>
  </si>
  <si>
    <t>264,2 galões americanos (gal)</t>
  </si>
  <si>
    <t>1000 litros (L)</t>
  </si>
  <si>
    <t>1 quilowatt hora (kWh)</t>
  </si>
  <si>
    <t>3412 Btu (Btu)</t>
  </si>
  <si>
    <t>3600 quilojoules (kJ)</t>
  </si>
  <si>
    <t>1 megajoule (MJ)</t>
  </si>
  <si>
    <t>0,001 gigajoule (GJ)</t>
  </si>
  <si>
    <t>1 gigajoule (GJ)</t>
  </si>
  <si>
    <t>0,9478 milhão de Btu (MMBtu)</t>
  </si>
  <si>
    <t>277,8 quilowatt horas (kWh)</t>
  </si>
  <si>
    <t>1 Btu (Btu)</t>
  </si>
  <si>
    <t>1055 joules (J)</t>
  </si>
  <si>
    <t>1 milhão de Btu (MBtu)</t>
  </si>
  <si>
    <t>1055 gigajoules (GJ)</t>
  </si>
  <si>
    <t>293 quilowatt horas (kWh)</t>
  </si>
  <si>
    <t>100 ft³ de gás natural (scf)</t>
  </si>
  <si>
    <t>100 000 Btu (Btu)</t>
  </si>
  <si>
    <t>Distância</t>
  </si>
  <si>
    <t>1 milha terrestre</t>
  </si>
  <si>
    <t>1,609 quilómetro terrestre</t>
  </si>
  <si>
    <t>1 milha náutica</t>
  </si>
  <si>
    <t>1,15 milha terrestre</t>
  </si>
  <si>
    <t>Outros</t>
  </si>
  <si>
    <t>quilo (k)</t>
  </si>
  <si>
    <t>mega (M)</t>
  </si>
  <si>
    <t>giga (G)</t>
  </si>
  <si>
    <t>tera (T)</t>
  </si>
  <si>
    <t>Peso molecular de C</t>
  </si>
  <si>
    <t>Duração em anos</t>
  </si>
  <si>
    <t>Land-use Category Name</t>
  </si>
  <si>
    <t>UNFCCC Category</t>
  </si>
  <si>
    <t>Forest Land</t>
  </si>
  <si>
    <t>Table 6-1: Land-use categories used in the NIR</t>
  </si>
  <si>
    <t>Cropland</t>
  </si>
  <si>
    <t>Grassland</t>
  </si>
  <si>
    <t>Wetlands</t>
  </si>
  <si>
    <t>Settlements</t>
  </si>
  <si>
    <t>Other Land</t>
  </si>
  <si>
    <t>AGBf</t>
  </si>
  <si>
    <t>BGBf</t>
  </si>
  <si>
    <t>Volf</t>
  </si>
  <si>
    <t>BEFf</t>
  </si>
  <si>
    <t>tdm/m3</t>
  </si>
  <si>
    <t>RTSf</t>
  </si>
  <si>
    <t>ad</t>
  </si>
  <si>
    <t>Cf LB</t>
  </si>
  <si>
    <t>%</t>
  </si>
  <si>
    <t>Cf litter</t>
  </si>
  <si>
    <t>Table 6-10: Mean Annual Increment per Forest Type (in pure and dominant stands)</t>
  </si>
  <si>
    <t>MAIff m3/ha.y</t>
  </si>
  <si>
    <t>Classes Usos do Solo</t>
  </si>
  <si>
    <t>Classes NIR</t>
  </si>
  <si>
    <t>RTS</t>
  </si>
  <si>
    <t>1+RTS</t>
  </si>
  <si>
    <t>Cf</t>
  </si>
  <si>
    <t>Crescimento anual t C/(ha.ano)</t>
  </si>
  <si>
    <t>Crescimento anual t CO2eq/(ha.ano)</t>
  </si>
  <si>
    <t>Table 6-16: Mean Annual Increments used for Other Land Uses</t>
  </si>
  <si>
    <t>Mean Anual Increments
for Other Land uses</t>
  </si>
  <si>
    <t>AGB</t>
  </si>
  <si>
    <t>BGB</t>
  </si>
  <si>
    <t>BEF (tdm/m3)</t>
  </si>
  <si>
    <t>Massa molar CO2</t>
  </si>
  <si>
    <t>Massa molar C</t>
  </si>
  <si>
    <t>transition period
considered</t>
  </si>
  <si>
    <t>MAIff tC/ha.y</t>
  </si>
  <si>
    <t>MAI (MAIff m3/ha.ano)</t>
  </si>
  <si>
    <t>MAI (MAIff tC/ano)</t>
  </si>
  <si>
    <t>Sequestro de Anual C</t>
  </si>
  <si>
    <t>Average Carbon stock (t C/ha)</t>
  </si>
  <si>
    <t>Average Carbon stock 
t CO2 eq/há</t>
  </si>
  <si>
    <t>Table 6-17: Average Carbon Stocks in Living Biomass and Litter per Land Use Type</t>
  </si>
  <si>
    <t>Perdas de Biomassa</t>
  </si>
  <si>
    <t>Above Ground Biomass</t>
  </si>
  <si>
    <t>GgC/1.000ha</t>
  </si>
  <si>
    <t>Below Ground Biomass</t>
  </si>
  <si>
    <t>All years</t>
  </si>
  <si>
    <t>Litter</t>
  </si>
  <si>
    <t>AGB (GgC/1.000ha)</t>
  </si>
  <si>
    <t>BGB (GgC/1.000ha)</t>
  </si>
  <si>
    <t xml:space="preserve">TABLE 3A.2
CH4 MEASURED EMISSIONS FOR FLOODED LAND
</t>
  </si>
  <si>
    <t>Climate</t>
  </si>
  <si>
    <t xml:space="preserve">Diffusive Emissions (ice-free period)
Ef(CH4)diff (kg CH4 ha-1 day-1) </t>
  </si>
  <si>
    <t>Median</t>
  </si>
  <si>
    <t>Min</t>
  </si>
  <si>
    <t>Max</t>
  </si>
  <si>
    <t>Albufeiras</t>
  </si>
  <si>
    <t>Florestas dominadas pelo pinheiro bravo</t>
  </si>
  <si>
    <t>Florestas dominadas pelo sobreiro</t>
  </si>
  <si>
    <t>Florestas dominadas por espécies de eucalipto</t>
  </si>
  <si>
    <t>Florestas dominadas por azinheiras</t>
  </si>
  <si>
    <t>Florestas dominadas por outros carvalhos</t>
  </si>
  <si>
    <t>Florestas dominadas por qualquer outra espécie de folha larga</t>
  </si>
  <si>
    <t>Florestas dominadas por pinheiro-manso</t>
  </si>
  <si>
    <t>Florestas dominadas por qualquer outra espécie de coníferas</t>
  </si>
  <si>
    <t>Inclui todas as terras cultivadas com culturas anuais que se encontram sob irrigação (exceto arroz) e estufas</t>
  </si>
  <si>
    <t>Inclui todas as superfícies utilizadas para o cultivo de uvas de mesa e/ou para vinho</t>
  </si>
  <si>
    <t>Inclui todas as superfícies utilizadas para o cultivo de Oliveira</t>
  </si>
  <si>
    <t>Inclui todas as superfícies utilizadas para o cultivo de todas as outras espécies de culturas lenhosas, incluindo pomares</t>
  </si>
  <si>
    <t>Inclui todas as terras cobertas por um coberto herbáceo permanente</t>
  </si>
  <si>
    <t>Inclui todas as terras permanente ou temporariamente cobertas de água, tais como zonas húmidas naturais, reservatórios de água e lagoas naturais interiores. Lagos e estuários</t>
  </si>
  <si>
    <t>Inclui todos os territórios artificiais, incluindo cidades e aldeias.
aldeias, indústria, estradas e caminhos-de-ferro, portos e aeroportos</t>
  </si>
  <si>
    <t>Inclui todos os terrenos que não se enquadram nas definições anteriores, tais como terrenos cobertos de rochas, dunas de areia, etc.</t>
  </si>
  <si>
    <t>Culturas anuais de sequeiro</t>
  </si>
  <si>
    <t>Culturas anuais irrigadas</t>
  </si>
  <si>
    <t>Inclui todas as terras cultivadas com culturas anuais sem irrigação. Inclui os pousios integrados nas rotações de culturas</t>
  </si>
  <si>
    <t>Arrozais</t>
  </si>
  <si>
    <t>Inclui todas as terras preparadas para a cultura do arroz</t>
  </si>
  <si>
    <t>Vinhas</t>
  </si>
  <si>
    <t>Olivais</t>
  </si>
  <si>
    <t>Outras culturas permanentes</t>
  </si>
  <si>
    <t>Todos os prados/pastagens</t>
  </si>
  <si>
    <t>Zonas húmidas</t>
  </si>
  <si>
    <t>Áreas urbanizadas</t>
  </si>
  <si>
    <t>Arbustos</t>
  </si>
  <si>
    <t>Outros terrenos</t>
  </si>
  <si>
    <t>Terrenos florestais</t>
  </si>
  <si>
    <t>Terras agrícolas</t>
  </si>
  <si>
    <t>Prados e pastagens</t>
  </si>
  <si>
    <t xml:space="preserve">Temperado frio, húmido </t>
  </si>
  <si>
    <t>Temperado quente, húmido</t>
  </si>
  <si>
    <t xml:space="preserve">Temperado quente, seco </t>
  </si>
  <si>
    <t>Categoria de uso do solo</t>
  </si>
  <si>
    <t>Inclui todas as terras cobertas de vegetação lenhosa que não correspondem às definições de floresta ou de cultura permanente</t>
  </si>
  <si>
    <t>Outras coníferas</t>
  </si>
  <si>
    <t>Outras folhosas</t>
  </si>
  <si>
    <t>Ano de Início</t>
  </si>
  <si>
    <t>Combustível correspondente adotado pelo IPCC</t>
  </si>
  <si>
    <t>Poder Calorífico
Inferior (PCI)</t>
  </si>
  <si>
    <t>Fatores de Emissão (unidades originais) - IPCC (2006)</t>
  </si>
  <si>
    <t>Bitumen</t>
  </si>
  <si>
    <t>Coking Coal</t>
  </si>
  <si>
    <t>Other Bituminous Coal</t>
  </si>
  <si>
    <t>Coke Oven Coke and Lignite Coke</t>
  </si>
  <si>
    <t>Coque de Petróleo</t>
  </si>
  <si>
    <t>Petroleum Coke</t>
  </si>
  <si>
    <t>Ethane</t>
  </si>
  <si>
    <t>Coke Oven Gas</t>
  </si>
  <si>
    <t>Refinery Gas</t>
  </si>
  <si>
    <t>Liquefied Petroleum Gases</t>
  </si>
  <si>
    <t>Natural Gas</t>
  </si>
  <si>
    <t>Motor Gasoline</t>
  </si>
  <si>
    <t>Aviation Gasoline</t>
  </si>
  <si>
    <t>Natural Gas Liquids</t>
  </si>
  <si>
    <t>Lubricants</t>
  </si>
  <si>
    <t>Naphtha</t>
  </si>
  <si>
    <t>Óleo de Xisto</t>
  </si>
  <si>
    <t>Shale Oil</t>
  </si>
  <si>
    <t>Waste Oils</t>
  </si>
  <si>
    <t>Paraffin Waxes</t>
  </si>
  <si>
    <t>Petróleo Bruto</t>
  </si>
  <si>
    <t>Crude Oil</t>
  </si>
  <si>
    <t>Jet Kerosene</t>
  </si>
  <si>
    <t>Municipal Wastes (non-biomass fraction)</t>
  </si>
  <si>
    <t>Peat</t>
  </si>
  <si>
    <t>Xisto Betuminoso e Areias Betuminosas</t>
  </si>
  <si>
    <t>Oil Shale and Tar Sands</t>
  </si>
  <si>
    <t>Other Liquid Biofuels</t>
  </si>
  <si>
    <t>Other Primary Solid Biomass</t>
  </si>
  <si>
    <t>Carvão Vegetal</t>
  </si>
  <si>
    <t>Charcoal</t>
  </si>
  <si>
    <t>Wood / Wood Waste</t>
  </si>
  <si>
    <t>Municipal Wastes (biomass fraction)</t>
  </si>
  <si>
    <t>Caso a organização atue em mais do que um setor, selecione aquele que melhor representa a atividade exercida pelas fontes de emissão estacionárias.</t>
  </si>
  <si>
    <t xml:space="preserve">Fatores de Emissão do setor: </t>
  </si>
  <si>
    <t>Consumo médio anual de combustível</t>
  </si>
  <si>
    <t>Emissões totais pela utilização de combustíveis fósseis</t>
  </si>
  <si>
    <t>Emissões totais pela utilização de combustíveis de biomassa</t>
  </si>
  <si>
    <t>Betume</t>
  </si>
  <si>
    <t>Gás de Alto Forno</t>
  </si>
  <si>
    <t xml:space="preserve">Gás de Coqueria </t>
  </si>
  <si>
    <t>Gás Natural</t>
  </si>
  <si>
    <t>Gás Natural (superior a 93% de metano)</t>
  </si>
  <si>
    <t>Óleos Usados</t>
  </si>
  <si>
    <t>Orimulsão</t>
  </si>
  <si>
    <t>Outros Carvões Betuminosos</t>
  </si>
  <si>
    <t>Gases de Lamas de Depuração</t>
  </si>
  <si>
    <t>Outra Biomassa Primária Sólida</t>
  </si>
  <si>
    <t>Outros Biocombustíveis Líquidos</t>
  </si>
  <si>
    <t>Resíduos Municipais (fração biodegradável)</t>
  </si>
  <si>
    <t>Anthracite</t>
  </si>
  <si>
    <t>Brown coal briquettes</t>
  </si>
  <si>
    <t>Blast furnace gas</t>
  </si>
  <si>
    <t>Gas Works Gas</t>
  </si>
  <si>
    <t>Oxygen steel furnace gas</t>
  </si>
  <si>
    <t>Gas/ Diesel Oil</t>
  </si>
  <si>
    <t>Jet Gasoline</t>
  </si>
  <si>
    <t>Lignite</t>
  </si>
  <si>
    <t>Lignite Coke</t>
  </si>
  <si>
    <t>Refinery Feedstoks</t>
  </si>
  <si>
    <t>Orimulsion</t>
  </si>
  <si>
    <t>Biogasoline</t>
  </si>
  <si>
    <t>Sludge Gas</t>
  </si>
  <si>
    <t>m3</t>
  </si>
  <si>
    <t>Relate aqui a compra anual de eletricidade (kWh/ano)</t>
  </si>
  <si>
    <t>Espécie</t>
  </si>
  <si>
    <t>Pinheiro-bravo</t>
  </si>
  <si>
    <t>Sobreiro</t>
  </si>
  <si>
    <t>Azinheira</t>
  </si>
  <si>
    <t>Carvalhos</t>
  </si>
  <si>
    <t>Pinheiro-manso</t>
  </si>
  <si>
    <t>Castanheiro</t>
  </si>
  <si>
    <t>Alfarrobeira</t>
  </si>
  <si>
    <t>Acácias</t>
  </si>
  <si>
    <t>Outras resinosas</t>
  </si>
  <si>
    <r>
      <t>t CO</t>
    </r>
    <r>
      <rPr>
        <b/>
        <vertAlign val="subscript"/>
        <sz val="10"/>
        <color theme="0"/>
        <rFont val="Poppins"/>
      </rPr>
      <t>2eq</t>
    </r>
    <r>
      <rPr>
        <b/>
        <sz val="10"/>
        <color theme="0"/>
        <rFont val="Poppins"/>
      </rPr>
      <t>/ha</t>
    </r>
  </si>
  <si>
    <t>Manufatura ou Construção</t>
  </si>
  <si>
    <t>Comercial ou Institucional</t>
  </si>
  <si>
    <t>Residencial, Agricultura ou Floresta</t>
  </si>
  <si>
    <t>Fator (tCO2 eq/MWh )</t>
  </si>
  <si>
    <t>Percentagem de renováveis no mix energético Português</t>
  </si>
  <si>
    <t>Questão</t>
  </si>
  <si>
    <t>Tabela 7. Fatores de emissão por frota e tipo de combustível (Fonte: GHG Protocol)</t>
  </si>
  <si>
    <t>Tabela 8. Fatores de emissão por frota e tipo de combustível (Fonte: GHG Protocol)</t>
  </si>
  <si>
    <t xml:space="preserve">Consumo médio anual esperado </t>
  </si>
  <si>
    <t>Consumo médio anual esperado</t>
  </si>
  <si>
    <t>Emissões médias anuais de GEE (toneladas métricas)</t>
  </si>
  <si>
    <t>Total (toneladas métricas)</t>
  </si>
  <si>
    <t>Ano de fim da fase</t>
  </si>
  <si>
    <t>Resposta</t>
  </si>
  <si>
    <r>
      <t>Emissões de GEE médias anuais (tCO</t>
    </r>
    <r>
      <rPr>
        <b/>
        <vertAlign val="subscript"/>
        <sz val="9"/>
        <color theme="1"/>
        <rFont val="Poppins"/>
      </rPr>
      <t>2</t>
    </r>
    <r>
      <rPr>
        <b/>
        <sz val="9"/>
        <color theme="1"/>
        <rFont val="Poppins"/>
      </rPr>
      <t>eq/ano)</t>
    </r>
  </si>
  <si>
    <t>Tabela 9. Fatores de emissão por frota e tipo de combustível (Fonte GHG Protocol)</t>
  </si>
  <si>
    <t>Sim</t>
  </si>
  <si>
    <t>Não</t>
  </si>
  <si>
    <t>O veículo é da Empresa?</t>
  </si>
  <si>
    <t>Qual o tipo de transporte</t>
  </si>
  <si>
    <t>Viagens a negócios</t>
  </si>
  <si>
    <t>Tipo de Transporte</t>
  </si>
  <si>
    <t>Transporte a montante da empresa</t>
  </si>
  <si>
    <t>Transporte a jusante da empresa</t>
  </si>
  <si>
    <t>Número de Funcionários envolvidos no projeto</t>
  </si>
  <si>
    <t>Distância média</t>
  </si>
  <si>
    <t>km</t>
  </si>
  <si>
    <t>Fator de emissão</t>
  </si>
  <si>
    <t>unidade</t>
  </si>
  <si>
    <t>Fonte</t>
  </si>
  <si>
    <t>t CO2eq/ m3</t>
  </si>
  <si>
    <t>(1) Gás natural</t>
  </si>
  <si>
    <t xml:space="preserve">Perdas na rede estimadas pela REN. Fator de emissão obtido através da base de dados EcoInvent. </t>
  </si>
  <si>
    <t xml:space="preserve">Sempre que se referir o gás natural no âmbito 1, vai-se calculado este valor à parte, como as emissões referentes à extração, transporte e distribuição do gás. </t>
  </si>
  <si>
    <t>(2) Produtos petrolíferos</t>
  </si>
  <si>
    <t>Este fator aplica-se a todos os produtos petrolíferos usados na combustão móvel. Faz se o cálculo à parte, soma-se com o do gás natural e obtemos a categoria 3</t>
  </si>
  <si>
    <t>Cálculo do fator:</t>
  </si>
  <si>
    <t>Item</t>
  </si>
  <si>
    <t>Valor</t>
  </si>
  <si>
    <t>Nota</t>
  </si>
  <si>
    <t>Emissões Galp 2022</t>
  </si>
  <si>
    <t>MtCO2e</t>
  </si>
  <si>
    <t>(total de todas as caetegorias exceto uso) - Rel. e Contas Galp</t>
  </si>
  <si>
    <t>Venda de produtos petrolíferos</t>
  </si>
  <si>
    <t>Mton</t>
  </si>
  <si>
    <t>Rel. Contas Galp 2022</t>
  </si>
  <si>
    <t>Densidade média do petróleo</t>
  </si>
  <si>
    <t>kg/m3</t>
  </si>
  <si>
    <t>Venda de produtos petrolíferos pela GALP</t>
  </si>
  <si>
    <t>B/C</t>
  </si>
  <si>
    <t>t/Litro</t>
  </si>
  <si>
    <t>A/D</t>
  </si>
  <si>
    <t>Valor assume que as emissões da Galp âmbitos 1, 2 e 3 foram todas para a rpodução de produitos petrolíferos</t>
  </si>
  <si>
    <t>Valor assume que os produtos petrolíferos são todos iguais (produto médio)</t>
  </si>
  <si>
    <t>C3</t>
  </si>
  <si>
    <t>Gasolina</t>
  </si>
  <si>
    <t>Fator de emissão Gás natural (t CO2eq/ m3)</t>
  </si>
  <si>
    <t>% de eletricidade gerada com gás natural</t>
  </si>
  <si>
    <t>% de eletricidade gerada com produtos petrolíferos</t>
  </si>
  <si>
    <t>Conversão de Gás Natural em kWh (m3/kWh)</t>
  </si>
  <si>
    <t>Conversão de Produtos petrolíferos em kWh (L/kWh)</t>
  </si>
  <si>
    <t>(t CO2eq/ kWh)</t>
  </si>
  <si>
    <t>Fator de emissão Produtos petrolíferos (t CO2eq/Litro)</t>
  </si>
  <si>
    <t>Emissões Gás Natural</t>
  </si>
  <si>
    <t>Emissões Produtos Petrolíferos</t>
  </si>
  <si>
    <t>Fase do projeto</t>
  </si>
  <si>
    <t xml:space="preserve">(A) Use uma linha para cada deslocação. </t>
  </si>
  <si>
    <t>Gás natural (metano)</t>
  </si>
  <si>
    <t>Emissões de Processos Industriais - emissões de processos industriais não relacionadas com a queima de combustíveis fósseis</t>
  </si>
  <si>
    <t>Localização</t>
  </si>
  <si>
    <t>Mercado</t>
  </si>
  <si>
    <t>Emissões da produção de combustível</t>
  </si>
  <si>
    <t>FE produção de combustível</t>
  </si>
  <si>
    <t>Emissões da produção</t>
  </si>
  <si>
    <t xml:space="preserve">Valor </t>
  </si>
  <si>
    <t>% condutor veículo</t>
  </si>
  <si>
    <t>% transporte público</t>
  </si>
  <si>
    <t>Em 2021, percentagem de pessoas que foram de carro para o trabalho como passageiros</t>
  </si>
  <si>
    <t>Em 2021, percentagem de pessoas que foram para o trabalho em transporte público</t>
  </si>
  <si>
    <t>% modos suaves</t>
  </si>
  <si>
    <t>FE condutor de veículo</t>
  </si>
  <si>
    <t>FE transporte público</t>
  </si>
  <si>
    <t>FE modos suaves</t>
  </si>
  <si>
    <t>Distância média viajada</t>
  </si>
  <si>
    <t>Fator de emissão de veículo com dois passageiros</t>
  </si>
  <si>
    <t>Fator de emissão médio de transporte público (autocarro, comboio, metro e barco)</t>
  </si>
  <si>
    <t>Fator de emissão de modos suaves (não elétricos)</t>
  </si>
  <si>
    <t>Distância média de deslocação casa-trabalho</t>
  </si>
  <si>
    <t>Censos 2021</t>
  </si>
  <si>
    <t>Em 2021, percentagem de pessoas que foram para o trabalho em modos suaves e a pé</t>
  </si>
  <si>
    <t>Fator de emissão de veículo com um passageiro</t>
  </si>
  <si>
    <t>Média entre fatores para gasóleo e gasolina</t>
  </si>
  <si>
    <t>Média entre fatores para autocarro, comboio, metro e ferry</t>
  </si>
  <si>
    <t>Considera-se nulo</t>
  </si>
  <si>
    <t>valor médio assumido pela equipa</t>
  </si>
  <si>
    <t>Passo 1.    Indique o setor de atividade ao qual as atividades de queima de combustíveis em fontes fixas se aplica</t>
  </si>
  <si>
    <t>Passo 2.    Complete a informação abaixo referente aos processos de combustão em cada fase do projeto</t>
  </si>
  <si>
    <t>Descrição da fonte</t>
  </si>
  <si>
    <t>Caldeira nº. 1</t>
  </si>
  <si>
    <t>Comece por colocar uma breve descrição da atividade que irá consumir o combustível.</t>
  </si>
  <si>
    <t>(kgGEE/unid)</t>
  </si>
  <si>
    <t>(kgGEE)</t>
  </si>
  <si>
    <t>Despacho n.º 17313/2008</t>
  </si>
  <si>
    <t>Despacho n.º 17313/2008 / IPCC 2006</t>
  </si>
  <si>
    <t>IPCC 2006</t>
  </si>
  <si>
    <t>(kg/TJ)</t>
  </si>
  <si>
    <t>Estimado com base no Despacho e IPCC</t>
  </si>
  <si>
    <t>Setores</t>
  </si>
  <si>
    <t>Referente à produção e transformação de energia</t>
  </si>
  <si>
    <t>Emissões decorrentes de processos de manufatura</t>
  </si>
  <si>
    <t>Emissões decorrentes de serviços comerciais ou institucionais</t>
  </si>
  <si>
    <t>Exemplos</t>
  </si>
  <si>
    <t>Produção de combustíveis ou eletricidade</t>
  </si>
  <si>
    <t>Consumos em estabelecimentos comerciais e escritórios</t>
  </si>
  <si>
    <t>Produção de painéis fotovoltaicos ou parques eólicos; industria esxtrativa, minas e pedreiras. Exploração de centros de mobilidade como portos, aeroportos</t>
  </si>
  <si>
    <t>Este setor refere-se ao setor onde a combustão é efetuada. Veja-se os exemplos abaixo para facilitar a escolha do setor.</t>
  </si>
  <si>
    <t xml:space="preserve">Tabela 1. Apoio à Tabela 1 da combustão estacionária </t>
  </si>
  <si>
    <t>Tabela 2. Apoio à tabela 2 combustão fixa</t>
  </si>
  <si>
    <t>Setor de atividade na fase de exploração:</t>
  </si>
  <si>
    <t>Resultados</t>
  </si>
  <si>
    <t xml:space="preserve">Veículo ligeiro de passageiros - Gasolina </t>
  </si>
  <si>
    <t xml:space="preserve">Veículo ligeiro de passageiros - gasóleo </t>
  </si>
  <si>
    <t xml:space="preserve">Veículo ligeiro de passageiros - Híbrido </t>
  </si>
  <si>
    <t xml:space="preserve">Veículo ligeiro de passageiros - GPL </t>
  </si>
  <si>
    <t>Veículo ligeiro de mercadorias - gasolina</t>
  </si>
  <si>
    <t xml:space="preserve">Gasóleo </t>
  </si>
  <si>
    <t xml:space="preserve">Veículo ligeiro de mercadorias - gasóleo </t>
  </si>
  <si>
    <t>Gasóleo</t>
  </si>
  <si>
    <t>Veículo pesado - gasóleo</t>
  </si>
  <si>
    <t>Autocarros e camionetas</t>
  </si>
  <si>
    <t>gasóleo</t>
  </si>
  <si>
    <t>GNL</t>
  </si>
  <si>
    <t>Autocarro (gas natural/ GNL)</t>
  </si>
  <si>
    <t>Ciclomotores (trotinetes, vespas) - categoria L</t>
  </si>
  <si>
    <t>Tabela 6. Fatores de emissão por frota e tipo de combustível (fonte: NIR 2022)</t>
  </si>
  <si>
    <t>Elétricos / tram</t>
  </si>
  <si>
    <t>Fase de projeto</t>
  </si>
  <si>
    <t>Voo doméstico (carga)</t>
  </si>
  <si>
    <t>Voo longo (passageiros)</t>
  </si>
  <si>
    <t>Voo curto (passageiros)</t>
  </si>
  <si>
    <t>Voo doméstico (passageiros)</t>
  </si>
  <si>
    <t>Navio grande (tara: entre 18 371t e 99 999t)</t>
  </si>
  <si>
    <t>Navio pequeno (até 18 370t de tara)</t>
  </si>
  <si>
    <t>Navio muito grande (tara igual ou superior a 100 000t)</t>
  </si>
  <si>
    <t>Tipo de maquinaria</t>
  </si>
  <si>
    <t>Fator de emissão por tipo de maquinaria móvel</t>
  </si>
  <si>
    <t>Maquinaria industrial</t>
  </si>
  <si>
    <t>Maquinaria agrícola e florestal</t>
  </si>
  <si>
    <t>Maquinaria comercial, institucional</t>
  </si>
  <si>
    <t>kg</t>
  </si>
  <si>
    <t>Unidades do combustível</t>
  </si>
  <si>
    <t>Consumo de combustível (média anual)</t>
  </si>
  <si>
    <t>(MJ/unid)</t>
  </si>
  <si>
    <t>PCI</t>
  </si>
  <si>
    <t>Const não</t>
  </si>
  <si>
    <t>Exp não</t>
  </si>
  <si>
    <t>des Não</t>
  </si>
  <si>
    <t xml:space="preserve">B. Outros </t>
  </si>
  <si>
    <t>Conhece o gás de refrigeração?</t>
  </si>
  <si>
    <t>Selecione o gás</t>
  </si>
  <si>
    <t>Valor padrão</t>
  </si>
  <si>
    <t>Refrigerantes</t>
  </si>
  <si>
    <t>Refrigerante natural</t>
  </si>
  <si>
    <t>Listas</t>
  </si>
  <si>
    <t>Carga padrão</t>
  </si>
  <si>
    <t>Carga utilizador</t>
  </si>
  <si>
    <t>Gás conhecido?</t>
  </si>
  <si>
    <t>Gas</t>
  </si>
  <si>
    <t># equipamentos</t>
  </si>
  <si>
    <t>Duração da fase</t>
  </si>
  <si>
    <t>Emissões unidades novas (kgCO2 total)</t>
  </si>
  <si>
    <t>PAG (kg CO2)</t>
  </si>
  <si>
    <t>Emissões unidades dispensadas (kgCO2 total)</t>
  </si>
  <si>
    <t>carga dispensadas</t>
  </si>
  <si>
    <t>carga operação</t>
  </si>
  <si>
    <t>Emissões unidades operação (kgCO2 total)</t>
  </si>
  <si>
    <t>Emissões anuais (kgCO2 total)</t>
  </si>
  <si>
    <t>Initial charge remaining</t>
  </si>
  <si>
    <t>Recovery efficiency (média)</t>
  </si>
  <si>
    <t>Fonte: Tabela 7.9 do 2006 IPCC Guidelines for National Greenhouse Gas Inventories</t>
  </si>
  <si>
    <t>Perdas na Capacidade</t>
  </si>
  <si>
    <t>Perdas em Carga das unidades novas</t>
  </si>
  <si>
    <t xml:space="preserve">Capacidade máxima equipamentos </t>
  </si>
  <si>
    <t xml:space="preserve">Valores default PAG gás </t>
  </si>
  <si>
    <t>Fonte: Regulamento EU n.°517/2014 /Diretiva MAC (Anexo III)</t>
  </si>
  <si>
    <t>(mas atualmente a usar zero recuperação)</t>
  </si>
  <si>
    <t>- Utilize uma linha para cada tipo de equipamento.</t>
  </si>
  <si>
    <t>Outras emissões</t>
  </si>
  <si>
    <t>Quantidade</t>
  </si>
  <si>
    <t>Substância / processo</t>
  </si>
  <si>
    <t>Nome</t>
  </si>
  <si>
    <t>Substâncias, processos</t>
  </si>
  <si>
    <t>Extintores - CO2</t>
  </si>
  <si>
    <t>HCFE-235da2</t>
  </si>
  <si>
    <t>Isoflurano</t>
  </si>
  <si>
    <t>HFE-236ea2</t>
  </si>
  <si>
    <t>Desflurano</t>
  </si>
  <si>
    <t>HFE-347mmz1</t>
  </si>
  <si>
    <t>Sevoflurano</t>
  </si>
  <si>
    <t>C2F6(PFC-116)</t>
  </si>
  <si>
    <t>Hexafluoroetano</t>
  </si>
  <si>
    <t>C3F8 (PFC-218)</t>
  </si>
  <si>
    <t>Octofluorpropano</t>
  </si>
  <si>
    <t>Outro</t>
  </si>
  <si>
    <t>Extintores - HCFE-235da2</t>
  </si>
  <si>
    <t>Extintores - HFE-236ea2</t>
  </si>
  <si>
    <t>Extintores - HFE-347mmz1</t>
  </si>
  <si>
    <t>Extintores - C2F6(PFC-116)</t>
  </si>
  <si>
    <t>Extintores - C3F8 (PFC-218)</t>
  </si>
  <si>
    <t>Extintores - outros</t>
  </si>
  <si>
    <t>Equipamento elétrico de pressão, selado</t>
  </si>
  <si>
    <t>Equipamento elétrico de pressão, fechado</t>
  </si>
  <si>
    <t>Produção de semicondutores</t>
  </si>
  <si>
    <t>Produção de TFT-FPDs</t>
  </si>
  <si>
    <t>Gás natural - transmissão</t>
  </si>
  <si>
    <t>Gás natural - distribuição</t>
  </si>
  <si>
    <t>Gás natural - armazenamento</t>
  </si>
  <si>
    <r>
      <t>Óxido Nitroso (N</t>
    </r>
    <r>
      <rPr>
        <vertAlign val="subscript"/>
        <sz val="11"/>
        <color theme="1"/>
        <rFont val="Corbel"/>
        <family val="2"/>
        <scheme val="minor"/>
      </rPr>
      <t>2</t>
    </r>
    <r>
      <rPr>
        <sz val="11"/>
        <color theme="1"/>
        <rFont val="Corbel"/>
        <family val="2"/>
        <scheme val="minor"/>
      </rPr>
      <t>O)</t>
    </r>
  </si>
  <si>
    <t>Outras substâncias (1)</t>
  </si>
  <si>
    <t>Quantidade default (1)</t>
  </si>
  <si>
    <t>(1) Se em branco, é a definir pelo usuário</t>
  </si>
  <si>
    <t>(2)</t>
  </si>
  <si>
    <t>(2) Tabelas fornecidas pela APA, ver abaixo</t>
  </si>
  <si>
    <t>Etapa</t>
  </si>
  <si>
    <t>FE</t>
  </si>
  <si>
    <t>SF6</t>
  </si>
  <si>
    <t>Sealed Pressure Eletrical Equipment</t>
  </si>
  <si>
    <t>Manufacturing</t>
  </si>
  <si>
    <t>Fraction SF6 consumption by Manufactures</t>
  </si>
  <si>
    <t>IPCC 2006 Guidelines; Vol.3 IPPU; Ch8 Other Product Manufacture and Use - Table 8.2</t>
  </si>
  <si>
    <t>Operation</t>
  </si>
  <si>
    <t>Fraction per Year of Namrplate Capacity of All Equipment Installed</t>
  </si>
  <si>
    <t>Disposal</t>
  </si>
  <si>
    <t>Fraction of charge remaining at retirement</t>
  </si>
  <si>
    <t>Lifetime</t>
  </si>
  <si>
    <t>&gt; 35</t>
  </si>
  <si>
    <t>years</t>
  </si>
  <si>
    <t>Closed Pressure Eletrical Equipment</t>
  </si>
  <si>
    <t>IPCC 2006 Guidelines; Vol.3 IPPU; Ch8 Other Product Manufacture and Use - Table 8.3</t>
  </si>
  <si>
    <t>Fraction per Year of Nameplate Capacity of All Equipment Installed</t>
  </si>
  <si>
    <t>NF3</t>
  </si>
  <si>
    <t>Semiconductors</t>
  </si>
  <si>
    <t>Mass per Unit Area of Substrate Processed</t>
  </si>
  <si>
    <t>IPCC 2006 Guidelines; Vol.3 IPPU; Ch6 Electronics Industry - Table 6.2</t>
  </si>
  <si>
    <t>TFT-FPDs</t>
  </si>
  <si>
    <t>Fugitive Emissions from Natural Gas</t>
  </si>
  <si>
    <t>Transmission</t>
  </si>
  <si>
    <t>IPCC 2006 Guidelines; Vol.2 Energy; Ch4 Fugitive Emissions - Table 4.2.4</t>
  </si>
  <si>
    <t>GHGs</t>
  </si>
  <si>
    <t>Storage</t>
  </si>
  <si>
    <t>Distribution</t>
  </si>
  <si>
    <t>Cálculos totais</t>
  </si>
  <si>
    <t>Substância processo</t>
  </si>
  <si>
    <t>Outras substancias</t>
  </si>
  <si>
    <t>Recarga annual</t>
  </si>
  <si>
    <t>Quantidade utilizada</t>
  </si>
  <si>
    <t>Quantidade (kg)</t>
  </si>
  <si>
    <t>Emissões (kg)</t>
  </si>
  <si>
    <t>Perdas default</t>
  </si>
  <si>
    <t>Manufatura</t>
  </si>
  <si>
    <t>operation</t>
  </si>
  <si>
    <t>disposal</t>
  </si>
  <si>
    <t>(kg de sunstancia)</t>
  </si>
  <si>
    <t>Semicondutores</t>
  </si>
  <si>
    <t>SF6 (kg CO2e)</t>
  </si>
  <si>
    <t>NF3 (kg CO2e)</t>
  </si>
  <si>
    <t>Unidades da quantidade</t>
  </si>
  <si>
    <t>kg de SF6 usado</t>
  </si>
  <si>
    <t>m2 de área produzidas</t>
  </si>
  <si>
    <t>m3 de gás transmitido</t>
  </si>
  <si>
    <t>m3 de gás distribuído</t>
  </si>
  <si>
    <t>m3 de gás armazenado</t>
  </si>
  <si>
    <t>kgCO2e</t>
  </si>
  <si>
    <t>Ar Condicionado de Veículos Ligeiros de Passageiros e ligeiros de Mercadorias</t>
  </si>
  <si>
    <t>(A) Utilize esta secção da ferramenta para relatar outras emissões fugitivas que não as de climatização e refrigeração.</t>
  </si>
  <si>
    <t>Despacho n.º 17313/2009</t>
  </si>
  <si>
    <t xml:space="preserve">PCI - Despacho n.º 17313/2008; densidade - https://www.engineeringtoolbox.com/fuels-densities-specific-volumes-d_166.html </t>
  </si>
  <si>
    <t>Despacho n.º 17313/2008; Densidade: APA, https://apambiente.pt/sites/default/files/_Clima/CELE/Tabelas_Fatores_Calculo/tabela_densidades_combustiveis_2013.pdf</t>
  </si>
  <si>
    <t>Despacho n.º 17313/2008; desnidade: REPSOL - https://www.repsol.pt/content/dam/repsol-portugal/gas-da-repsol/FDS-GPL-CARBURANTE-rev.5.1_tcm101-201700.pdf</t>
  </si>
  <si>
    <t>Despacho. Densidade:  https://www.ilo.org/dyn/icsc/showcard.display?p_lang=pt&amp;p_card_id=1380&amp;p_version=2</t>
  </si>
  <si>
    <t>Despacho n.º 17313/2008; Density: https://www.transmountain.com/about-petroleum-liquids#:~:text=Crude%20oil%20has%20historically%20been,per%20cent%20that%20of%20water).</t>
  </si>
  <si>
    <t>Despacho n.º 17313/2008; density: https://www.engineeringtoolbox.com/fuels-densities-specific-volumes-d_166.html</t>
  </si>
  <si>
    <t>Secção 3 - Fatores de emissão para emissões fugitivas</t>
  </si>
  <si>
    <t>Actividade Industrial</t>
  </si>
  <si>
    <t>EF implícito</t>
  </si>
  <si>
    <t>1. Produção de cimento</t>
  </si>
  <si>
    <t>2. Produção de cal</t>
  </si>
  <si>
    <t>3. Produção de vidro</t>
  </si>
  <si>
    <t>4. Produção cerâmica</t>
  </si>
  <si>
    <t>5. Produção de ácido nítrico</t>
  </si>
  <si>
    <t>6. Produção de etileno</t>
  </si>
  <si>
    <t>IPCC 2006 Guidelines; Vol.3 IPPU; Chapter 3: Chemical Industry Emissions - Table 3.14</t>
  </si>
  <si>
    <t>7. Produção de aço</t>
  </si>
  <si>
    <t>8. Produção de chumbo</t>
  </si>
  <si>
    <t>IPCC 2006 Guidelines; Vol.3 IPPU; Chapter 4: Metal Industry Emissions - Table 4.21</t>
  </si>
  <si>
    <t>Designação da fonte (opcional)</t>
  </si>
  <si>
    <t>Setor industrial</t>
  </si>
  <si>
    <t>Processos industriais</t>
  </si>
  <si>
    <t>9. Outros</t>
  </si>
  <si>
    <t>Ala 2 da fábrica</t>
  </si>
  <si>
    <t>Produção média anual do produto</t>
  </si>
  <si>
    <t>t vidro</t>
  </si>
  <si>
    <t>(indique a unidade no campo ao lado)</t>
  </si>
  <si>
    <t>Unid</t>
  </si>
  <si>
    <t>Tabela vem dos fatores de emissão</t>
  </si>
  <si>
    <t>Emissões fósseis</t>
  </si>
  <si>
    <t>Equipamentos de climatização e refrigeração</t>
  </si>
  <si>
    <t>Processo</t>
  </si>
  <si>
    <t>Emissões fugitivas - outras</t>
  </si>
  <si>
    <t>Secção 4 - Fatores de emissão para Processos industriais</t>
  </si>
  <si>
    <t>Observações (indique como obteve o valor (fonte, breve descrição metodológica, pressupostos)</t>
  </si>
  <si>
    <t>Processos</t>
  </si>
  <si>
    <t>Agricultura, usos de solo e pecuária</t>
  </si>
  <si>
    <t>Pecuária - Gestão de estrumes</t>
  </si>
  <si>
    <t>Pecuária - fermentação entérica</t>
  </si>
  <si>
    <t>Pecuária - total (gestão de estrumes e fermentação entérica)</t>
  </si>
  <si>
    <t>Alterações aos usos de solo</t>
  </si>
  <si>
    <t>Sequestro de carbono</t>
  </si>
  <si>
    <t>Agricultura - Uso de cal</t>
  </si>
  <si>
    <t>Agricultura - Uso de Ureia</t>
  </si>
  <si>
    <t>Observações</t>
  </si>
  <si>
    <t>kg estrume/ano</t>
  </si>
  <si>
    <t>cabeças de animais/ano</t>
  </si>
  <si>
    <t>cabeças de animais / ano</t>
  </si>
  <si>
    <t>kg de cal usada nos solos/ano</t>
  </si>
  <si>
    <t>kg de ureia usada nos solos/ano</t>
  </si>
  <si>
    <t>unidade do FE</t>
  </si>
  <si>
    <t>(indicar unidade no campo ao lado)</t>
  </si>
  <si>
    <t>Observações (indique a fonte do fator de emissão, ou método de cálculo e pressupostos)</t>
  </si>
  <si>
    <r>
      <t>m</t>
    </r>
    <r>
      <rPr>
        <vertAlign val="superscript"/>
        <sz val="11"/>
        <color theme="1"/>
        <rFont val="Corbel"/>
        <family val="2"/>
        <scheme val="minor"/>
      </rPr>
      <t>2</t>
    </r>
    <r>
      <rPr>
        <sz val="11"/>
        <color theme="1"/>
        <rFont val="Corbel"/>
        <family val="2"/>
        <scheme val="minor"/>
      </rPr>
      <t xml:space="preserve"> de área alterada / ano</t>
    </r>
  </si>
  <si>
    <r>
      <t>m</t>
    </r>
    <r>
      <rPr>
        <vertAlign val="superscript"/>
        <sz val="11"/>
        <color theme="1"/>
        <rFont val="Corbel"/>
        <family val="2"/>
        <scheme val="minor"/>
      </rPr>
      <t>2</t>
    </r>
    <r>
      <rPr>
        <sz val="11"/>
        <color theme="1"/>
        <rFont val="Corbel"/>
        <family val="2"/>
        <scheme val="minor"/>
      </rPr>
      <t xml:space="preserve"> de área de sequestro /ano</t>
    </r>
  </si>
  <si>
    <r>
      <t>m</t>
    </r>
    <r>
      <rPr>
        <vertAlign val="superscript"/>
        <sz val="11"/>
        <color theme="1"/>
        <rFont val="Corbel"/>
        <family val="2"/>
        <scheme val="minor"/>
      </rPr>
      <t>2</t>
    </r>
    <r>
      <rPr>
        <sz val="11"/>
        <color theme="1"/>
        <rFont val="Corbel"/>
        <family val="2"/>
        <scheme val="minor"/>
      </rPr>
      <t xml:space="preserve"> de área inundada</t>
    </r>
  </si>
  <si>
    <t>Queima de biomassa (queimadas, incêndios) - em área</t>
  </si>
  <si>
    <t>Queima de biomassa (queimadas, incêndios) - em massa queimada</t>
  </si>
  <si>
    <r>
      <t>m</t>
    </r>
    <r>
      <rPr>
        <vertAlign val="superscript"/>
        <sz val="11"/>
        <color theme="1"/>
        <rFont val="Corbel"/>
        <family val="2"/>
        <scheme val="minor"/>
      </rPr>
      <t>2</t>
    </r>
    <r>
      <rPr>
        <sz val="11"/>
        <color theme="1"/>
        <rFont val="Corbel"/>
        <family val="2"/>
        <scheme val="minor"/>
      </rPr>
      <t xml:space="preserve"> de área / ano</t>
    </r>
  </si>
  <si>
    <t>kg de biomassa queimada / ano</t>
  </si>
  <si>
    <t>kg de fertilizante azotado, composto ou estrume / ano</t>
  </si>
  <si>
    <t>Agricultura - gestão de solos  kg de aditivo (fertilizantes, composto, estrume)</t>
  </si>
  <si>
    <t xml:space="preserve">Agricultura - gestão de solos por área lavrada </t>
  </si>
  <si>
    <r>
      <t>m</t>
    </r>
    <r>
      <rPr>
        <vertAlign val="superscript"/>
        <sz val="11"/>
        <color theme="1"/>
        <rFont val="Corbel"/>
        <family val="2"/>
        <scheme val="minor"/>
      </rPr>
      <t>2</t>
    </r>
    <r>
      <rPr>
        <sz val="11"/>
        <color theme="1"/>
        <rFont val="Corbel"/>
        <family val="2"/>
        <scheme val="minor"/>
      </rPr>
      <t xml:space="preserve"> de solo lavrado /ano</t>
    </r>
  </si>
  <si>
    <t>Resíduos e águas residuais</t>
  </si>
  <si>
    <t>Tratamentos biológicos: compostagem</t>
  </si>
  <si>
    <t>Tratamentos biológicos: digestão anaeróbica</t>
  </si>
  <si>
    <t>NIR 2022</t>
  </si>
  <si>
    <t>Esclarecimentos adicionais</t>
  </si>
  <si>
    <t>Secção 5 - Fatores de emissão para resíduos e águas residuais</t>
  </si>
  <si>
    <t>Unidade funcional</t>
  </si>
  <si>
    <t>Unidade do FE</t>
  </si>
  <si>
    <t>Estimativa de FE médio para cada fase de projeto</t>
  </si>
  <si>
    <t>Ano i</t>
  </si>
  <si>
    <t>Ano fim</t>
  </si>
  <si>
    <t>FE fim</t>
  </si>
  <si>
    <t>FE médio</t>
  </si>
  <si>
    <t>FE i (tCO2e/kWh)</t>
  </si>
  <si>
    <t>Tabela 1.  Eletricidade adquirida à rede</t>
  </si>
  <si>
    <t>Esta folha tem duas partes:</t>
  </si>
  <si>
    <r>
      <t>Fator de emissão (kg CO</t>
    </r>
    <r>
      <rPr>
        <vertAlign val="subscript"/>
        <sz val="11"/>
        <color theme="1"/>
        <rFont val="Corbel"/>
        <family val="2"/>
        <scheme val="minor"/>
      </rPr>
      <t>2</t>
    </r>
    <r>
      <rPr>
        <sz val="11"/>
        <color theme="1"/>
        <rFont val="Corbel"/>
        <family val="2"/>
        <scheme val="minor"/>
      </rPr>
      <t>e/km)</t>
    </r>
  </si>
  <si>
    <t>km/ano</t>
  </si>
  <si>
    <t>tonelada</t>
  </si>
  <si>
    <t>tonelada/ano</t>
  </si>
  <si>
    <t>Posterior a 2050</t>
  </si>
  <si>
    <t xml:space="preserve">Secção 1 - Fatores de emissão para a combustão estacionária </t>
  </si>
  <si>
    <t>Tabela 10. Fatores de emissão por frota e tipo de combustível (Fonte GHG Protocol)</t>
  </si>
  <si>
    <t>Secção 6 - Fatores para a Permuta casa trabalho de colaboradores</t>
  </si>
  <si>
    <t>A preencher:</t>
  </si>
  <si>
    <t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t>
  </si>
  <si>
    <t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t>
  </si>
  <si>
    <t>Combustível composto manufacturado a partir de finos de hulha com adição de um aglomerante. A quantidade de briquetes produzida pode, assim, ser ligeiramente mais elevada que a quantidade efectiva de hulha consumida no processo de transformação.</t>
  </si>
  <si>
    <t>Gás produzido em fábricas</t>
  </si>
  <si>
    <t>Subproduto da fabricação de coque de forno de coque para a produção de ferro e aço.</t>
  </si>
  <si>
    <t>Subproduto da produção de aço numa fornalha de oxigénio, recuperado à saída da fornalha. O gás é igualmente conhecido como gás de conversor, gás LD ou gás BOS</t>
  </si>
  <si>
    <t>Geral</t>
  </si>
  <si>
    <t>Listas de tipo de atividade</t>
  </si>
  <si>
    <t>ha de área alterada / ano</t>
  </si>
  <si>
    <t>ha de área de sequestro /ano</t>
  </si>
  <si>
    <t>ha de área inundada</t>
  </si>
  <si>
    <t>kg CO2e / ha de área alterada / ano</t>
  </si>
  <si>
    <t>kg CO2e / ha de área de sequestro /ano</t>
  </si>
  <si>
    <t>kg CO2e / ha de área inundada</t>
  </si>
  <si>
    <t>Inundação de terrenos (albufeiras)</t>
  </si>
  <si>
    <t>Tipo de clima onde se encontra a albufeira</t>
  </si>
  <si>
    <t>Especifique o tipo de uso de solo</t>
  </si>
  <si>
    <t>De seguida, identifique o combustível que será utilizado.</t>
  </si>
  <si>
    <t>Tenha em atenção em usar as unidades que são apresentadas na coluna unidades. Se tiver os valores em unidades diferentes, terá de as converter para as unidades apresentadas</t>
  </si>
  <si>
    <t>Por favor selecione o Combustível :</t>
  </si>
  <si>
    <t>Operação de Centrais Solares Fotovoltaicas e Parques Eólicos.</t>
  </si>
  <si>
    <t xml:space="preserve">Para os cálculos de emissões de combustão estacionária, a escolha dos Fatores de Emissão depende do setor de atividade (da fase de exploração), por isso, o cálculo só é efetuado quando selecionado o setor de atividade que mais se adequa às atividades da organização. </t>
  </si>
  <si>
    <t>Perdas na rede</t>
  </si>
  <si>
    <t>FE extração de gás natural da Rússia</t>
  </si>
  <si>
    <t>Base de dados EcoInvent, referente a valor médio Europeu (origem: Rússia). Considera extração e transporte. Ano da recolha de dados: 2013.</t>
  </si>
  <si>
    <t>Notas</t>
  </si>
  <si>
    <t>(1)</t>
  </si>
  <si>
    <t>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t>
  </si>
  <si>
    <t>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t>
  </si>
  <si>
    <t>O gasóleo/óleo diesel é, antes de mais, um destilado médio que destila entre 180 oC e 380 oC. Inclui os componentes para mistura.</t>
  </si>
  <si>
    <t>Gás de Refinaria (não liquefeito)</t>
  </si>
  <si>
    <t xml:space="preserve">Nafta </t>
  </si>
  <si>
    <t>Querosene tipo Jet Fuel</t>
  </si>
  <si>
    <t>Fuelóleo</t>
  </si>
  <si>
    <t>Ceras Parafínicas</t>
  </si>
  <si>
    <t xml:space="preserve">Frigorífico / Chiller </t>
  </si>
  <si>
    <t>Tabela 1.  Emissões de GEE por equipamentos de climatização ou refrigeração</t>
  </si>
  <si>
    <t>Operação/exploração de centros industriais; Operação de indústria extrativa, minas e pedreiras, produção de painéis fotovoltaicos ou parques eólicos; Exploração de centros de mobilidade como portos e aeroportos; construção de loteamentos, escritórios e edifícios.</t>
  </si>
  <si>
    <t>Operação/exploração de estabelecimentos comerciais, de escritórios, hoteleiros ou turísticos.</t>
  </si>
  <si>
    <t>(Fonte: Regulamento (CE) N.º 1099/2008 do Parlamento Europeu e do Conselho, de 22 de Outubro de 2008.)</t>
  </si>
  <si>
    <t>Gasolina tipo Jet Fuel (nafta tipo Jet Fuel ou JP4)</t>
  </si>
  <si>
    <t>FE produção de combustível (kgGEE/unid)</t>
  </si>
  <si>
    <t>Motociclo (motos, motas) - Categoria L</t>
  </si>
  <si>
    <t>Autocarro (gasóleo)</t>
  </si>
  <si>
    <t>Fator de Emissão (kg/unid)</t>
  </si>
  <si>
    <t>Emissões parciais (t/ano)</t>
  </si>
  <si>
    <t>(t/ano)</t>
  </si>
  <si>
    <t>Fósseis</t>
  </si>
  <si>
    <t>Construção e fase preparatória</t>
  </si>
  <si>
    <t>ACRESCENTAR</t>
  </si>
  <si>
    <t>C.</t>
  </si>
  <si>
    <t>D.</t>
  </si>
  <si>
    <r>
      <t xml:space="preserve">(A) No preenchimento da tabela, só terá de preencher os campos a </t>
    </r>
    <r>
      <rPr>
        <b/>
        <sz val="12"/>
        <color theme="8" tint="0.39997558519241921"/>
        <rFont val="Corbel"/>
        <family val="2"/>
        <scheme val="minor"/>
      </rPr>
      <t>AZUL CLARO</t>
    </r>
    <r>
      <rPr>
        <sz val="12"/>
        <rFont val="Corbel"/>
        <family val="2"/>
        <scheme val="minor"/>
      </rPr>
      <t xml:space="preserve">. Alguns destes campos irão alterar a cor à medida que vai preenchendo a tabela.  </t>
    </r>
  </si>
  <si>
    <r>
      <t xml:space="preserve">(B) Comece por indicar a que </t>
    </r>
    <r>
      <rPr>
        <u/>
        <sz val="12"/>
        <color theme="1"/>
        <rFont val="Corbel"/>
        <family val="2"/>
        <scheme val="minor"/>
      </rPr>
      <t>fase do projeto</t>
    </r>
    <r>
      <rPr>
        <sz val="12"/>
        <color theme="1"/>
        <rFont val="Corbel"/>
        <family val="2"/>
        <scheme val="minor"/>
      </rPr>
      <t xml:space="preserve"> se refere a linha</t>
    </r>
  </si>
  <si>
    <r>
      <t>Ganhos em carbono armazenado por área (tCO</t>
    </r>
    <r>
      <rPr>
        <b/>
        <vertAlign val="subscript"/>
        <sz val="12"/>
        <color theme="1"/>
        <rFont val="Corbel"/>
        <family val="2"/>
        <scheme val="minor"/>
      </rPr>
      <t>2</t>
    </r>
    <r>
      <rPr>
        <b/>
        <sz val="12"/>
        <color theme="1"/>
        <rFont val="Corbel"/>
        <family val="2"/>
        <scheme val="minor"/>
      </rPr>
      <t>/ha.ano)</t>
    </r>
  </si>
  <si>
    <r>
      <t>Ganhos médios anuais de carbono (tCO</t>
    </r>
    <r>
      <rPr>
        <b/>
        <vertAlign val="subscript"/>
        <sz val="12"/>
        <color theme="1"/>
        <rFont val="Corbel"/>
        <family val="2"/>
        <scheme val="minor"/>
      </rPr>
      <t>2</t>
    </r>
    <r>
      <rPr>
        <b/>
        <sz val="12"/>
        <color theme="1"/>
        <rFont val="Corbel"/>
        <family val="2"/>
        <scheme val="minor"/>
      </rPr>
      <t>/ano)</t>
    </r>
  </si>
  <si>
    <r>
      <t>Emissões de GEE (tCO</t>
    </r>
    <r>
      <rPr>
        <b/>
        <vertAlign val="subscript"/>
        <sz val="12"/>
        <color theme="1"/>
        <rFont val="Corbel"/>
        <family val="2"/>
        <scheme val="minor"/>
      </rPr>
      <t>2e</t>
    </r>
    <r>
      <rPr>
        <b/>
        <sz val="12"/>
        <color theme="1"/>
        <rFont val="Corbel"/>
        <family val="2"/>
        <scheme val="minor"/>
      </rPr>
      <t>/ha.ano)</t>
    </r>
  </si>
  <si>
    <r>
      <t>Emissões médias anuais de GEE (tCO</t>
    </r>
    <r>
      <rPr>
        <b/>
        <vertAlign val="subscript"/>
        <sz val="12"/>
        <color theme="1"/>
        <rFont val="Corbel"/>
        <family val="2"/>
        <scheme val="minor"/>
      </rPr>
      <t>2e</t>
    </r>
    <r>
      <rPr>
        <b/>
        <sz val="12"/>
        <color theme="1"/>
        <rFont val="Corbel"/>
        <family val="2"/>
        <scheme val="minor"/>
      </rPr>
      <t>/ano)</t>
    </r>
  </si>
  <si>
    <t>Table 6-9 - fatores de cálculo INF6</t>
  </si>
  <si>
    <t>Novos calculos Puro e dominantes (arvores vivas)</t>
  </si>
  <si>
    <t>IFN6</t>
  </si>
  <si>
    <t>Mm 3</t>
  </si>
  <si>
    <t>Pb</t>
  </si>
  <si>
    <t>Sb</t>
  </si>
  <si>
    <t>Ec</t>
  </si>
  <si>
    <t>Az</t>
  </si>
  <si>
    <t>Cv</t>
  </si>
  <si>
    <t>Fd</t>
  </si>
  <si>
    <t>Pm</t>
  </si>
  <si>
    <t>Rd</t>
  </si>
  <si>
    <t>Table 6-9: Fatores de cálculo IFN6</t>
  </si>
  <si>
    <t>Inundação de terrenos (arroz)</t>
  </si>
  <si>
    <t>Outras emissões agro-pecuárias</t>
  </si>
  <si>
    <t>Tipo de tratamento / resíduo</t>
  </si>
  <si>
    <t>Tratamento de águas residuais e efluentes (agrícolas, pecuários, industriais, ou outros)</t>
  </si>
  <si>
    <r>
      <t xml:space="preserve">Para a incineração com recuperação de energia: (1) quando acontece nas instalações do projeto, deverá reportar na folha </t>
    </r>
    <r>
      <rPr>
        <u/>
        <sz val="12"/>
        <color theme="1"/>
        <rFont val="Corbel"/>
        <family val="2"/>
        <scheme val="minor"/>
      </rPr>
      <t>Combustão Estacionária</t>
    </r>
    <r>
      <rPr>
        <sz val="12"/>
        <color theme="1"/>
        <rFont val="Corbel"/>
        <family val="2"/>
        <scheme val="minor"/>
      </rPr>
      <t xml:space="preserve">; (2) quando acontece noutras instalações, não será reportado, ficando incluído no fator nacional de eletricidade. </t>
    </r>
  </si>
  <si>
    <t>Eliminação de usos de solo</t>
  </si>
  <si>
    <t>Tipo de atividade</t>
  </si>
  <si>
    <t>Área inundada (ha)</t>
  </si>
  <si>
    <t>A. Emissões evitadas de projetos de eletricidade renovável ligados à rede elétrica</t>
  </si>
  <si>
    <t xml:space="preserve">B. Outras emissões evitadas </t>
  </si>
  <si>
    <t xml:space="preserve">Ferramenta de cálculo para projetos de instalação de produção elétrica de origem renovável, desde que ligados à rede. </t>
  </si>
  <si>
    <r>
      <t>Fator de emissão da eletricidade consumida (tCO</t>
    </r>
    <r>
      <rPr>
        <b/>
        <vertAlign val="subscript"/>
        <sz val="12"/>
        <rFont val="Corbel"/>
        <family val="2"/>
        <scheme val="minor"/>
      </rPr>
      <t>2</t>
    </r>
    <r>
      <rPr>
        <b/>
        <sz val="12"/>
        <rFont val="Corbel"/>
        <family val="2"/>
        <scheme val="minor"/>
      </rPr>
      <t>e/MWh)</t>
    </r>
  </si>
  <si>
    <t>Produção média anual esperada com o projeto de produção de eletricidade (MWh/ano)</t>
  </si>
  <si>
    <t>Ano de entrada em funcionamento</t>
  </si>
  <si>
    <r>
      <t xml:space="preserve">(A) Preencha somente os campos a </t>
    </r>
    <r>
      <rPr>
        <b/>
        <sz val="12"/>
        <color theme="8" tint="0.39997558519241921"/>
        <rFont val="Corbel"/>
        <family val="2"/>
        <scheme val="minor"/>
      </rPr>
      <t>AZUL CLARO</t>
    </r>
    <r>
      <rPr>
        <sz val="12"/>
        <rFont val="Corbel"/>
        <family val="2"/>
        <scheme val="minor"/>
      </rPr>
      <t xml:space="preserve"> da ferramenta.</t>
    </r>
  </si>
  <si>
    <r>
      <t>(B) comece por indicar a</t>
    </r>
    <r>
      <rPr>
        <u/>
        <sz val="12"/>
        <rFont val="Corbel"/>
        <family val="2"/>
        <scheme val="minor"/>
      </rPr>
      <t xml:space="preserve"> fase do projeto</t>
    </r>
    <r>
      <rPr>
        <sz val="12"/>
        <rFont val="Corbel"/>
        <family val="2"/>
        <scheme val="minor"/>
      </rPr>
      <t xml:space="preserve"> a que a linha diz respeito.</t>
    </r>
  </si>
  <si>
    <t>(C) Indique o ano em que o projeto estará a funcionar plenamente.</t>
  </si>
  <si>
    <t>(D) Indique a produção média esperada por ano em MWh.</t>
  </si>
  <si>
    <t>Tabela 1 - Emissões evitadas de projetos de eletricidade renovável ligados à rede elétrica</t>
  </si>
  <si>
    <t>B. Outras emissões evitadas (folha de reporte)</t>
  </si>
  <si>
    <t>Designação do projeto</t>
  </si>
  <si>
    <t>Central de digestão anaeróbia</t>
  </si>
  <si>
    <t>Descrição de como foi definido e estimado o contrafactual</t>
  </si>
  <si>
    <t>Descrição de como foram estimadas as emissões evitadas</t>
  </si>
  <si>
    <t>Definição do contrafactual - cenário sem projeto</t>
  </si>
  <si>
    <t>Os efeitos em termos de emissões considerados foram os efeitos diretos em termos de (…), e os efeitos indiretos em termos de (…). Os cálculos foram efetuados considerando o modelo A, (Peter and Charles, 2022).</t>
  </si>
  <si>
    <r>
      <t>Emissões de GEE acumuladas do contrafactual - (tCO</t>
    </r>
    <r>
      <rPr>
        <b/>
        <vertAlign val="subscript"/>
        <sz val="12"/>
        <rFont val="Corbel"/>
        <family val="2"/>
        <scheme val="minor"/>
      </rPr>
      <t>2</t>
    </r>
    <r>
      <rPr>
        <b/>
        <sz val="12"/>
        <rFont val="Corbel"/>
        <family val="2"/>
        <scheme val="minor"/>
      </rPr>
      <t>e/projeto)</t>
    </r>
  </si>
  <si>
    <r>
      <t>Emissões de GEE acumuladas evitadas (i.e., com o projeto) - (tCO</t>
    </r>
    <r>
      <rPr>
        <b/>
        <vertAlign val="subscript"/>
        <sz val="12"/>
        <rFont val="Corbel"/>
        <family val="2"/>
        <scheme val="minor"/>
      </rPr>
      <t>2</t>
    </r>
    <r>
      <rPr>
        <b/>
        <sz val="12"/>
        <rFont val="Corbel"/>
        <family val="2"/>
        <scheme val="minor"/>
      </rPr>
      <t>e)</t>
    </r>
  </si>
  <si>
    <t xml:space="preserve">(H) Por fim, descreva os métodos de cálculo, pressupostos e fontes de dados para a estimativa de emissões evitadas apresentada. </t>
  </si>
  <si>
    <t>Os cálculos foram efetuados considerando o modelo A, (Peter and Charles, 2022).</t>
  </si>
  <si>
    <t>Tabela 2 - Outras emissões evitadas</t>
  </si>
  <si>
    <t>Breve descrição deste projeto (incluir número de anos de funcionamento de projeto)</t>
  </si>
  <si>
    <t xml:space="preserve">Instalação de um digestor anaeróbio para decomposição dos estrumes do gado. Horizonte temporal de 30 anos. </t>
  </si>
  <si>
    <t xml:space="preserve">O cenário considerado para o contrafactual foi (…) que é a alternativa mais comum. Considerou-se 30 anos. A evolução no tempo considera uma melhoria de eficiência de emissões em (…) durante os 30 anos, compatível com o esperado para este tipo de tecnologias (fonte: (…)). </t>
  </si>
  <si>
    <t>Emissões de GEE</t>
  </si>
  <si>
    <t>Compra média anual de eletricidade (MWh/ano)</t>
  </si>
  <si>
    <t>Valor cedido pelo fornecedor a contratar</t>
  </si>
  <si>
    <t>Veículo elétrico 1</t>
  </si>
  <si>
    <t>A folha permite ainda o reporte de emissões de outras emissões evitadas (como projetos de produção de renováveis não ligados à rede elétrica, ou produção de outras formas de energia não elétricas).</t>
  </si>
  <si>
    <r>
      <t>(B) Comece por indicar a</t>
    </r>
    <r>
      <rPr>
        <u/>
        <sz val="12"/>
        <rFont val="Corbel"/>
        <family val="2"/>
        <scheme val="minor"/>
      </rPr>
      <t xml:space="preserve"> fase do projeto</t>
    </r>
    <r>
      <rPr>
        <sz val="12"/>
        <rFont val="Corbel"/>
        <family val="2"/>
        <scheme val="minor"/>
      </rPr>
      <t xml:space="preserve"> a que a linha diz respeito.</t>
    </r>
  </si>
  <si>
    <r>
      <t>Emissões evitadas de projetos de eletricidade ligados à rede elétrica (tCO</t>
    </r>
    <r>
      <rPr>
        <b/>
        <vertAlign val="subscript"/>
        <sz val="12"/>
        <color theme="0"/>
        <rFont val="Corbel"/>
        <family val="2"/>
        <scheme val="minor"/>
      </rPr>
      <t>2</t>
    </r>
    <r>
      <rPr>
        <b/>
        <sz val="12"/>
        <color theme="0"/>
        <rFont val="Corbel"/>
        <family val="2"/>
        <scheme val="minor"/>
      </rPr>
      <t>e)</t>
    </r>
  </si>
  <si>
    <r>
      <t>Emissões evitadas de outros projetos  (tCO</t>
    </r>
    <r>
      <rPr>
        <b/>
        <vertAlign val="subscript"/>
        <sz val="12"/>
        <color theme="0"/>
        <rFont val="Corbel"/>
        <family val="2"/>
        <scheme val="minor"/>
      </rPr>
      <t>2</t>
    </r>
    <r>
      <rPr>
        <b/>
        <sz val="12"/>
        <color theme="0"/>
        <rFont val="Corbel"/>
        <family val="2"/>
        <scheme val="minor"/>
      </rPr>
      <t>e)</t>
    </r>
  </si>
  <si>
    <t>Caso não exista valor padrão ou o seu valor for diferente deste, indique aqui o seu valor</t>
  </si>
  <si>
    <t>Produto</t>
  </si>
  <si>
    <t>Clínquer</t>
  </si>
  <si>
    <t>Cal</t>
  </si>
  <si>
    <t>Vidro</t>
  </si>
  <si>
    <t>Ácido nítrico</t>
  </si>
  <si>
    <t>Etileno</t>
  </si>
  <si>
    <t>Aço</t>
  </si>
  <si>
    <t>Chumbo</t>
  </si>
  <si>
    <t>Fertilizantes</t>
  </si>
  <si>
    <t>Outros bens e serviços</t>
  </si>
  <si>
    <t>Equipamentos e outros bens de capital</t>
  </si>
  <si>
    <r>
      <t>kg CO</t>
    </r>
    <r>
      <rPr>
        <vertAlign val="subscript"/>
        <sz val="11"/>
        <color theme="1"/>
        <rFont val="Corbel"/>
        <family val="2"/>
        <scheme val="minor"/>
      </rPr>
      <t>2</t>
    </r>
    <r>
      <rPr>
        <sz val="11"/>
        <color theme="1"/>
        <rFont val="Corbel"/>
        <family val="2"/>
        <scheme val="minor"/>
      </rPr>
      <t>e / unid</t>
    </r>
  </si>
  <si>
    <t xml:space="preserve">A. Fase do projeto </t>
  </si>
  <si>
    <t>C. Caso esta coluna se encontre azul, especifique o bem que selecionou em B.</t>
  </si>
  <si>
    <t>Valor obtido da fábrica x em Aveiro</t>
  </si>
  <si>
    <r>
      <t>Emissões médias anuais de GEE (tCO</t>
    </r>
    <r>
      <rPr>
        <b/>
        <vertAlign val="subscript"/>
        <sz val="12"/>
        <rFont val="Corbel"/>
        <family val="2"/>
        <scheme val="minor"/>
      </rPr>
      <t>2</t>
    </r>
    <r>
      <rPr>
        <b/>
        <sz val="12"/>
        <rFont val="Corbel"/>
        <family val="2"/>
        <scheme val="minor"/>
      </rPr>
      <t>e/ano)</t>
    </r>
  </si>
  <si>
    <r>
      <t>Emissões médias anuais de GEE (t CO</t>
    </r>
    <r>
      <rPr>
        <b/>
        <vertAlign val="subscript"/>
        <sz val="12"/>
        <color theme="0"/>
        <rFont val="Corbel"/>
        <family val="2"/>
        <scheme val="minor"/>
      </rPr>
      <t>2</t>
    </r>
    <r>
      <rPr>
        <b/>
        <sz val="12"/>
        <color theme="0"/>
        <rFont val="Corbel"/>
        <family val="2"/>
        <scheme val="minor"/>
      </rPr>
      <t>e/ano)</t>
    </r>
  </si>
  <si>
    <r>
      <t>Emissões acumuladas de GEE (t CO</t>
    </r>
    <r>
      <rPr>
        <b/>
        <vertAlign val="subscript"/>
        <sz val="12"/>
        <color theme="0"/>
        <rFont val="Corbel"/>
        <family val="2"/>
        <scheme val="minor"/>
      </rPr>
      <t>2</t>
    </r>
    <r>
      <rPr>
        <b/>
        <sz val="12"/>
        <color theme="0"/>
        <rFont val="Corbel"/>
        <family val="2"/>
        <scheme val="minor"/>
      </rPr>
      <t>e)</t>
    </r>
  </si>
  <si>
    <t xml:space="preserve">(C) O tipo de bem a que a linha se refere. </t>
  </si>
  <si>
    <t>D. Consumo médio anual do Bem</t>
  </si>
  <si>
    <r>
      <t>E. Fator de emissão (kg CO</t>
    </r>
    <r>
      <rPr>
        <b/>
        <vertAlign val="subscript"/>
        <sz val="12"/>
        <color theme="1"/>
        <rFont val="Corbel"/>
        <family val="2"/>
        <scheme val="minor"/>
      </rPr>
      <t>2</t>
    </r>
    <r>
      <rPr>
        <b/>
        <sz val="12"/>
        <color theme="1"/>
        <rFont val="Corbel"/>
        <family val="2"/>
        <scheme val="minor"/>
      </rPr>
      <t>e/ unid)</t>
    </r>
  </si>
  <si>
    <t xml:space="preserve">(E) Depois, indique a quantidade de Bem que espera aquirir em média por ano.  Tenha em atenção às unidades. Em certos casos, a ferramenta irá pedir-lhe que indique as unidades do Bem. </t>
  </si>
  <si>
    <r>
      <t xml:space="preserve">(F) Com a informação acima, a ferramenta irá apresentar-lhe um </t>
    </r>
    <r>
      <rPr>
        <u/>
        <sz val="12"/>
        <color theme="1"/>
        <rFont val="Corbel"/>
        <family val="2"/>
        <scheme val="minor"/>
      </rPr>
      <t>valor padrão</t>
    </r>
    <r>
      <rPr>
        <sz val="12"/>
        <color theme="1"/>
        <rFont val="Corbel"/>
        <family val="2"/>
        <scheme val="minor"/>
      </rPr>
      <t xml:space="preserve"> para o fator de emissão (com base em dados nacionais). Se tiver um mais específico para a sua atividade, indique na caixa correspondente. </t>
    </r>
  </si>
  <si>
    <t xml:space="preserve">Aquisição de bens e serviços
</t>
  </si>
  <si>
    <t>B. Produto produzido pelo projeto</t>
  </si>
  <si>
    <t>C. Tipologia de emissões a reportar</t>
  </si>
  <si>
    <t>Veículos automóveis a gasóleo</t>
  </si>
  <si>
    <t>Emissões do uso do produto</t>
  </si>
  <si>
    <t>Emissões do tratamento final do produto</t>
  </si>
  <si>
    <t>Emissões do fim de vida do produto</t>
  </si>
  <si>
    <t>Tipologia de emissões a reportar</t>
  </si>
  <si>
    <t>D. Produção média anual do Produto</t>
  </si>
  <si>
    <t>F. Observações (indique como obteve o valor (fonte, breve descrição metodológica, pressupostos)</t>
  </si>
  <si>
    <r>
      <t>G. Emissões médias anuais de GEE (tCO</t>
    </r>
    <r>
      <rPr>
        <b/>
        <vertAlign val="subscript"/>
        <sz val="12"/>
        <rFont val="Corbel"/>
        <family val="2"/>
        <scheme val="minor"/>
      </rPr>
      <t>2</t>
    </r>
    <r>
      <rPr>
        <b/>
        <sz val="12"/>
        <rFont val="Corbel"/>
        <family val="2"/>
        <scheme val="minor"/>
      </rPr>
      <t>e/ano)</t>
    </r>
  </si>
  <si>
    <t>número de veículos</t>
  </si>
  <si>
    <t>Valor teve em conta as distâncias médias percorridas por veículos por ano em Portugal (CENSUS 21), numa condução média urbana.</t>
  </si>
  <si>
    <t>kg CO2e / número de veículos</t>
  </si>
  <si>
    <t>Tabela 1.  Relato para as emissões associadas aos produtos produzidos pelo projeto</t>
  </si>
  <si>
    <r>
      <t xml:space="preserve">(A) No preenchimento da tabela, só terá de preencher os campos a </t>
    </r>
    <r>
      <rPr>
        <b/>
        <sz val="12"/>
        <color theme="8" tint="-0.249977111117893"/>
        <rFont val="Corbel"/>
        <family val="2"/>
        <scheme val="minor"/>
      </rPr>
      <t>AZUL CLARO</t>
    </r>
    <r>
      <rPr>
        <sz val="12"/>
        <rFont val="Corbel"/>
        <family val="2"/>
        <scheme val="minor"/>
      </rPr>
      <t xml:space="preserve">. Alguns destes campos irão alterar a cor à medida que vai preenchendo a tabela.  </t>
    </r>
  </si>
  <si>
    <t xml:space="preserve">(C) Indique o produto que irá produzir com o projeto. </t>
  </si>
  <si>
    <t xml:space="preserve">(D) Indique, da lista selecionada, que tipo de emissões vai reportar em relação ao produto que indicou anteriormente. </t>
  </si>
  <si>
    <t>Tempo de vida do produto (anos) (1)</t>
  </si>
  <si>
    <t xml:space="preserve">(1) Arredondar o valor para cima, por exemplo, se o tempo de vida for inferior a um ano, deverá indicar 1. </t>
  </si>
  <si>
    <t xml:space="preserve">(F) Ser-lhe-á pedido que indique o fator de emissão de GEE, por ano, por produto, que espera ter. Este fator de emissão diz respeito à tipologia de emissões indicada em C. Assim: </t>
  </si>
  <si>
    <t>O fator de emissão "E." refere-se a:</t>
  </si>
  <si>
    <t>Fator de emissão refere-se a:</t>
  </si>
  <si>
    <t>(G) Indique como obteve o fator de emissão, nomeadamente, a fonte do valor, metodologias e pressupostos utilizados</t>
  </si>
  <si>
    <t xml:space="preserve">Uso dos produtos do projeto
</t>
  </si>
  <si>
    <t>Em 2021, percentagem de pessoas que conduziram para o trabalho</t>
  </si>
  <si>
    <t>% passageiro veículo</t>
  </si>
  <si>
    <t>FE passageiro de veículo</t>
  </si>
  <si>
    <t>emissões kg</t>
  </si>
  <si>
    <t xml:space="preserve">Esta secção da ferramenta inclui a emissão de GEE associadas à produção de bens, serviços e bens de capital adquiridos para o projeto. Estes incluem matérias-primas, materiais, reagentes, produtos, serviços, equipamentos, infraestruturas. É particularmente relevante se houver a aquisição de clínquer/cimento (para construção de infraestruturas, por exemplo), vidro, cal, carbonatos/cerâmicas, ácido nítrico, etileno, aço, chumbo ou fertilizantes. </t>
  </si>
  <si>
    <t xml:space="preserve">B. Produtos e serviços, bens de capital ou combustíveis adquiridos </t>
  </si>
  <si>
    <t>Tabela 1.  Relato de produtos e serviços ou bens de capital adquiridos</t>
  </si>
  <si>
    <t>Emissões do fim de vida do produto (i.e., emissões de GEE do tratamento e destino final)</t>
  </si>
  <si>
    <t>Data/Ano de preenchimento:</t>
  </si>
  <si>
    <r>
      <t>CO</t>
    </r>
    <r>
      <rPr>
        <b/>
        <vertAlign val="subscript"/>
        <sz val="12"/>
        <rFont val="Corbel"/>
        <family val="2"/>
        <scheme val="minor"/>
      </rPr>
      <t>2</t>
    </r>
    <r>
      <rPr>
        <b/>
        <sz val="12"/>
        <rFont val="Corbel"/>
        <family val="2"/>
        <scheme val="minor"/>
      </rPr>
      <t xml:space="preserve"> </t>
    </r>
  </si>
  <si>
    <r>
      <t>CH</t>
    </r>
    <r>
      <rPr>
        <b/>
        <vertAlign val="subscript"/>
        <sz val="12"/>
        <rFont val="Corbel"/>
        <family val="2"/>
        <scheme val="minor"/>
      </rPr>
      <t>4</t>
    </r>
    <r>
      <rPr>
        <b/>
        <sz val="12"/>
        <rFont val="Corbel"/>
        <family val="2"/>
        <scheme val="minor"/>
      </rPr>
      <t xml:space="preserve"> </t>
    </r>
  </si>
  <si>
    <r>
      <t>N</t>
    </r>
    <r>
      <rPr>
        <b/>
        <vertAlign val="subscript"/>
        <sz val="12"/>
        <rFont val="Corbel"/>
        <family val="2"/>
        <scheme val="minor"/>
      </rPr>
      <t>2</t>
    </r>
    <r>
      <rPr>
        <b/>
        <sz val="12"/>
        <rFont val="Corbel"/>
        <family val="2"/>
        <scheme val="minor"/>
      </rPr>
      <t xml:space="preserve">O </t>
    </r>
  </si>
  <si>
    <r>
      <t>m</t>
    </r>
    <r>
      <rPr>
        <vertAlign val="superscript"/>
        <sz val="12"/>
        <rFont val="Corbel"/>
        <family val="2"/>
        <scheme val="minor"/>
      </rPr>
      <t>3</t>
    </r>
  </si>
  <si>
    <r>
      <t>CH</t>
    </r>
    <r>
      <rPr>
        <b/>
        <vertAlign val="subscript"/>
        <sz val="12"/>
        <color theme="0"/>
        <rFont val="Corbel"/>
        <family val="2"/>
        <scheme val="minor"/>
      </rPr>
      <t>4</t>
    </r>
    <r>
      <rPr>
        <b/>
        <sz val="12"/>
        <color theme="0"/>
        <rFont val="Corbel"/>
        <family val="2"/>
        <scheme val="minor"/>
      </rPr>
      <t xml:space="preserve"> (kg/TJ) por setor de atividade</t>
    </r>
  </si>
  <si>
    <r>
      <t>N</t>
    </r>
    <r>
      <rPr>
        <b/>
        <vertAlign val="subscript"/>
        <sz val="12"/>
        <color theme="0"/>
        <rFont val="Corbel"/>
        <family val="2"/>
        <scheme val="minor"/>
      </rPr>
      <t>2</t>
    </r>
    <r>
      <rPr>
        <b/>
        <sz val="12"/>
        <color theme="0"/>
        <rFont val="Corbel"/>
        <family val="2"/>
        <scheme val="minor"/>
      </rPr>
      <t>O (kg/TJ) por setor de atividade</t>
    </r>
  </si>
  <si>
    <r>
      <t>CO</t>
    </r>
    <r>
      <rPr>
        <b/>
        <vertAlign val="subscript"/>
        <sz val="12"/>
        <color theme="0"/>
        <rFont val="Corbel"/>
        <family val="2"/>
        <scheme val="minor"/>
      </rPr>
      <t>2</t>
    </r>
    <r>
      <rPr>
        <b/>
        <sz val="12"/>
        <color theme="0"/>
        <rFont val="Corbel"/>
        <family val="2"/>
        <scheme val="minor"/>
      </rPr>
      <t xml:space="preserve"> (kg/un)</t>
    </r>
  </si>
  <si>
    <r>
      <t>kg/m</t>
    </r>
    <r>
      <rPr>
        <vertAlign val="superscript"/>
        <sz val="12"/>
        <color theme="1"/>
        <rFont val="Corbel"/>
        <family val="2"/>
        <scheme val="minor"/>
      </rPr>
      <t>2</t>
    </r>
  </si>
  <si>
    <r>
      <t>g/m</t>
    </r>
    <r>
      <rPr>
        <vertAlign val="superscript"/>
        <sz val="12"/>
        <color theme="1"/>
        <rFont val="Corbel"/>
        <family val="2"/>
        <scheme val="minor"/>
      </rPr>
      <t>2</t>
    </r>
  </si>
  <si>
    <r>
      <t>kg CO2/m</t>
    </r>
    <r>
      <rPr>
        <vertAlign val="superscript"/>
        <sz val="12"/>
        <color theme="1"/>
        <rFont val="Corbel"/>
        <family val="2"/>
        <scheme val="minor"/>
      </rPr>
      <t>3</t>
    </r>
    <r>
      <rPr>
        <sz val="12"/>
        <color theme="1"/>
        <rFont val="Corbel"/>
        <family val="2"/>
        <scheme val="minor"/>
      </rPr>
      <t xml:space="preserve"> gas</t>
    </r>
  </si>
  <si>
    <r>
      <t>kg CH4/m</t>
    </r>
    <r>
      <rPr>
        <vertAlign val="superscript"/>
        <sz val="12"/>
        <color theme="1"/>
        <rFont val="Corbel"/>
        <family val="2"/>
        <scheme val="minor"/>
      </rPr>
      <t>3</t>
    </r>
    <r>
      <rPr>
        <sz val="12"/>
        <color theme="1"/>
        <rFont val="Corbel"/>
        <family val="2"/>
        <scheme val="minor"/>
      </rPr>
      <t xml:space="preserve"> gas</t>
    </r>
  </si>
  <si>
    <r>
      <t>kg N2O/m</t>
    </r>
    <r>
      <rPr>
        <vertAlign val="superscript"/>
        <sz val="12"/>
        <color theme="1"/>
        <rFont val="Corbel"/>
        <family val="2"/>
        <scheme val="minor"/>
      </rPr>
      <t>3</t>
    </r>
    <r>
      <rPr>
        <sz val="12"/>
        <color theme="1"/>
        <rFont val="Corbel"/>
        <family val="2"/>
        <scheme val="minor"/>
      </rPr>
      <t xml:space="preserve"> gas</t>
    </r>
  </si>
  <si>
    <r>
      <t>kg CO2 eq./m</t>
    </r>
    <r>
      <rPr>
        <vertAlign val="superscript"/>
        <sz val="12"/>
        <color theme="1"/>
        <rFont val="Corbel"/>
        <family val="2"/>
        <scheme val="minor"/>
      </rPr>
      <t>3</t>
    </r>
    <r>
      <rPr>
        <sz val="12"/>
        <color theme="1"/>
        <rFont val="Corbel"/>
        <family val="2"/>
        <scheme val="minor"/>
      </rPr>
      <t xml:space="preserve"> gas</t>
    </r>
  </si>
  <si>
    <r>
      <t>m</t>
    </r>
    <r>
      <rPr>
        <vertAlign val="superscript"/>
        <sz val="12"/>
        <color theme="1"/>
        <rFont val="Corbel"/>
        <family val="2"/>
        <scheme val="minor"/>
      </rPr>
      <t>3</t>
    </r>
    <r>
      <rPr>
        <sz val="12"/>
        <color theme="1"/>
        <rFont val="Corbel"/>
        <family val="2"/>
        <scheme val="minor"/>
      </rPr>
      <t xml:space="preserve"> de águas residuais enviadas para tratamento ou descarregadas</t>
    </r>
  </si>
  <si>
    <r>
      <t>Metano (CH</t>
    </r>
    <r>
      <rPr>
        <vertAlign val="subscript"/>
        <sz val="12"/>
        <rFont val="Corbel"/>
        <family val="2"/>
        <scheme val="minor"/>
      </rPr>
      <t>4</t>
    </r>
    <r>
      <rPr>
        <sz val="12"/>
        <rFont val="Corbel"/>
        <family val="2"/>
        <scheme val="minor"/>
      </rPr>
      <t>)</t>
    </r>
  </si>
  <si>
    <r>
      <t>Óxido nitroso (N</t>
    </r>
    <r>
      <rPr>
        <vertAlign val="subscript"/>
        <sz val="12"/>
        <rFont val="Corbel"/>
        <family val="2"/>
        <scheme val="minor"/>
      </rPr>
      <t>2</t>
    </r>
    <r>
      <rPr>
        <sz val="12"/>
        <rFont val="Corbel"/>
        <family val="2"/>
        <scheme val="minor"/>
      </rPr>
      <t>O)</t>
    </r>
  </si>
  <si>
    <r>
      <t>Hexafluoreto de enxofre (SF</t>
    </r>
    <r>
      <rPr>
        <vertAlign val="subscript"/>
        <sz val="12"/>
        <rFont val="Corbel"/>
        <family val="2"/>
        <scheme val="minor"/>
      </rPr>
      <t>6</t>
    </r>
    <r>
      <rPr>
        <sz val="12"/>
        <rFont val="Corbel"/>
        <family val="2"/>
        <scheme val="minor"/>
      </rPr>
      <t>)</t>
    </r>
  </si>
  <si>
    <r>
      <t>Trifluoreto de azoto (NF</t>
    </r>
    <r>
      <rPr>
        <vertAlign val="subscript"/>
        <sz val="12"/>
        <rFont val="Corbel"/>
        <family val="2"/>
        <scheme val="minor"/>
      </rPr>
      <t>3</t>
    </r>
    <r>
      <rPr>
        <sz val="12"/>
        <rFont val="Corbel"/>
        <family val="2"/>
        <scheme val="minor"/>
      </rPr>
      <t>)</t>
    </r>
  </si>
  <si>
    <r>
      <t>Dióxido de carbono (CO</t>
    </r>
    <r>
      <rPr>
        <vertAlign val="subscript"/>
        <sz val="12"/>
        <rFont val="Corbel"/>
        <family val="2"/>
        <scheme val="minor"/>
      </rPr>
      <t>2</t>
    </r>
    <r>
      <rPr>
        <sz val="12"/>
        <rFont val="Corbel"/>
        <family val="2"/>
        <scheme val="minor"/>
      </rPr>
      <t>)</t>
    </r>
  </si>
  <si>
    <r>
      <t>Tetracloreto de carbono (CCl</t>
    </r>
    <r>
      <rPr>
        <vertAlign val="subscript"/>
        <sz val="12"/>
        <rFont val="Corbel"/>
        <family val="2"/>
        <scheme val="minor"/>
      </rPr>
      <t>4</t>
    </r>
    <r>
      <rPr>
        <sz val="12"/>
        <rFont val="Corbel"/>
        <family val="2"/>
        <scheme val="minor"/>
      </rPr>
      <t>)</t>
    </r>
  </si>
  <si>
    <r>
      <t>Bromometano (CH</t>
    </r>
    <r>
      <rPr>
        <vertAlign val="subscript"/>
        <sz val="12"/>
        <rFont val="Corbel"/>
        <family val="2"/>
        <scheme val="minor"/>
      </rPr>
      <t>3</t>
    </r>
    <r>
      <rPr>
        <sz val="12"/>
        <rFont val="Corbel"/>
        <family val="2"/>
        <scheme val="minor"/>
      </rPr>
      <t>Br)</t>
    </r>
  </si>
  <si>
    <r>
      <t>Methyl chloroform (CH</t>
    </r>
    <r>
      <rPr>
        <vertAlign val="subscript"/>
        <sz val="12"/>
        <rFont val="Corbel"/>
        <family val="2"/>
        <scheme val="minor"/>
      </rPr>
      <t>3</t>
    </r>
    <r>
      <rPr>
        <sz val="12"/>
        <rFont val="Corbel"/>
        <family val="2"/>
        <scheme val="minor"/>
      </rPr>
      <t>CCl</t>
    </r>
    <r>
      <rPr>
        <vertAlign val="subscript"/>
        <sz val="12"/>
        <rFont val="Corbel"/>
        <family val="2"/>
        <scheme val="minor"/>
      </rPr>
      <t>3</t>
    </r>
    <r>
      <rPr>
        <sz val="12"/>
        <rFont val="Corbel"/>
        <family val="2"/>
        <scheme val="minor"/>
      </rPr>
      <t>)</t>
    </r>
  </si>
  <si>
    <r>
      <t>Trifluorometil pentafluoreto de enxofre (SF</t>
    </r>
    <r>
      <rPr>
        <vertAlign val="subscript"/>
        <sz val="12"/>
        <rFont val="Corbel"/>
        <family val="2"/>
        <scheme val="minor"/>
      </rPr>
      <t>5</t>
    </r>
    <r>
      <rPr>
        <sz val="12"/>
        <rFont val="Corbel"/>
        <family val="2"/>
        <scheme val="minor"/>
      </rPr>
      <t>CF</t>
    </r>
    <r>
      <rPr>
        <vertAlign val="subscript"/>
        <sz val="12"/>
        <rFont val="Corbel"/>
        <family val="2"/>
        <scheme val="minor"/>
      </rPr>
      <t>3</t>
    </r>
    <r>
      <rPr>
        <sz val="12"/>
        <rFont val="Corbel"/>
        <family val="2"/>
        <scheme val="minor"/>
      </rPr>
      <t>)</t>
    </r>
  </si>
  <si>
    <r>
      <t>Perfluorociclopropano (c-C</t>
    </r>
    <r>
      <rPr>
        <vertAlign val="subscript"/>
        <sz val="12"/>
        <rFont val="Corbel"/>
        <family val="2"/>
        <scheme val="minor"/>
      </rPr>
      <t>3</t>
    </r>
    <r>
      <rPr>
        <sz val="12"/>
        <rFont val="Corbel"/>
        <family val="2"/>
        <scheme val="minor"/>
      </rPr>
      <t>F</t>
    </r>
    <r>
      <rPr>
        <vertAlign val="subscript"/>
        <sz val="12"/>
        <rFont val="Corbel"/>
        <family val="2"/>
        <scheme val="minor"/>
      </rPr>
      <t>6</t>
    </r>
    <r>
      <rPr>
        <sz val="12"/>
        <rFont val="Corbel"/>
        <family val="2"/>
        <scheme val="minor"/>
      </rPr>
      <t>)</t>
    </r>
  </si>
  <si>
    <r>
      <t>CO</t>
    </r>
    <r>
      <rPr>
        <b/>
        <vertAlign val="subscript"/>
        <sz val="12"/>
        <color theme="0" tint="-4.9989318521683403E-2"/>
        <rFont val="Corbel"/>
        <family val="2"/>
        <scheme val="minor"/>
      </rPr>
      <t>2</t>
    </r>
  </si>
  <si>
    <r>
      <t>CH</t>
    </r>
    <r>
      <rPr>
        <b/>
        <vertAlign val="subscript"/>
        <sz val="12"/>
        <color theme="0" tint="-4.9989318521683403E-2"/>
        <rFont val="Corbel"/>
        <family val="2"/>
        <scheme val="minor"/>
      </rPr>
      <t>4</t>
    </r>
  </si>
  <si>
    <r>
      <t>N</t>
    </r>
    <r>
      <rPr>
        <b/>
        <vertAlign val="subscript"/>
        <sz val="12"/>
        <color theme="0" tint="-4.9989318521683403E-2"/>
        <rFont val="Corbel"/>
        <family val="2"/>
        <scheme val="minor"/>
      </rPr>
      <t>2</t>
    </r>
    <r>
      <rPr>
        <b/>
        <sz val="12"/>
        <color theme="0" tint="-4.9989318521683403E-2"/>
        <rFont val="Corbel"/>
        <family val="2"/>
        <scheme val="minor"/>
      </rPr>
      <t>O</t>
    </r>
  </si>
  <si>
    <t>Valores default PAG gás (kg/kg) (a)</t>
  </si>
  <si>
    <t>(a) Fonte: Regulamento EU n.°517/2014 /Diretiva MAC (Anexo III)</t>
  </si>
  <si>
    <r>
      <t>1 pés cúbicos (ft</t>
    </r>
    <r>
      <rPr>
        <vertAlign val="superscript"/>
        <sz val="12"/>
        <rFont val="Corbel"/>
        <family val="2"/>
        <scheme val="minor"/>
      </rPr>
      <t>3</t>
    </r>
    <r>
      <rPr>
        <sz val="12"/>
        <rFont val="Corbel"/>
        <family val="2"/>
        <scheme val="minor"/>
      </rPr>
      <t>)</t>
    </r>
  </si>
  <si>
    <r>
      <t>0,02832 metro cúbico (m</t>
    </r>
    <r>
      <rPr>
        <vertAlign val="superscript"/>
        <sz val="12"/>
        <rFont val="Corbel"/>
        <family val="2"/>
        <scheme val="minor"/>
      </rPr>
      <t>3</t>
    </r>
    <r>
      <rPr>
        <sz val="12"/>
        <rFont val="Corbel"/>
        <family val="2"/>
        <scheme val="minor"/>
      </rPr>
      <t>)</t>
    </r>
  </si>
  <si>
    <r>
      <t>0,003785 metro cúbico (m</t>
    </r>
    <r>
      <rPr>
        <vertAlign val="superscript"/>
        <sz val="12"/>
        <rFont val="Corbel"/>
        <family val="2"/>
        <scheme val="minor"/>
      </rPr>
      <t>3</t>
    </r>
    <r>
      <rPr>
        <sz val="12"/>
        <rFont val="Corbel"/>
        <family val="2"/>
        <scheme val="minor"/>
      </rPr>
      <t>)</t>
    </r>
  </si>
  <si>
    <r>
      <t>0,1589873 metro cúbico (m</t>
    </r>
    <r>
      <rPr>
        <vertAlign val="superscript"/>
        <sz val="12"/>
        <rFont val="Corbel"/>
        <family val="2"/>
        <scheme val="minor"/>
      </rPr>
      <t>3</t>
    </r>
    <r>
      <rPr>
        <sz val="12"/>
        <rFont val="Corbel"/>
        <family val="2"/>
        <scheme val="minor"/>
      </rPr>
      <t>)</t>
    </r>
  </si>
  <si>
    <r>
      <t>0,001 metro cúbico (m</t>
    </r>
    <r>
      <rPr>
        <vertAlign val="superscript"/>
        <sz val="12"/>
        <rFont val="Corbel"/>
        <family val="2"/>
        <scheme val="minor"/>
      </rPr>
      <t>3</t>
    </r>
    <r>
      <rPr>
        <sz val="12"/>
        <rFont val="Corbel"/>
        <family val="2"/>
        <scheme val="minor"/>
      </rPr>
      <t>)</t>
    </r>
  </si>
  <si>
    <r>
      <t>1 metro cúbico (m</t>
    </r>
    <r>
      <rPr>
        <vertAlign val="superscript"/>
        <sz val="12"/>
        <rFont val="Corbel"/>
        <family val="2"/>
        <scheme val="minor"/>
      </rPr>
      <t>3</t>
    </r>
    <r>
      <rPr>
        <sz val="12"/>
        <rFont val="Corbel"/>
        <family val="2"/>
        <scheme val="minor"/>
      </rPr>
      <t>)</t>
    </r>
  </si>
  <si>
    <r>
      <t>10</t>
    </r>
    <r>
      <rPr>
        <vertAlign val="superscript"/>
        <sz val="12"/>
        <rFont val="Corbel"/>
        <family val="2"/>
        <scheme val="minor"/>
      </rPr>
      <t>3</t>
    </r>
    <r>
      <rPr>
        <sz val="12"/>
        <rFont val="Corbel"/>
        <family val="2"/>
        <scheme val="minor"/>
      </rPr>
      <t xml:space="preserve"> = 1000</t>
    </r>
  </si>
  <si>
    <r>
      <t>10</t>
    </r>
    <r>
      <rPr>
        <vertAlign val="superscript"/>
        <sz val="12"/>
        <rFont val="Corbel"/>
        <family val="2"/>
        <scheme val="minor"/>
      </rPr>
      <t>6</t>
    </r>
    <r>
      <rPr>
        <sz val="12"/>
        <rFont val="Corbel"/>
        <family val="2"/>
        <scheme val="minor"/>
      </rPr>
      <t xml:space="preserve"> = 1 000 000</t>
    </r>
  </si>
  <si>
    <r>
      <t>10</t>
    </r>
    <r>
      <rPr>
        <vertAlign val="superscript"/>
        <sz val="12"/>
        <rFont val="Corbel"/>
        <family val="2"/>
        <scheme val="minor"/>
      </rPr>
      <t>9</t>
    </r>
    <r>
      <rPr>
        <sz val="12"/>
        <rFont val="Corbel"/>
        <family val="2"/>
        <scheme val="minor"/>
      </rPr>
      <t xml:space="preserve"> = 1 000 000 000</t>
    </r>
  </si>
  <si>
    <r>
      <t>10</t>
    </r>
    <r>
      <rPr>
        <vertAlign val="superscript"/>
        <sz val="12"/>
        <rFont val="Corbel"/>
        <family val="2"/>
        <scheme val="minor"/>
      </rPr>
      <t>12</t>
    </r>
    <r>
      <rPr>
        <sz val="12"/>
        <rFont val="Corbel"/>
        <family val="2"/>
        <scheme val="minor"/>
      </rPr>
      <t xml:space="preserve"> = 1 000 000 000 000</t>
    </r>
  </si>
  <si>
    <r>
      <t>Peso molecular de CO</t>
    </r>
    <r>
      <rPr>
        <vertAlign val="subscript"/>
        <sz val="12"/>
        <rFont val="Corbel"/>
        <family val="2"/>
        <scheme val="minor"/>
      </rPr>
      <t>2</t>
    </r>
  </si>
  <si>
    <t>Ficha técnica</t>
  </si>
  <si>
    <t xml:space="preserve">Entidade Patronal: </t>
  </si>
  <si>
    <t>ADIST – Associação para o Desenvolvimento do Instituto Superior Técnico</t>
  </si>
  <si>
    <t>Título do documento</t>
  </si>
  <si>
    <t>Entidade Promotora</t>
  </si>
  <si>
    <t>Atualizações</t>
  </si>
  <si>
    <t>Versão</t>
  </si>
  <si>
    <t>Revisões</t>
  </si>
  <si>
    <t xml:space="preserve">(1) Apenas deverão ser reportadas categorias florestais se não for previsto o abate de árvores regular, nomeadamente, para comercialização da madeira florestal. </t>
  </si>
  <si>
    <t xml:space="preserve">(H) A qualidade dos dados introduzidos pelo utilizador determinam a qualidade dos resultados apresentados por esta ferramenta. </t>
  </si>
  <si>
    <t xml:space="preserve">      Os resultados serão tanto mais próximos da realidade, quanto melhor a qualidade dos dados introduzidos.</t>
  </si>
  <si>
    <t xml:space="preserve">Esta folha deverá ser preenchida se houver lugar à produção de energia elétrica a partir de fontes de energia renovável, como instalação de painéis fotovoltaicos ou aerogeradores, em projetos ligados à rede elétrica. </t>
  </si>
  <si>
    <r>
      <t>(kgCO</t>
    </r>
    <r>
      <rPr>
        <b/>
        <vertAlign val="subscript"/>
        <sz val="12"/>
        <rFont val="Corbel"/>
        <family val="2"/>
        <scheme val="minor"/>
      </rPr>
      <t>2</t>
    </r>
    <r>
      <rPr>
        <b/>
        <sz val="12"/>
        <rFont val="Corbel"/>
        <family val="2"/>
        <scheme val="minor"/>
      </rPr>
      <t>e /ano)</t>
    </r>
  </si>
  <si>
    <t>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t>
  </si>
  <si>
    <t>Briquetes de linhite</t>
  </si>
  <si>
    <t>Coque de forno de coque e coque de linhite</t>
  </si>
  <si>
    <t>Gás de forno de aciaria de oxigénio</t>
  </si>
  <si>
    <t>LGN - Gás Natural Liquefeito</t>
  </si>
  <si>
    <t>GPL - Gás de Petróleo Liquefeito</t>
  </si>
  <si>
    <t>Gasóleo / óleo diesel (fuelóleo destilado)</t>
  </si>
  <si>
    <t>Resíduos municipais (fração não biodegradável)</t>
  </si>
  <si>
    <t>Madeira, resíduos de madeira e outros resíduos sólidos</t>
  </si>
  <si>
    <t>Linhite preta</t>
  </si>
  <si>
    <r>
      <t>Emissões de CO</t>
    </r>
    <r>
      <rPr>
        <b/>
        <vertAlign val="subscript"/>
        <sz val="12"/>
        <color theme="0"/>
        <rFont val="Corbel"/>
        <family val="2"/>
        <scheme val="minor"/>
      </rPr>
      <t>2</t>
    </r>
    <r>
      <rPr>
        <b/>
        <sz val="12"/>
        <color theme="0"/>
        <rFont val="Corbel"/>
        <family val="2"/>
        <scheme val="minor"/>
      </rPr>
      <t xml:space="preserve"> </t>
    </r>
  </si>
  <si>
    <r>
      <t>Emissões de CH</t>
    </r>
    <r>
      <rPr>
        <b/>
        <vertAlign val="subscript"/>
        <sz val="12"/>
        <color theme="0"/>
        <rFont val="Corbel"/>
        <family val="2"/>
        <scheme val="minor"/>
      </rPr>
      <t>4</t>
    </r>
    <r>
      <rPr>
        <b/>
        <sz val="12"/>
        <color theme="0"/>
        <rFont val="Corbel"/>
        <family val="2"/>
        <scheme val="minor"/>
      </rPr>
      <t xml:space="preserve"> </t>
    </r>
  </si>
  <si>
    <r>
      <t>Emissões de N</t>
    </r>
    <r>
      <rPr>
        <b/>
        <vertAlign val="subscript"/>
        <sz val="12"/>
        <color theme="0"/>
        <rFont val="Corbel"/>
        <family val="2"/>
        <scheme val="minor"/>
      </rPr>
      <t>2</t>
    </r>
    <r>
      <rPr>
        <b/>
        <sz val="12"/>
        <color theme="0"/>
        <rFont val="Corbel"/>
        <family val="2"/>
        <scheme val="minor"/>
      </rPr>
      <t>O</t>
    </r>
  </si>
  <si>
    <r>
      <t>Emissões em CO</t>
    </r>
    <r>
      <rPr>
        <b/>
        <vertAlign val="subscript"/>
        <sz val="12"/>
        <color theme="0"/>
        <rFont val="Corbel"/>
        <family val="2"/>
        <scheme val="minor"/>
      </rPr>
      <t>2</t>
    </r>
    <r>
      <rPr>
        <b/>
        <sz val="12"/>
        <color theme="0"/>
        <rFont val="Corbel"/>
        <family val="2"/>
        <scheme val="minor"/>
      </rPr>
      <t>e</t>
    </r>
  </si>
  <si>
    <r>
      <t>CO</t>
    </r>
    <r>
      <rPr>
        <b/>
        <vertAlign val="subscript"/>
        <sz val="12"/>
        <color theme="0"/>
        <rFont val="Corbel"/>
        <family val="2"/>
        <scheme val="minor"/>
      </rPr>
      <t>2</t>
    </r>
    <r>
      <rPr>
        <b/>
        <sz val="12"/>
        <color theme="0"/>
        <rFont val="Corbel"/>
        <family val="2"/>
        <scheme val="minor"/>
      </rPr>
      <t xml:space="preserve">  (kg/un)</t>
    </r>
  </si>
  <si>
    <r>
      <t>CH</t>
    </r>
    <r>
      <rPr>
        <b/>
        <vertAlign val="subscript"/>
        <sz val="12"/>
        <color theme="0"/>
        <rFont val="Corbel"/>
        <family val="2"/>
        <scheme val="minor"/>
      </rPr>
      <t>4</t>
    </r>
    <r>
      <rPr>
        <b/>
        <sz val="12"/>
        <color theme="0"/>
        <rFont val="Corbel"/>
        <family val="2"/>
        <scheme val="minor"/>
      </rPr>
      <t xml:space="preserve"> (kg/un)</t>
    </r>
  </si>
  <si>
    <r>
      <t>N</t>
    </r>
    <r>
      <rPr>
        <b/>
        <vertAlign val="subscript"/>
        <sz val="12"/>
        <color theme="0"/>
        <rFont val="Corbel"/>
        <family val="2"/>
        <scheme val="minor"/>
      </rPr>
      <t>2</t>
    </r>
    <r>
      <rPr>
        <b/>
        <sz val="12"/>
        <color theme="0"/>
        <rFont val="Corbel"/>
        <family val="2"/>
        <scheme val="minor"/>
      </rPr>
      <t>O (kg/un)</t>
    </r>
  </si>
  <si>
    <t>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t>
  </si>
  <si>
    <t>Definições dos combustíveis</t>
  </si>
  <si>
    <t>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t>
  </si>
  <si>
    <t>Hulha betuminosa com uma qualidade que permite a produção de um coque susceptível de utilização em altos-fornos. O seu poder calorífico superior ultrapassa 23 865 kJ/kg (5700 kcal/kg), medido sem cinzas, mas com humidade.</t>
  </si>
  <si>
    <t>Total de outras emissões de processo</t>
  </si>
  <si>
    <t>kgCO2e / kg estrume</t>
  </si>
  <si>
    <t>kg CO2e / cabeças de animais/ano</t>
  </si>
  <si>
    <t>kg CO2e / cabeças de animais / ano</t>
  </si>
  <si>
    <t>kg CO2e / m2 de área / ano</t>
  </si>
  <si>
    <t>kg CO2e / kg de biomassa queimada / ano</t>
  </si>
  <si>
    <t>kg CO2e / kg de cal usada nos solos/ano</t>
  </si>
  <si>
    <t>kg CO2e / kg de ureia usada nos solos/ano</t>
  </si>
  <si>
    <t>kg CO2e / kg de fertilizante azotado, composto ou estrume / ano</t>
  </si>
  <si>
    <t>kg CO2e / m2 de solo lavrado /ano</t>
  </si>
  <si>
    <t>kg CO2e / m2 de área inundada</t>
  </si>
  <si>
    <t>kg CO2e / m2 de área alterada / ano</t>
  </si>
  <si>
    <t>kg CO2e / m2 de área de sequestro /ano</t>
  </si>
  <si>
    <t>kg CO2e / cabeças de animais</t>
  </si>
  <si>
    <t xml:space="preserve">kg CO2e / cabeças de animais </t>
  </si>
  <si>
    <t xml:space="preserve">kg CO2e / m2 de área </t>
  </si>
  <si>
    <t>kg CO2e / kg de biomassa queimada</t>
  </si>
  <si>
    <t>kg CO2e / kg de cal usada nos solos</t>
  </si>
  <si>
    <t>kg CO2e / kg de ureia usada nos solos</t>
  </si>
  <si>
    <t xml:space="preserve">kg CO2e / kg de fertilizante azotado, composto ou estrume </t>
  </si>
  <si>
    <t xml:space="preserve">kg CO2e / m2 de solo lavrado </t>
  </si>
  <si>
    <t xml:space="preserve">kg CO2e / m2 de área alterada </t>
  </si>
  <si>
    <t xml:space="preserve">kg CO2e / m2 de área de sequestro </t>
  </si>
  <si>
    <r>
      <t>Fator de emissão eletricidade médio anual (tCO</t>
    </r>
    <r>
      <rPr>
        <b/>
        <vertAlign val="subscript"/>
        <sz val="12"/>
        <rFont val="Corbel"/>
        <family val="2"/>
        <scheme val="minor"/>
      </rPr>
      <t>2</t>
    </r>
    <r>
      <rPr>
        <b/>
        <sz val="12"/>
        <rFont val="Corbel"/>
        <family val="2"/>
        <scheme val="minor"/>
      </rPr>
      <t>e/MWh)</t>
    </r>
  </si>
  <si>
    <r>
      <t>Emissões médias evitadas por ano (tCO</t>
    </r>
    <r>
      <rPr>
        <b/>
        <vertAlign val="subscript"/>
        <sz val="12"/>
        <rFont val="Corbel"/>
        <family val="2"/>
        <scheme val="minor"/>
      </rPr>
      <t>2</t>
    </r>
    <r>
      <rPr>
        <b/>
        <sz val="12"/>
        <rFont val="Corbel"/>
        <family val="2"/>
        <scheme val="minor"/>
      </rPr>
      <t>e/ano)</t>
    </r>
  </si>
  <si>
    <r>
      <t>Emissões de GEE evitadas no primeiro ano (tCO</t>
    </r>
    <r>
      <rPr>
        <b/>
        <vertAlign val="subscript"/>
        <sz val="12"/>
        <rFont val="Corbel"/>
        <family val="2"/>
        <scheme val="minor"/>
      </rPr>
      <t>2</t>
    </r>
    <r>
      <rPr>
        <b/>
        <sz val="12"/>
        <rFont val="Corbel"/>
        <family val="2"/>
        <scheme val="minor"/>
      </rPr>
      <t>e)</t>
    </r>
  </si>
  <si>
    <t xml:space="preserve">(D) Dependendo do tipo de bem que selecionou, poderá ter de preencher a coluna C. Se a coluna C. ficar azul, deverá especificar o Bem em questão. </t>
  </si>
  <si>
    <t xml:space="preserve">Esta secção da ferramenta inclui a emissão de GEE associadas ao produto produzido quando este deixa o projeto. Inclui as emissões de tratamentos e acabamentos dados ao produto (efetuados por terceiros), quando este é um produto secundário (ex.: uma peça); as emissões do uso do produto, quando a sua utilização envolve emissões de GEE, como veículos e eletrodomésticos; e emissões dos tratamentos e fim de vida do produto, quer sejam reciclagem, incineração, compostagem, deposição em aterro. Para o transporte e distribuição do produto, deverá reportar estes na folha "Combustão Móvel", sob a categoria "transporte a jusante". </t>
  </si>
  <si>
    <r>
      <t>(kgCO</t>
    </r>
    <r>
      <rPr>
        <b/>
        <vertAlign val="subscript"/>
        <sz val="12"/>
        <rFont val="Corbel"/>
        <family val="2"/>
        <scheme val="minor"/>
      </rPr>
      <t>2</t>
    </r>
    <r>
      <rPr>
        <b/>
        <sz val="12"/>
        <rFont val="Corbel"/>
        <family val="2"/>
        <scheme val="minor"/>
      </rPr>
      <t>e / unidade)</t>
    </r>
  </si>
  <si>
    <t>Fator de emissão de GEE fóssil da combustão</t>
  </si>
  <si>
    <r>
      <t>A gasolina para motores é constituída por uma mistura de hidrocarbonetos leves que destilam entre 35</t>
    </r>
    <r>
      <rPr>
        <vertAlign val="superscript"/>
        <sz val="12"/>
        <rFont val="Corbel"/>
        <family val="2"/>
        <scheme val="minor"/>
      </rPr>
      <t>o</t>
    </r>
    <r>
      <rPr>
        <sz val="12"/>
        <rFont val="Corbel"/>
        <family val="2"/>
        <scheme val="minor"/>
      </rPr>
      <t>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t>
    </r>
  </si>
  <si>
    <r>
      <t>Hidrocarboneto (C</t>
    </r>
    <r>
      <rPr>
        <vertAlign val="subscript"/>
        <sz val="12"/>
        <rFont val="Corbel"/>
        <family val="2"/>
        <scheme val="minor"/>
      </rPr>
      <t>2</t>
    </r>
    <r>
      <rPr>
        <sz val="12"/>
        <rFont val="Corbel"/>
        <family val="2"/>
        <scheme val="minor"/>
      </rPr>
      <t>H</t>
    </r>
    <r>
      <rPr>
        <vertAlign val="subscript"/>
        <sz val="12"/>
        <rFont val="Corbel"/>
        <family val="2"/>
        <scheme val="minor"/>
      </rPr>
      <t>6</t>
    </r>
    <r>
      <rPr>
        <sz val="12"/>
        <rFont val="Corbel"/>
        <family val="2"/>
        <scheme val="minor"/>
      </rPr>
      <t>) de cadeia linear, gasosos no estado natural, extraído do gás natural e dos gases de refinaria.</t>
    </r>
  </si>
  <si>
    <r>
      <t>Hidrocarbonetos parafínicos claros obtidos dos processos de refinação e nas instalações de estabilização do petróleo bruto e de transformação de gás natural. São constituídos principalmente por propano (C</t>
    </r>
    <r>
      <rPr>
        <vertAlign val="subscript"/>
        <sz val="12"/>
        <rFont val="Corbel"/>
        <family val="2"/>
        <scheme val="minor"/>
      </rPr>
      <t>3</t>
    </r>
    <r>
      <rPr>
        <sz val="12"/>
        <rFont val="Corbel"/>
        <family val="2"/>
        <scheme val="minor"/>
      </rPr>
      <t>H</t>
    </r>
    <r>
      <rPr>
        <vertAlign val="subscript"/>
        <sz val="12"/>
        <rFont val="Corbel"/>
        <family val="2"/>
        <scheme val="minor"/>
      </rPr>
      <t>8</t>
    </r>
    <r>
      <rPr>
        <sz val="12"/>
        <rFont val="Corbel"/>
        <family val="2"/>
        <scheme val="minor"/>
      </rPr>
      <t>) e butano (C</t>
    </r>
    <r>
      <rPr>
        <vertAlign val="subscript"/>
        <sz val="12"/>
        <rFont val="Corbel"/>
        <family val="2"/>
        <scheme val="minor"/>
      </rPr>
      <t>4</t>
    </r>
    <r>
      <rPr>
        <sz val="12"/>
        <rFont val="Corbel"/>
        <family val="2"/>
        <scheme val="minor"/>
      </rPr>
      <t>H</t>
    </r>
    <r>
      <rPr>
        <vertAlign val="subscript"/>
        <sz val="12"/>
        <rFont val="Corbel"/>
        <family val="2"/>
        <scheme val="minor"/>
      </rPr>
      <t>10</t>
    </r>
    <r>
      <rPr>
        <sz val="12"/>
        <rFont val="Corbel"/>
        <family val="2"/>
        <scheme val="minor"/>
      </rPr>
      <t>) ou por uma combinação dos dois. Podem igualmente incluir propileno, butileno, isopropileno e isobutileno. Os GPL são normalmente liquefeitos sob pressão para o transporte e a armazenagem.</t>
    </r>
  </si>
  <si>
    <r>
      <t>Destilado utilizado para unidades de turbinas de aviação. Tem as mesmas características de destilação, entre 150</t>
    </r>
    <r>
      <rPr>
        <vertAlign val="superscript"/>
        <sz val="12"/>
        <rFont val="Corbel"/>
        <family val="2"/>
        <scheme val="minor"/>
      </rPr>
      <t>o</t>
    </r>
    <r>
      <rPr>
        <sz val="12"/>
        <rFont val="Corbel"/>
        <family val="2"/>
        <scheme val="minor"/>
      </rPr>
      <t>C e 300</t>
    </r>
    <r>
      <rPr>
        <vertAlign val="superscript"/>
        <sz val="12"/>
        <rFont val="Corbel"/>
        <family val="2"/>
        <scheme val="minor"/>
      </rPr>
      <t>o</t>
    </r>
    <r>
      <rPr>
        <sz val="12"/>
        <rFont val="Corbel"/>
        <family val="2"/>
        <scheme val="minor"/>
      </rPr>
      <t>C (em geral, não acima de 250</t>
    </r>
    <r>
      <rPr>
        <vertAlign val="superscript"/>
        <sz val="12"/>
        <rFont val="Corbel"/>
        <family val="2"/>
        <scheme val="minor"/>
      </rPr>
      <t>o</t>
    </r>
    <r>
      <rPr>
        <sz val="12"/>
        <rFont val="Corbel"/>
        <family val="2"/>
        <scheme val="minor"/>
      </rPr>
      <t>C), e o mesmo ponto de inflamação que o querosene. Além disso, tem especificações particulares (como o ponto de congelação) que são estabelecidas pela Associação Internacional do Transporte Aéreo (IATA). Inclui os compostos para mistura com o querosene.</t>
    </r>
  </si>
  <si>
    <t>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t>
  </si>
  <si>
    <r>
      <t>A nafta é uma matéria-prima destinada à indústria petroquímica (por exemplo, fabricação de etileno ou produção de compostos aromáticos) ou à produção de gasolina por reforma ou isomerização na refinaria. A nafta inclui o material que destila entre 30</t>
    </r>
    <r>
      <rPr>
        <vertAlign val="superscript"/>
        <sz val="12"/>
        <rFont val="Corbel"/>
        <family val="2"/>
        <scheme val="minor"/>
      </rPr>
      <t>o</t>
    </r>
    <r>
      <rPr>
        <sz val="12"/>
        <rFont val="Corbel"/>
        <family val="2"/>
        <scheme val="minor"/>
      </rPr>
      <t>C e 210</t>
    </r>
    <r>
      <rPr>
        <vertAlign val="superscript"/>
        <sz val="12"/>
        <rFont val="Corbel"/>
        <family val="2"/>
        <scheme val="minor"/>
      </rPr>
      <t>o</t>
    </r>
    <r>
      <rPr>
        <sz val="12"/>
        <rFont val="Corbel"/>
        <family val="2"/>
        <scheme val="minor"/>
      </rPr>
      <t>C ou parte desta faixa.</t>
    </r>
  </si>
  <si>
    <t>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t>
  </si>
  <si>
    <t>Data de conclusão</t>
  </si>
  <si>
    <t xml:space="preserve">Anos em funcionamento </t>
  </si>
  <si>
    <t xml:space="preserve">Reporte aqui as emissões evitadas relacionadas com outros projetos. Esta é apenas uma secção de reporte, o que significa que os valores a introduzir terão de ser calculados fora da calculadora. Para mais informações sobre como estimar estas emissões, recomenda-se a leitura do GHG Protocol Project Protocol, que se encontra no sítio: https://ghgprotocol.org/project-protocol </t>
  </si>
  <si>
    <t>(C) Identifique o projeto dando uma designação e uma breve descrição, incluindo o número de anos de funcionamento do projeto. Se não souber, considere o mesmo indicado da fase de exploração ou então, 30 anos. Este valor deverá ser usado nos cálculos de emissões do contrafactual e emissões evitadas.</t>
  </si>
  <si>
    <t>(D) Defina o contrafactual que irá considerar para as contas. O contrafactual representa o cenário, ao longo do tempo, que existiria se não existisse o projeto. Para mais informações, recomenda-se a leitura do GHG Protocol Project Protocol (https://ghgprotocol.org/sites/default/files/standards/ghg_project_accounting.pdf), nomeadamente dos capítulos 5, 6 e 7.</t>
  </si>
  <si>
    <r>
      <t>(E) Indique as emissões acumuladas do contrafactual, ou seja, do cenário ao longo tdo tempo sem projeto, dividas pelo número de anos do projeto, em tCO</t>
    </r>
    <r>
      <rPr>
        <vertAlign val="subscript"/>
        <sz val="12"/>
        <rFont val="Corbel"/>
        <family val="2"/>
        <scheme val="minor"/>
      </rPr>
      <t>2</t>
    </r>
    <r>
      <rPr>
        <sz val="12"/>
        <rFont val="Corbel"/>
        <family val="2"/>
        <scheme val="minor"/>
      </rPr>
      <t xml:space="preserve">e. Descreva os métodos, pressupostos e fontes para esta estimativa. Recomenda-se a abordagem do GHG Protocol Project Protocol (https://ghgprotocol.org/sites/default/files/standards/ghg_project_accounting.pdf), nomeadamente do capítulo 8. </t>
    </r>
  </si>
  <si>
    <t>(F) Descreva a fronteira de análise - indique as atividades incluídas e os efeitos a considerar na avaliação. Para mais informações recomenda-se a leitura dos capítulos 5, 6, 7 e 8 do GHG Protocol Project Protocol em https://ghgprotocol.org/sites/default/files/standards/ghg_project_accounting.pdf )</t>
  </si>
  <si>
    <r>
      <t>(G) Indique as emissões acumuladas evitadas com o projeto em tCO</t>
    </r>
    <r>
      <rPr>
        <vertAlign val="subscript"/>
        <sz val="12"/>
        <rFont val="Corbel"/>
        <family val="2"/>
        <scheme val="minor"/>
      </rPr>
      <t>2</t>
    </r>
    <r>
      <rPr>
        <sz val="12"/>
        <rFont val="Corbel"/>
        <family val="2"/>
        <scheme val="minor"/>
      </rPr>
      <t xml:space="preserve">e/projeto, no período de tempo definido em “breve descrição do contrafactual”, deve ter em conta as emissões do contrafactual e do cenário com projeto. </t>
    </r>
  </si>
  <si>
    <t xml:space="preserve">(G) Quando a ferramenta não apresenta um valor, terá de ser o próprio utilizador a introduzir um valor de emissão associado ao Bem a adquirir. Pode obter este valor junto do seu futuro fornecedor, em estudos técnicos ou bases de dados de pegada de carbono e análises de ciclo de vida de produtos. </t>
  </si>
  <si>
    <t>Emissões do processo de tratamento do produto (efetuado por terceiros)</t>
  </si>
  <si>
    <t xml:space="preserve">(E) De seguida, indique a produção média anual do produto e o tempo de vida do produto (em anos). O tempo de vida deve ser arredondado para cima, ou seja, se for inferior a um ano, deve indicar 1, se inferior a dois anos, deve indicar 2, etc. </t>
  </si>
  <si>
    <t>Secção 7 - Potencial de Aquecimento Global (PAG) dos Gases com Efeito Estufa</t>
  </si>
  <si>
    <t>Unidade do produto</t>
  </si>
  <si>
    <t>Carbonatos consumidos</t>
  </si>
  <si>
    <t>Emissões de GEE fósseis anuais</t>
  </si>
  <si>
    <r>
      <t>Fator de emissão  (kg CO</t>
    </r>
    <r>
      <rPr>
        <b/>
        <vertAlign val="subscript"/>
        <sz val="12"/>
        <color theme="1"/>
        <rFont val="Corbel"/>
        <family val="2"/>
        <scheme val="minor"/>
      </rPr>
      <t>2</t>
    </r>
    <r>
      <rPr>
        <b/>
        <sz val="12"/>
        <color theme="1"/>
        <rFont val="Corbel"/>
        <family val="2"/>
        <scheme val="minor"/>
      </rPr>
      <t>e/unidade) (1)</t>
    </r>
  </si>
  <si>
    <r>
      <t xml:space="preserve">(AR5) PAG </t>
    </r>
    <r>
      <rPr>
        <b/>
        <vertAlign val="subscript"/>
        <sz val="12"/>
        <color theme="0" tint="-4.9989318521683403E-2"/>
        <rFont val="Corbel"/>
        <family val="2"/>
        <scheme val="minor"/>
      </rPr>
      <t>100 anos</t>
    </r>
  </si>
  <si>
    <r>
      <t>t CO</t>
    </r>
    <r>
      <rPr>
        <b/>
        <vertAlign val="subscript"/>
        <sz val="12"/>
        <color theme="0"/>
        <rFont val="Corbel"/>
        <family val="2"/>
        <scheme val="minor"/>
      </rPr>
      <t>2e</t>
    </r>
    <r>
      <rPr>
        <b/>
        <sz val="12"/>
        <color theme="0"/>
        <rFont val="Corbel"/>
        <family val="2"/>
        <scheme val="minor"/>
      </rPr>
      <t>/ha</t>
    </r>
  </si>
  <si>
    <r>
      <t>Tabela 13 - Toneladas de CO</t>
    </r>
    <r>
      <rPr>
        <vertAlign val="subscript"/>
        <sz val="12"/>
        <rFont val="Corbel"/>
        <family val="2"/>
        <scheme val="minor"/>
      </rPr>
      <t>2</t>
    </r>
    <r>
      <rPr>
        <sz val="12"/>
        <rFont val="Corbel"/>
        <family val="2"/>
        <scheme val="minor"/>
      </rPr>
      <t xml:space="preserve">e armazenadas em florestas domindas por uma espécie de árvore, Portugal, 2021 </t>
    </r>
  </si>
  <si>
    <t>Eucalipto</t>
  </si>
  <si>
    <r>
      <t>Indique o fator de</t>
    </r>
    <r>
      <rPr>
        <b/>
        <u/>
        <sz val="12"/>
        <rFont val="Corbel"/>
        <family val="2"/>
        <scheme val="minor"/>
      </rPr>
      <t xml:space="preserve"> sequestro</t>
    </r>
    <r>
      <rPr>
        <b/>
        <sz val="12"/>
        <rFont val="Corbel"/>
        <family val="2"/>
        <scheme val="minor"/>
      </rPr>
      <t xml:space="preserve"> ou de </t>
    </r>
    <r>
      <rPr>
        <b/>
        <u/>
        <sz val="12"/>
        <rFont val="Corbel"/>
        <family val="2"/>
        <scheme val="minor"/>
      </rPr>
      <t>emissão</t>
    </r>
    <r>
      <rPr>
        <b/>
        <sz val="12"/>
        <rFont val="Corbel"/>
        <family val="2"/>
        <scheme val="minor"/>
      </rPr>
      <t xml:space="preserve"> correspondente (tCO</t>
    </r>
    <r>
      <rPr>
        <b/>
        <vertAlign val="subscript"/>
        <sz val="12"/>
        <rFont val="Corbel"/>
        <family val="2"/>
        <scheme val="minor"/>
      </rPr>
      <t>2</t>
    </r>
    <r>
      <rPr>
        <b/>
        <sz val="12"/>
        <rFont val="Corbel"/>
        <family val="2"/>
        <scheme val="minor"/>
      </rPr>
      <t>e/ha.ano)</t>
    </r>
  </si>
  <si>
    <t>Carbono armazenado por área (NIR 2023)</t>
  </si>
  <si>
    <t>Determinação de ganhos em carbono por área por ano</t>
  </si>
  <si>
    <t>Categorias de projetos ou infraestruturas</t>
  </si>
  <si>
    <t xml:space="preserve">Lista de verificação preliminar </t>
  </si>
  <si>
    <t>Serviços de telecomunicações</t>
  </si>
  <si>
    <t>Categorias de projetos</t>
  </si>
  <si>
    <t xml:space="preserve">Redes de abastecimento de água potável </t>
  </si>
  <si>
    <t xml:space="preserve">Redes de recolha de águas pluviais e residuais </t>
  </si>
  <si>
    <t xml:space="preserve">Empreendimentos imobiliários, incluindo, entre outros, parques de estacionamento vigiados e seguros e postos de controlo nas fronteiras externas. </t>
  </si>
  <si>
    <t>n</t>
  </si>
  <si>
    <t>S/N</t>
  </si>
  <si>
    <t>Estações de tratamento de águas residuais industriais e estações de tratamento de águas residuais municipais de pequena dimensão</t>
  </si>
  <si>
    <t xml:space="preserve">Não é exigida uma avaliação da pegada de carbono </t>
  </si>
  <si>
    <t>s</t>
  </si>
  <si>
    <t>É exigida uma avaliação da pegada de carbono para estas categorias de projetos.  As infraestruturas não elegíveis para financiamento devem ser excluídas.</t>
  </si>
  <si>
    <t xml:space="preserve">Aterros municipais para resíduos sólidos </t>
  </si>
  <si>
    <t xml:space="preserve">Instalações municipais de incineração de resíduos </t>
  </si>
  <si>
    <t xml:space="preserve">Grandes estações de tratamento de águas residuais </t>
  </si>
  <si>
    <t xml:space="preserve">Indústrias transformadoras </t>
  </si>
  <si>
    <t xml:space="preserve">Produtos químicos e refinação </t>
  </si>
  <si>
    <t xml:space="preserve">Mineração e metais de base </t>
  </si>
  <si>
    <t xml:space="preserve">Pasta de papel e papel </t>
  </si>
  <si>
    <t xml:space="preserve">Compra de material circulante, navios, frotas de transporte </t>
  </si>
  <si>
    <t xml:space="preserve">Infraestrutura rodoviária e ferroviária, transporte urbano. As medidas que visam a segurança rodoviária e a redução do ruído do transporte ferroviário de mercadorias podem ser isentas. </t>
  </si>
  <si>
    <t xml:space="preserve">Portos e plataformas logísticas </t>
  </si>
  <si>
    <t xml:space="preserve">Linhas de transmissão de eletricidade </t>
  </si>
  <si>
    <t xml:space="preserve">Fontes renováveis de energia </t>
  </si>
  <si>
    <t>Produção, transformação, armazenamento e transporte de combustível</t>
  </si>
  <si>
    <t xml:space="preserve">Produção de cimento e cal </t>
  </si>
  <si>
    <t xml:space="preserve">Produção de vidro </t>
  </si>
  <si>
    <t xml:space="preserve">Centrais de geração de calor e eletricidade </t>
  </si>
  <si>
    <t xml:space="preserve">Redes de aquecimento urbano </t>
  </si>
  <si>
    <t xml:space="preserve">Instalações de liquefação e regaseificação de gás natural </t>
  </si>
  <si>
    <t xml:space="preserve">Infraestrutura de transporte de gás </t>
  </si>
  <si>
    <t>Qualquer outra categoria de projeto de infraestrutura ou escala de projeto cujas emissões absolutas e/ou relativas possam exceder 20 000 toneladas de CO2e/ /ano (positivas ou negativas)</t>
  </si>
  <si>
    <t>Ferramenta de transportes</t>
  </si>
  <si>
    <t>Aplica-se ao seu caso?</t>
  </si>
  <si>
    <t>Pode fechar esta ferramenta</t>
  </si>
  <si>
    <r>
      <t xml:space="preserve">(A) Responda às questões da coluna </t>
    </r>
    <r>
      <rPr>
        <i/>
        <u/>
        <sz val="14"/>
        <rFont val="Corbel"/>
        <family val="2"/>
        <scheme val="minor"/>
      </rPr>
      <t>Questão</t>
    </r>
    <r>
      <rPr>
        <sz val="14"/>
        <rFont val="Corbel"/>
        <family val="2"/>
        <scheme val="minor"/>
      </rPr>
      <t xml:space="preserve"> na coluna </t>
    </r>
    <r>
      <rPr>
        <i/>
        <u/>
        <sz val="14"/>
        <rFont val="Corbel"/>
        <family val="2"/>
        <scheme val="minor"/>
      </rPr>
      <t>Resposta</t>
    </r>
    <r>
      <rPr>
        <sz val="14"/>
        <rFont val="Corbel"/>
        <family val="2"/>
        <scheme val="minor"/>
      </rPr>
      <t>, selecionado "Sim" caso se aplique ao projeto ou "Não", caso não se aplique ao projeto. Na resposta, tenha em conta:</t>
    </r>
  </si>
  <si>
    <t>1) as perguntas referem-se à operação da infraestrutura (e não a sua construção ou desmantelamento)</t>
  </si>
  <si>
    <r>
      <t xml:space="preserve">3) </t>
    </r>
    <r>
      <rPr>
        <u/>
        <sz val="14"/>
        <rFont val="Corbel"/>
        <family val="2"/>
        <scheme val="minor"/>
      </rPr>
      <t>Fora da infraestrutura</t>
    </r>
    <r>
      <rPr>
        <sz val="14"/>
        <rFont val="Corbel"/>
        <family val="2"/>
        <scheme val="minor"/>
      </rPr>
      <t xml:space="preserve"> apenas se se referirem a uma instalação 100% dedicada ao projeto</t>
    </r>
  </si>
  <si>
    <r>
      <t xml:space="preserve">2) Dizem respeito a </t>
    </r>
    <r>
      <rPr>
        <u/>
        <sz val="14"/>
        <rFont val="Corbel"/>
        <family val="2"/>
        <scheme val="minor"/>
      </rPr>
      <t>atividades fisicamente incluídas na infraestrutura</t>
    </r>
    <r>
      <rPr>
        <sz val="14"/>
        <rFont val="Corbel"/>
        <family val="2"/>
        <scheme val="minor"/>
      </rPr>
      <t xml:space="preserve"> ou</t>
    </r>
  </si>
  <si>
    <t>Diretrizes do IPCC de 2006 para osInvestários Nacionais de Gases com Efeito de Estufa. Valores multiplicados por 0,995 para contabilizar o carbono não oxidado.</t>
  </si>
  <si>
    <t>Diretrizes do IPCC de 2006 para osInvestários Nacionais de Gases com Efeito de Estufa. Valores multiplicados por 0,99 para contabilizar o carbono não oxidado.</t>
  </si>
  <si>
    <t>Residual Fuel Oil / HFO</t>
  </si>
  <si>
    <t>Diretrizes do IPCC de 2006 para osInvestários Nacionais de Gases com Efeito de Estufa. Valores multiplicados por 0,98 para contabilizar o carbono não oxidado.</t>
  </si>
  <si>
    <t>Sem informação</t>
  </si>
  <si>
    <t>Outros biocombustíveis gasosos</t>
  </si>
  <si>
    <t>Other gaseous biofuels</t>
  </si>
  <si>
    <t>TJ</t>
  </si>
  <si>
    <t xml:space="preserve">Diretrizes do IPCC de 2006 para biocombustíveis gasosos </t>
  </si>
  <si>
    <t>Diretrizes do IPCC de 2006 para biocombustíveis líquidos</t>
  </si>
  <si>
    <t>Biocombustíveis</t>
  </si>
  <si>
    <t>Combustíveis Fósseis</t>
  </si>
  <si>
    <t>Fatores de Emissão CO2</t>
  </si>
  <si>
    <t>Diretrizes do IPCC de 2006 para biocombustíveis sólidos</t>
  </si>
  <si>
    <t>Combsutão Estacionária</t>
  </si>
  <si>
    <t>Localizada fisicamente na infraestrutura</t>
  </si>
  <si>
    <t>Diretrizes do IPCC de 2006 para resíduos municipais</t>
  </si>
  <si>
    <t>Desconhecido</t>
  </si>
  <si>
    <t>Unkown</t>
  </si>
  <si>
    <t>Diretrizes do IPCC de 2006 para biocombustíveis desconhecidos</t>
  </si>
  <si>
    <t>Biodiesel e Biogasolina</t>
  </si>
  <si>
    <r>
      <rPr>
        <u/>
        <sz val="12"/>
        <rFont val="Corbel"/>
        <family val="2"/>
        <scheme val="minor"/>
      </rPr>
      <t>Biodiesel</t>
    </r>
    <r>
      <rPr>
        <sz val="12"/>
        <rFont val="Corbel"/>
        <family val="2"/>
        <scheme val="minor"/>
      </rPr>
      <t xml:space="preserve"> é um éster metílico produzido a partir de óleo vegetal ou animal, com qualidade de gasóleo.. A </t>
    </r>
    <r>
      <rPr>
        <u/>
        <sz val="12"/>
        <rFont val="Corbel"/>
        <family val="2"/>
        <scheme val="minor"/>
      </rPr>
      <t>biogasolina</t>
    </r>
    <r>
      <rPr>
        <sz val="12"/>
        <rFont val="Corbel"/>
        <family val="2"/>
        <scheme val="minor"/>
      </rPr>
      <t xml:space="preserve">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t>
    </r>
  </si>
  <si>
    <t>CO2e (t CO2e/unid) excluindo CO2 - por setor de atividade</t>
  </si>
  <si>
    <r>
      <t>Emissões médias anuais diretas de GEE (tCO</t>
    </r>
    <r>
      <rPr>
        <b/>
        <vertAlign val="subscript"/>
        <sz val="12"/>
        <color theme="0"/>
        <rFont val="Corbel"/>
        <family val="2"/>
        <scheme val="minor"/>
      </rPr>
      <t>2</t>
    </r>
    <r>
      <rPr>
        <b/>
        <sz val="12"/>
        <color theme="0"/>
        <rFont val="Corbel"/>
        <family val="2"/>
        <scheme val="minor"/>
      </rPr>
      <t>e/ano) - Âmbito 1/Scope 1</t>
    </r>
  </si>
  <si>
    <r>
      <t>Emissões médias anuais diretas de GEE (tCO</t>
    </r>
    <r>
      <rPr>
        <b/>
        <vertAlign val="subscript"/>
        <sz val="12"/>
        <color theme="0"/>
        <rFont val="Corbel"/>
        <family val="2"/>
        <scheme val="minor"/>
      </rPr>
      <t>2</t>
    </r>
    <r>
      <rPr>
        <b/>
        <sz val="12"/>
        <color theme="0"/>
        <rFont val="Corbel"/>
        <family val="2"/>
        <scheme val="minor"/>
      </rPr>
      <t>e/ano) - Âmbito 1/ Scope 1</t>
    </r>
  </si>
  <si>
    <r>
      <t>Emissões médias anuais indiretas de GEE (tCO</t>
    </r>
    <r>
      <rPr>
        <b/>
        <vertAlign val="subscript"/>
        <sz val="12"/>
        <color theme="0"/>
        <rFont val="Corbel"/>
        <family val="2"/>
        <scheme val="minor"/>
      </rPr>
      <t>2</t>
    </r>
    <r>
      <rPr>
        <b/>
        <sz val="12"/>
        <color theme="0"/>
        <rFont val="Corbel"/>
        <family val="2"/>
        <scheme val="minor"/>
      </rPr>
      <t>e/ano) - Âmbito 3/ Scope 3</t>
    </r>
  </si>
  <si>
    <r>
      <t>Emissões médias anuais indiretas de GEE (tCO</t>
    </r>
    <r>
      <rPr>
        <b/>
        <vertAlign val="subscript"/>
        <sz val="12"/>
        <color theme="0"/>
        <rFont val="Corbel"/>
        <family val="2"/>
        <scheme val="minor"/>
      </rPr>
      <t>2</t>
    </r>
    <r>
      <rPr>
        <b/>
        <sz val="12"/>
        <color theme="0"/>
        <rFont val="Corbel"/>
        <family val="2"/>
        <scheme val="minor"/>
      </rPr>
      <t>e/ano) - Âmbito 3/Scope 3</t>
    </r>
  </si>
  <si>
    <r>
      <t>Fator de emissão de CH</t>
    </r>
    <r>
      <rPr>
        <b/>
        <vertAlign val="subscript"/>
        <sz val="12"/>
        <rFont val="Corbel"/>
        <family val="2"/>
        <scheme val="minor"/>
      </rPr>
      <t>4</t>
    </r>
    <r>
      <rPr>
        <b/>
        <sz val="12"/>
        <rFont val="Corbel"/>
        <family val="2"/>
        <scheme val="minor"/>
      </rPr>
      <t xml:space="preserve"> e N</t>
    </r>
    <r>
      <rPr>
        <b/>
        <vertAlign val="subscript"/>
        <sz val="12"/>
        <rFont val="Corbel"/>
        <family val="2"/>
        <scheme val="minor"/>
      </rPr>
      <t>2</t>
    </r>
    <r>
      <rPr>
        <b/>
        <sz val="12"/>
        <rFont val="Corbel"/>
        <family val="2"/>
        <scheme val="minor"/>
      </rPr>
      <t>O  da combustão</t>
    </r>
  </si>
  <si>
    <r>
      <t>Fator de emissão de CO</t>
    </r>
    <r>
      <rPr>
        <b/>
        <vertAlign val="subscript"/>
        <sz val="12"/>
        <rFont val="Corbel"/>
        <family val="2"/>
        <scheme val="minor"/>
      </rPr>
      <t>2</t>
    </r>
    <r>
      <rPr>
        <b/>
        <sz val="12"/>
        <rFont val="Corbel"/>
        <family val="2"/>
        <scheme val="minor"/>
      </rPr>
      <t xml:space="preserve"> biogénico da combustão</t>
    </r>
  </si>
  <si>
    <r>
      <t>(kg CO</t>
    </r>
    <r>
      <rPr>
        <b/>
        <vertAlign val="subscript"/>
        <sz val="12"/>
        <color theme="1"/>
        <rFont val="Corbel"/>
        <family val="2"/>
        <scheme val="minor"/>
      </rPr>
      <t>2</t>
    </r>
    <r>
      <rPr>
        <b/>
        <sz val="12"/>
        <color theme="1"/>
        <rFont val="Corbel"/>
        <family val="2"/>
        <scheme val="minor"/>
      </rPr>
      <t>e / unid)</t>
    </r>
  </si>
  <si>
    <t>Fator de emissão da produção de combustível (a)</t>
  </si>
  <si>
    <r>
      <t>Emissões de CH</t>
    </r>
    <r>
      <rPr>
        <b/>
        <vertAlign val="subscript"/>
        <sz val="12"/>
        <rFont val="Corbel"/>
        <family val="2"/>
        <scheme val="minor"/>
      </rPr>
      <t>4</t>
    </r>
    <r>
      <rPr>
        <b/>
        <sz val="12"/>
        <rFont val="Corbel"/>
        <family val="2"/>
        <scheme val="minor"/>
      </rPr>
      <t xml:space="preserve"> e N</t>
    </r>
    <r>
      <rPr>
        <b/>
        <vertAlign val="subscript"/>
        <sz val="12"/>
        <rFont val="Corbel"/>
        <family val="2"/>
        <scheme val="minor"/>
      </rPr>
      <t>2</t>
    </r>
    <r>
      <rPr>
        <b/>
        <sz val="12"/>
        <rFont val="Corbel"/>
        <family val="2"/>
        <scheme val="minor"/>
      </rPr>
      <t>O  da combustão</t>
    </r>
  </si>
  <si>
    <r>
      <t>Emissões de CO</t>
    </r>
    <r>
      <rPr>
        <b/>
        <vertAlign val="subscript"/>
        <sz val="12"/>
        <rFont val="Corbel"/>
        <family val="2"/>
        <scheme val="minor"/>
      </rPr>
      <t>2</t>
    </r>
    <r>
      <rPr>
        <b/>
        <sz val="12"/>
        <rFont val="Corbel"/>
        <family val="2"/>
        <scheme val="minor"/>
      </rPr>
      <t xml:space="preserve"> biogénico da combustão</t>
    </r>
  </si>
  <si>
    <t>Sumário</t>
  </si>
  <si>
    <t xml:space="preserve">Porteriormente, indique a quantidade desse combustível que será usada, em média, por ano. Se se tratar de um projeto de recuperação de infraestruturas, deverá indicar apenas os consumos referentes à componente recuperada/remodelada. </t>
  </si>
  <si>
    <r>
      <t>Para o caso dos biocombustíveis (Tabela 2), é lhe ainda pedido que indique o factor de emissão referente à produção dos biocombustíveis. (a) A produção de combustível diz respeito à produção de biocombustíveis agrícolas e o processamento de biomassa agrícola e florestal. Deverão incluir, sempre que revelante: emissões da utilização de fertilizantes (N</t>
    </r>
    <r>
      <rPr>
        <vertAlign val="subscript"/>
        <sz val="12"/>
        <color theme="1"/>
        <rFont val="Corbel"/>
        <family val="2"/>
        <scheme val="minor"/>
      </rPr>
      <t>2</t>
    </r>
    <r>
      <rPr>
        <sz val="12"/>
        <color theme="1"/>
        <rFont val="Corbel"/>
        <family val="2"/>
        <scheme val="minor"/>
      </rPr>
      <t>O); combustíveis consumidos nas maquinarias nos terrenos agrícolas; processamento da biomassa (destroçamento, secagem, torrefação e peletização (CO</t>
    </r>
    <r>
      <rPr>
        <vertAlign val="subscript"/>
        <sz val="12"/>
        <color theme="1"/>
        <rFont val="Corbel"/>
        <family val="2"/>
        <scheme val="minor"/>
      </rPr>
      <t>2</t>
    </r>
    <r>
      <rPr>
        <sz val="12"/>
        <color theme="1"/>
        <rFont val="Corbel"/>
        <family val="2"/>
        <scheme val="minor"/>
      </rPr>
      <t>); transporte de longa distância (CO</t>
    </r>
    <r>
      <rPr>
        <vertAlign val="subscript"/>
        <sz val="12"/>
        <color theme="1"/>
        <rFont val="Corbel"/>
        <family val="2"/>
        <scheme val="minor"/>
      </rPr>
      <t>2</t>
    </r>
    <r>
      <rPr>
        <sz val="12"/>
        <color theme="1"/>
        <rFont val="Corbel"/>
        <family val="2"/>
        <scheme val="minor"/>
      </rPr>
      <t>); entre outros.</t>
    </r>
  </si>
  <si>
    <t>(B) Indique a fonte ou atividade que dá origem ao consumo de eletricidade.</t>
  </si>
  <si>
    <r>
      <t xml:space="preserve">(C) Indique o consumo de eletricidade esperado, em </t>
    </r>
    <r>
      <rPr>
        <b/>
        <sz val="12"/>
        <rFont val="Corbel"/>
        <family val="2"/>
        <scheme val="minor"/>
      </rPr>
      <t>MWh</t>
    </r>
    <r>
      <rPr>
        <sz val="12"/>
        <rFont val="Corbel"/>
        <family val="2"/>
        <scheme val="minor"/>
      </rPr>
      <t xml:space="preserve"> (MegaWatt-hora).</t>
    </r>
  </si>
  <si>
    <r>
      <t>(D) Indique o fator de emissão oficial para a eletricidade em Portugal mais recente (consultando a APA, Agência para o Clima, ERSE ou outra entidade oficial). O fator deverá ser intoduzido na ferramenta nas unidades tCO</t>
    </r>
    <r>
      <rPr>
        <vertAlign val="subscript"/>
        <sz val="12"/>
        <rFont val="Corbel"/>
        <family val="2"/>
        <scheme val="minor"/>
      </rPr>
      <t>2</t>
    </r>
    <r>
      <rPr>
        <sz val="12"/>
        <rFont val="Corbel"/>
        <family val="2"/>
        <scheme val="minor"/>
      </rPr>
      <t xml:space="preserve">e/MWh. </t>
    </r>
  </si>
  <si>
    <t>Emissões totais</t>
  </si>
  <si>
    <t>Tabela 2.  Energia térmica (quente e frio) comprada para o projeto</t>
  </si>
  <si>
    <r>
      <t>Valores em tCO</t>
    </r>
    <r>
      <rPr>
        <b/>
        <i/>
        <vertAlign val="subscript"/>
        <sz val="12"/>
        <color theme="1"/>
        <rFont val="Corbel"/>
        <family val="2"/>
        <scheme val="minor"/>
      </rPr>
      <t>2</t>
    </r>
    <r>
      <rPr>
        <b/>
        <i/>
        <sz val="12"/>
        <color theme="1"/>
        <rFont val="Corbel"/>
        <family val="2"/>
        <scheme val="minor"/>
      </rPr>
      <t>e/ano</t>
    </r>
  </si>
  <si>
    <t xml:space="preserve">1. Eletricidade adquirida </t>
  </si>
  <si>
    <t>D. Média anual de energia térmica adquirida (MWh/ano)</t>
  </si>
  <si>
    <t>F. Observações (indique a fonte ou o método e pressupostos para a determinação do fator de emissão)</t>
  </si>
  <si>
    <t xml:space="preserve">Folha elaborada de acordo com as regras do BEI. Por esse motivo, inclui apenas um ano de operação. Exclui (comparado com o GHG Protocol): valores acumulados ao longo do projeto, fases de construção/instalação (e respetivas emissões referentes a alterações aos usos do solo como eliminação de vegetação ou criação de áreas florestadas). </t>
  </si>
  <si>
    <t>Manutenção de usos do solo</t>
  </si>
  <si>
    <t>Terrenos inundados (albufeiras e reservatórios)</t>
  </si>
  <si>
    <t xml:space="preserve"> Categoria de uso do solo que será mantida (1)</t>
  </si>
  <si>
    <t>Área  (ha)</t>
  </si>
  <si>
    <t xml:space="preserve"> IPCC Good Practice Guidance for LULUCF (land use, land-use change and forestry), 2003, Table 3A.3.5</t>
  </si>
  <si>
    <t>Diffusive</t>
  </si>
  <si>
    <t>Bubbles emissions</t>
  </si>
  <si>
    <t>New value</t>
  </si>
  <si>
    <t xml:space="preserve">       Emissões de Manutenção de usos de solo: albufeiras, reservatórios e sequestros</t>
  </si>
  <si>
    <t xml:space="preserve">              Sequestro de carbono</t>
  </si>
  <si>
    <t xml:space="preserve">              Emissões de albufeiras e reservatórios artificiais</t>
  </si>
  <si>
    <t xml:space="preserve">(B) Comece por dar uma designação à linha que vai preencher (Opcional) </t>
  </si>
  <si>
    <r>
      <t xml:space="preserve">(C) Selecione o </t>
    </r>
    <r>
      <rPr>
        <u/>
        <sz val="12"/>
        <color theme="1"/>
        <rFont val="Corbel"/>
        <family val="2"/>
        <scheme val="minor"/>
      </rPr>
      <t>tipo de atividade</t>
    </r>
    <r>
      <rPr>
        <sz val="12"/>
        <color theme="1"/>
        <rFont val="Corbel"/>
        <family val="2"/>
        <scheme val="minor"/>
      </rPr>
      <t xml:space="preserve"> da lista apresentada: manutenção de usos do solo ou terrenos inundados (albufeiras e reservatórios). </t>
    </r>
  </si>
  <si>
    <t xml:space="preserve">(E) Para a criação e manutenção de usos do solo, e no caso particular de espécies florestais, apenas se deve reportar as área florestais sem uso comercial da sua madeira, ou seja, sem abate previsto durante o projeto. </t>
  </si>
  <si>
    <t>A.</t>
  </si>
  <si>
    <t>B.</t>
  </si>
  <si>
    <t>E. Criação ou manutenção de usos do solo</t>
  </si>
  <si>
    <t>F. Terrenos inundados (albufeiras)</t>
  </si>
  <si>
    <r>
      <t>(D) Se selecionou criação ou manutenção de usos do solo, deverá indicar a categoria de usos de solo que será criada ou mantida e a área em hectares (ha) - Colunas A. e C.; Se tiver um uso de solo específico não listado (ex.: pastagens semeadas biodiversas) ou se tiver um fator de sequestro específico para a sua área, selecione a opção "ACRESCENTAR" e ser-lhe-á pedido para indicar o tipo de uso do solo bem como o fator de sequestro em tCO</t>
    </r>
    <r>
      <rPr>
        <vertAlign val="subscript"/>
        <sz val="12"/>
        <color theme="1"/>
        <rFont val="Corbel"/>
        <family val="2"/>
        <scheme val="minor"/>
      </rPr>
      <t>2</t>
    </r>
    <r>
      <rPr>
        <sz val="12"/>
        <color theme="1"/>
        <rFont val="Corbel"/>
        <family val="2"/>
        <scheme val="minor"/>
      </rPr>
      <t xml:space="preserve">e/ha.ano - colunas B.; Ao preencher as colunas B., indique a fonte de informação, pressupostos ou métodos de cálculos usados para o fator de emissão/sequestro.   </t>
    </r>
  </si>
  <si>
    <t>(F) Se selecionou "terrenos inundados (albufeiras e reservatórios)", ser-lhe-á pedido que indique o tipo de clima na área onde a albufeira será instalada e a área - colunas D.</t>
  </si>
  <si>
    <t>Possui um fator de emissão específico para o tratamento em causa?</t>
  </si>
  <si>
    <t xml:space="preserve">Fator de emissão de GEE </t>
  </si>
  <si>
    <t>Quantidade de resíduos produzida (média anual)</t>
  </si>
  <si>
    <t>Quantidade produzida</t>
  </si>
  <si>
    <t>Conheço o meu fator de emissão</t>
  </si>
  <si>
    <t xml:space="preserve">Qual o processo de tratamento </t>
  </si>
  <si>
    <t>Não conheço o meu fator de emissão - águas residuais</t>
  </si>
  <si>
    <t>Processo de tratamento de águas residuais</t>
  </si>
  <si>
    <t>CFWW</t>
  </si>
  <si>
    <t>tCO2e/PE.y</t>
  </si>
  <si>
    <t>ID</t>
  </si>
  <si>
    <t>Sludge disposal</t>
  </si>
  <si>
    <t>CFSD</t>
  </si>
  <si>
    <t>Tanques céticos</t>
  </si>
  <si>
    <t>Tratamento primário</t>
  </si>
  <si>
    <t>Tratamento primário e digestão anaeróbica</t>
  </si>
  <si>
    <t>Tratamento secundário sem digestão anaeróbica</t>
  </si>
  <si>
    <t>Tratamento secundário com digestão anaeróbica</t>
  </si>
  <si>
    <t>Tratamento secundário com digestão anaeróbica melhorada</t>
  </si>
  <si>
    <t>Tratamento terciácio (remoção de azoto e fósforo) sem digestão anaeróbica</t>
  </si>
  <si>
    <t>Outros processos - Trickling filters, bio filters</t>
  </si>
  <si>
    <t>Outros processos - UASB (uplifgt anaerobic sludge blanket)</t>
  </si>
  <si>
    <t>Outros processos - Carroucel (extended aeration)</t>
  </si>
  <si>
    <t>Cálculo de fatores de emissão para tratamento de águas residuais</t>
  </si>
  <si>
    <t>Tratamento dado às lamas</t>
  </si>
  <si>
    <t>Aterro sanitário</t>
  </si>
  <si>
    <t>Uso em solos, sem tratamentos</t>
  </si>
  <si>
    <t>Compostagem</t>
  </si>
  <si>
    <t>Incineração</t>
  </si>
  <si>
    <t>Equivalente populacional (número de pessoas a serem servidas)</t>
  </si>
  <si>
    <t>Emissões de GEE da rede elétrica (gCO2/kWh)</t>
  </si>
  <si>
    <t>Cálculo para águas residuais</t>
  </si>
  <si>
    <t>Emissões GEE com FE conhecido (t CO2e)</t>
  </si>
  <si>
    <t>GEE desconhecido</t>
  </si>
  <si>
    <t>CFWW (tCO2e/PE.ano)</t>
  </si>
  <si>
    <t>ID (tCO2e/PE.ano)</t>
  </si>
  <si>
    <t>Tratamento terciácio (remoção de azoto e fósforo) com digestão anaeróbica</t>
  </si>
  <si>
    <t>Tratamento terciácio (remoção de azoto e fósforo) com digestão anaeróbica melhorada</t>
  </si>
  <si>
    <t>ID corrigido (tCO2e/PE.ano)</t>
  </si>
  <si>
    <t>CFSD (tCO2e/PE.ano)</t>
  </si>
  <si>
    <t>Tratamento</t>
  </si>
  <si>
    <t>Emissões GEE com FE desconhecido (tCO2e)</t>
  </si>
  <si>
    <t xml:space="preserve">       Emissões de tratamento de resíduos e águas residuais</t>
  </si>
  <si>
    <t xml:space="preserve">              Emissões de tratamento de águas residuais </t>
  </si>
  <si>
    <t>Fonte de fatores de emissão</t>
  </si>
  <si>
    <t>IPCC</t>
  </si>
  <si>
    <t>Agência Portuguesa do Ambiente</t>
  </si>
  <si>
    <t>Fator próprio</t>
  </si>
  <si>
    <t>Resíduos sólidos</t>
  </si>
  <si>
    <t>IPCC ou APA</t>
  </si>
  <si>
    <t>FE APA</t>
  </si>
  <si>
    <t>FE IPCC</t>
  </si>
  <si>
    <t>t/t waste</t>
  </si>
  <si>
    <t>GEE</t>
  </si>
  <si>
    <t>Own factor</t>
  </si>
  <si>
    <t xml:space="preserve">              Emissões de tratamento de resíduos sólidos</t>
  </si>
  <si>
    <t>Fator de emissão conhecido</t>
  </si>
  <si>
    <t>Fator de emissão  (1)</t>
  </si>
  <si>
    <t>m3 de águas residuais enviadas para tratamento ou descarregadas</t>
  </si>
  <si>
    <t>t CO2e / m3 de águas residuais enviadas para tratamento ou descarregadas</t>
  </si>
  <si>
    <t xml:space="preserve">(D) Ser-lhe-há perguntado se possui um fator de emissão específico ou não. Caso não possua, a ferramenta usa fatores padrão do IPCC ou da Agência Portuguesa do Ambiente. </t>
  </si>
  <si>
    <t>(G) Todos os valores pedidos dizem respeito a valores médios anuais para a fase em questão.</t>
  </si>
  <si>
    <t>B. Resíduos e águas residuais</t>
  </si>
  <si>
    <t>Produção de hidrogénio</t>
  </si>
  <si>
    <t>Emissões da produção de hidrogénio</t>
  </si>
  <si>
    <t>Produção</t>
  </si>
  <si>
    <t xml:space="preserve">t CO2 / t matéria prima </t>
  </si>
  <si>
    <t xml:space="preserve">Valor conservador definido com base na produção de hidrogénio com base em etano. </t>
  </si>
  <si>
    <t>EU ETS 2007</t>
  </si>
  <si>
    <t>t matéria prima usada na produção de hidrogénio</t>
  </si>
  <si>
    <t>PAG (1) (kg)</t>
  </si>
  <si>
    <r>
      <t>Tabela 2. Emissões fugitivas de hexafluoreto de enxofre (SF</t>
    </r>
    <r>
      <rPr>
        <b/>
        <vertAlign val="subscript"/>
        <sz val="12"/>
        <color theme="1"/>
        <rFont val="Corbel"/>
        <family val="2"/>
        <scheme val="minor"/>
      </rPr>
      <t>6</t>
    </r>
    <r>
      <rPr>
        <b/>
        <sz val="12"/>
        <color theme="1"/>
        <rFont val="Corbel"/>
        <family val="2"/>
        <scheme val="minor"/>
      </rPr>
      <t>), trifluoreto de azoto (NF</t>
    </r>
    <r>
      <rPr>
        <b/>
        <vertAlign val="subscript"/>
        <sz val="12"/>
        <color theme="1"/>
        <rFont val="Corbel"/>
        <family val="2"/>
        <scheme val="minor"/>
      </rPr>
      <t>3</t>
    </r>
    <r>
      <rPr>
        <b/>
        <sz val="12"/>
        <color theme="1"/>
        <rFont val="Corbel"/>
        <family val="2"/>
        <scheme val="minor"/>
      </rPr>
      <t>) e gás natural</t>
    </r>
  </si>
  <si>
    <r>
      <t>Outras emissões fugitivas (t CO</t>
    </r>
    <r>
      <rPr>
        <b/>
        <vertAlign val="subscript"/>
        <sz val="12"/>
        <color theme="0"/>
        <rFont val="Corbel"/>
        <family val="2"/>
        <scheme val="minor"/>
      </rPr>
      <t>2</t>
    </r>
    <r>
      <rPr>
        <b/>
        <sz val="12"/>
        <color theme="0"/>
        <rFont val="Corbel"/>
        <family val="2"/>
        <scheme val="minor"/>
      </rPr>
      <t>e)</t>
    </r>
  </si>
  <si>
    <t>Perda na rede (%)</t>
  </si>
  <si>
    <t>Emissões de GEE das perdas na rede (tCO2e/ano)</t>
  </si>
  <si>
    <t>Emissões da combustão de combustíveis fósseis e eletricidade</t>
  </si>
  <si>
    <t xml:space="preserve">       Combustão fóssil</t>
  </si>
  <si>
    <t xml:space="preserve">       Combustão de biomassa (metano e óxido nitroso)</t>
  </si>
  <si>
    <t xml:space="preserve">       Emissões de albufeiras (produção hídrica)</t>
  </si>
  <si>
    <t xml:space="preserve">Tabela 1.  Quantidade de combustível fóssil </t>
  </si>
  <si>
    <r>
      <t>(kg CO</t>
    </r>
    <r>
      <rPr>
        <b/>
        <vertAlign val="subscript"/>
        <sz val="12"/>
        <rFont val="Corbel"/>
        <family val="2"/>
        <scheme val="minor"/>
      </rPr>
      <t>2</t>
    </r>
    <r>
      <rPr>
        <b/>
        <sz val="12"/>
        <rFont val="Corbel"/>
        <family val="2"/>
        <scheme val="minor"/>
      </rPr>
      <t>e / unid)</t>
    </r>
  </si>
  <si>
    <r>
      <t>(kg CO</t>
    </r>
    <r>
      <rPr>
        <b/>
        <vertAlign val="subscript"/>
        <sz val="12"/>
        <rFont val="Corbel"/>
        <family val="2"/>
        <scheme val="minor"/>
      </rPr>
      <t>2</t>
    </r>
    <r>
      <rPr>
        <b/>
        <sz val="12"/>
        <rFont val="Corbel"/>
        <family val="2"/>
        <scheme val="minor"/>
      </rPr>
      <t>e /ano)</t>
    </r>
  </si>
  <si>
    <r>
      <t>(kg CO</t>
    </r>
    <r>
      <rPr>
        <b/>
        <vertAlign val="subscript"/>
        <sz val="12"/>
        <rFont val="Corbel"/>
        <family val="2"/>
        <scheme val="minor"/>
      </rPr>
      <t>2</t>
    </r>
    <r>
      <rPr>
        <b/>
        <sz val="12"/>
        <rFont val="Corbel"/>
        <family val="2"/>
        <scheme val="minor"/>
      </rPr>
      <t>e/ano)</t>
    </r>
  </si>
  <si>
    <t>Tabela 2.  Quantidade de biocombustível utilizado</t>
  </si>
  <si>
    <t>tCO2e/ano</t>
  </si>
  <si>
    <t>Localizada fisicamente fora da insfraestrutura, mas 100% dedicada ao projeto</t>
  </si>
  <si>
    <t>Inclui instalações localizadas fisicamente fora da insfraestrutura, mas 100% dedicadas ao projeto; CHP; e emissões de metano e N2O para lém das emissões de CO2</t>
  </si>
  <si>
    <r>
      <t>(a) A produção de combustível diz respeito à produção de biocombustíveis agrícolas e o processamento de biomassa agrícola e florestal. Deverão incluir, sempre que revelante: emissões da utilização de fertilizantes (N</t>
    </r>
    <r>
      <rPr>
        <b/>
        <i/>
        <vertAlign val="subscript"/>
        <sz val="12"/>
        <rFont val="Corbel"/>
        <family val="2"/>
        <scheme val="minor"/>
      </rPr>
      <t>2</t>
    </r>
    <r>
      <rPr>
        <b/>
        <i/>
        <sz val="12"/>
        <rFont val="Corbel"/>
        <family val="2"/>
        <scheme val="minor"/>
      </rPr>
      <t>O); combustíveis consumidos nas maquinarias nos terrenos agrícolas; processamento da biomassa (destroçamento, secagem, torrefação e peletização (CO</t>
    </r>
    <r>
      <rPr>
        <b/>
        <i/>
        <vertAlign val="subscript"/>
        <sz val="12"/>
        <rFont val="Corbel"/>
        <family val="2"/>
        <scheme val="minor"/>
      </rPr>
      <t>2</t>
    </r>
    <r>
      <rPr>
        <b/>
        <i/>
        <sz val="12"/>
        <rFont val="Corbel"/>
        <family val="2"/>
        <scheme val="minor"/>
      </rPr>
      <t>); transporte de longa distância (CO</t>
    </r>
    <r>
      <rPr>
        <b/>
        <i/>
        <vertAlign val="subscript"/>
        <sz val="12"/>
        <rFont val="Corbel"/>
        <family val="2"/>
        <scheme val="minor"/>
      </rPr>
      <t>2</t>
    </r>
    <r>
      <rPr>
        <b/>
        <i/>
        <sz val="12"/>
        <rFont val="Corbel"/>
        <family val="2"/>
        <scheme val="minor"/>
      </rPr>
      <t>); entre outros.</t>
    </r>
  </si>
  <si>
    <t>tCO2e</t>
  </si>
  <si>
    <r>
      <t>Emissões médias anuais totais (tCO</t>
    </r>
    <r>
      <rPr>
        <b/>
        <vertAlign val="subscript"/>
        <sz val="12"/>
        <color theme="0"/>
        <rFont val="Corbel"/>
        <family val="2"/>
        <scheme val="minor"/>
      </rPr>
      <t>2</t>
    </r>
    <r>
      <rPr>
        <b/>
        <sz val="12"/>
        <color theme="0"/>
        <rFont val="Corbel"/>
        <family val="2"/>
        <scheme val="minor"/>
      </rPr>
      <t>e/ano) - Âmbitos 1+3</t>
    </r>
  </si>
  <si>
    <t xml:space="preserve">Inclui metano e óxido nitroso da combustão e emissões de GEE da produção do biocombustível. </t>
  </si>
  <si>
    <t xml:space="preserve">       Emissões de GEE de combustíveis fósseis</t>
  </si>
  <si>
    <t xml:space="preserve">       Emissões de GEE de biocombustíveis</t>
  </si>
  <si>
    <t xml:space="preserve">       Caso particular: Emissões de GEE da queima de resíduos sólidos com recuperação de energia</t>
  </si>
  <si>
    <r>
      <t>Caso particular: resíduos (fração não biodegradável) - emissões médias anuais diretas de GEE (tCO</t>
    </r>
    <r>
      <rPr>
        <b/>
        <vertAlign val="subscript"/>
        <sz val="12"/>
        <color theme="0"/>
        <rFont val="Corbel"/>
        <family val="2"/>
        <scheme val="minor"/>
      </rPr>
      <t>2</t>
    </r>
    <r>
      <rPr>
        <b/>
        <sz val="12"/>
        <color theme="0"/>
        <rFont val="Corbel"/>
        <family val="2"/>
        <scheme val="minor"/>
      </rPr>
      <t>e/ano) - Âmbito 1/Scope 1</t>
    </r>
  </si>
  <si>
    <r>
      <t>Caso particular: resíduos (fração não biodegradável) - emissões médias anuais indiretas de GEE (tCO</t>
    </r>
    <r>
      <rPr>
        <b/>
        <vertAlign val="subscript"/>
        <sz val="12"/>
        <color theme="0"/>
        <rFont val="Corbel"/>
        <family val="2"/>
        <scheme val="minor"/>
      </rPr>
      <t>2</t>
    </r>
    <r>
      <rPr>
        <b/>
        <sz val="12"/>
        <color theme="0"/>
        <rFont val="Corbel"/>
        <family val="2"/>
        <scheme val="minor"/>
      </rPr>
      <t>e/ano) - Âmbito 3/Scope 3</t>
    </r>
  </si>
  <si>
    <t xml:space="preserve">       Caso particular: resíduos (fração biogénica) - emissões médias anuais diretas de GEE (tCO2e/ano) - Âmbito 1/Scope 1</t>
  </si>
  <si>
    <t xml:space="preserve">       Caso particular: resíduos (fração biogénica) - emissões médias anuais indiretas de GEE (tCO2e/ano) - Âmbito 3/Scope 3</t>
  </si>
  <si>
    <t xml:space="preserve">       Emissões da queima de resíduos para produção de energia</t>
  </si>
  <si>
    <t>Inclui fração biogénica e não biogénica</t>
  </si>
  <si>
    <t>Gás natural - produção onshore</t>
  </si>
  <si>
    <t>Gás natural - produção offshore</t>
  </si>
  <si>
    <t>Petróleo - produção onshore</t>
  </si>
  <si>
    <t>Petróleo - produção offshore</t>
  </si>
  <si>
    <t>m3 de gás produzido</t>
  </si>
  <si>
    <t>m3 de petróleo produzido</t>
  </si>
  <si>
    <t>t de LNG</t>
  </si>
  <si>
    <t>API Compedium 2009</t>
  </si>
  <si>
    <t xml:space="preserve">LNG - produção </t>
  </si>
  <si>
    <t>Produção e trasnporte</t>
  </si>
  <si>
    <t>Includes production, volatilization and transportation</t>
  </si>
  <si>
    <t>Emissões de GEE da produção, processamento, armazenamento e transporte de combustíveis fósseis</t>
  </si>
  <si>
    <t xml:space="preserve">       Perdas de eletricidade na rede</t>
  </si>
  <si>
    <t xml:space="preserve">       Emissões de SF6 de equipmentos elétricos</t>
  </si>
  <si>
    <t>Tratamento de águas residuais e lamas de ETAR</t>
  </si>
  <si>
    <t>1C</t>
  </si>
  <si>
    <t>1A, 1B, 1D</t>
  </si>
  <si>
    <t xml:space="preserve">       Produção de eletricidade adquirida</t>
  </si>
  <si>
    <t>1F</t>
  </si>
  <si>
    <t>1G</t>
  </si>
  <si>
    <t>Emissões de albufeiras e reservatórios</t>
  </si>
  <si>
    <t>Para reporte de emissões de GEE e sequestro de carbono ligadas a manutenção de usos de solo como florestas (inclui sequestro) e albufeiras e reservatórios.</t>
  </si>
  <si>
    <t>tCO2/TJ fóssil</t>
  </si>
  <si>
    <t>Incineration - IPCC</t>
  </si>
  <si>
    <t>Municipal - fossil</t>
  </si>
  <si>
    <t xml:space="preserve">tCO2/TJ </t>
  </si>
  <si>
    <t>tCH4/TJ</t>
  </si>
  <si>
    <t>Industrial - fossil</t>
  </si>
  <si>
    <t xml:space="preserve"> tN2O/TJ</t>
  </si>
  <si>
    <t>Incineração Municipal (sem recuperação de energia) - fração fóssil</t>
  </si>
  <si>
    <t>Incineração Industrial (sem recuperação de energia) - fração fóssil</t>
  </si>
  <si>
    <t xml:space="preserve">TJ de resíduo incinerado (fração fóssil) </t>
  </si>
  <si>
    <t>Tratamento de resíduos sólidos</t>
  </si>
  <si>
    <t>Aterro</t>
  </si>
  <si>
    <t>MSWT</t>
  </si>
  <si>
    <t>Massa anual de RSU a serem depositados</t>
  </si>
  <si>
    <t>Fator de correção de metano</t>
  </si>
  <si>
    <t>MCF</t>
  </si>
  <si>
    <t>Tipo de tratamento</t>
  </si>
  <si>
    <t>Tipos de tratamento</t>
  </si>
  <si>
    <t>Não geridos - profundidade superior a 5 metros</t>
  </si>
  <si>
    <t>Não geridos - profundidade inferior a 5 metros</t>
  </si>
  <si>
    <t>DOC</t>
  </si>
  <si>
    <t>Tipo de resíduo</t>
  </si>
  <si>
    <t>Carbono orgânico degradável - Fração do RSU que é carbono degradável</t>
  </si>
  <si>
    <t>Resíduos alimentares</t>
  </si>
  <si>
    <t>Resíduos de jardim</t>
  </si>
  <si>
    <t>Papel</t>
  </si>
  <si>
    <t>Madeira e palha</t>
  </si>
  <si>
    <t>Têxteis</t>
  </si>
  <si>
    <t>Fraldas descartáveis</t>
  </si>
  <si>
    <t>Lamas de ETAR</t>
  </si>
  <si>
    <t>Borracha</t>
  </si>
  <si>
    <t>RSU indiferenciados</t>
  </si>
  <si>
    <t>Resíduos industriais</t>
  </si>
  <si>
    <t>Fração de DOC dssimilada</t>
  </si>
  <si>
    <t>Fração (por volume) de metano (CH4) no gás do aterro</t>
  </si>
  <si>
    <t>Massa de CH4 recuperada por ano devido a flaring ou produção elétrica</t>
  </si>
  <si>
    <t>R</t>
  </si>
  <si>
    <t>(t7ano)</t>
  </si>
  <si>
    <t>Fração de CH4 libertada que é oxidizada abaixo da superfície, no site</t>
  </si>
  <si>
    <t>OX</t>
  </si>
  <si>
    <t>L0</t>
  </si>
  <si>
    <t>CO2e</t>
  </si>
  <si>
    <t>Tabela 1.  Emissões referente as manutenção de usos de solo, albufeiras e reservatórios de água</t>
  </si>
  <si>
    <t>Tabela 2.  Relato de outras emissões de processo - residuos e águas residuais</t>
  </si>
  <si>
    <t>Tabela 3.  Relato de atividades relacionadas com deposição de resíduos sólidos</t>
  </si>
  <si>
    <t xml:space="preserve">        Emissões de aterros</t>
  </si>
  <si>
    <t>Aterros sanitários</t>
  </si>
  <si>
    <t>Aterro A</t>
  </si>
  <si>
    <t>(C) Indique a quantidade de resíduos (em toneladas) que irá depositar num ano normal de funcionamento.</t>
  </si>
  <si>
    <t xml:space="preserve">(E) De seguida indique a fração (por volume) esperada de metano no gás de aterro. Este valor terá de ser entre 0 e 1. </t>
  </si>
  <si>
    <t>Esta folha tem três secções:</t>
  </si>
  <si>
    <t xml:space="preserve">Para o reporte de emissões ligadas a tratamento de residuos sólidos (ex.: incineração sem recuperação de energia, tratamentos biológicos) e tratamento de águas residuais e efluentes agrícolas, industriais ou outros. </t>
  </si>
  <si>
    <t xml:space="preserve">Se o projeto produz um produto (i.e., reciclagem), as emissões associadas ao processo deverão ser indicadas nas restantes folhas, considerando-se um processo industrial. </t>
  </si>
  <si>
    <t xml:space="preserve">Para o reporte de emissões ligadas à deposição de resíduos sólidos em aterros, lixeiras e outras deposições. </t>
  </si>
  <si>
    <t>A. Equipamentos de refrigeração e climatização</t>
  </si>
  <si>
    <t>Refrigeração e climatização</t>
  </si>
  <si>
    <t>Produção de semicondutores e LCDs</t>
  </si>
  <si>
    <t>1E, 17</t>
  </si>
  <si>
    <t>Autoria</t>
  </si>
  <si>
    <t>Ricardo da Silva Vieira</t>
  </si>
  <si>
    <t xml:space="preserve">Calculadora de emissões de GEE para projetos de infraestrutura com vista à determinação da resistência climática </t>
  </si>
  <si>
    <t>Autoridade de gestão do programa Sustentável 2030</t>
  </si>
  <si>
    <t>Responda ao seguinte questionário para saber quais os separadores que deve preencher para calcular as emissões do projeto em estudo.</t>
  </si>
  <si>
    <r>
      <t xml:space="preserve">(B) Os separadores apresentados na coluna </t>
    </r>
    <r>
      <rPr>
        <i/>
        <u/>
        <sz val="14"/>
        <rFont val="Corbel"/>
        <family val="2"/>
        <scheme val="minor"/>
      </rPr>
      <t>Separadores a preencher</t>
    </r>
    <r>
      <rPr>
        <sz val="14"/>
        <rFont val="Corbel"/>
        <family val="2"/>
        <scheme val="minor"/>
      </rPr>
      <t xml:space="preserve"> referem-se aos separadores da ferramenta que tem de preencher para obter as emissões GEE do projeto</t>
    </r>
  </si>
  <si>
    <r>
      <t xml:space="preserve">(C) Há separadores que serão sempre necessárias preencher, independentemente das respostas que der às questões. Exemplo: </t>
    </r>
    <r>
      <rPr>
        <i/>
        <u/>
        <sz val="14"/>
        <rFont val="Corbel"/>
        <family val="2"/>
        <scheme val="minor"/>
      </rPr>
      <t>Dados gerais</t>
    </r>
    <r>
      <rPr>
        <sz val="14"/>
        <rFont val="Corbel"/>
        <family val="2"/>
        <scheme val="minor"/>
      </rPr>
      <t xml:space="preserve">. </t>
    </r>
  </si>
  <si>
    <r>
      <t xml:space="preserve">(D) Preencha somente as </t>
    </r>
    <r>
      <rPr>
        <sz val="14"/>
        <color theme="1"/>
        <rFont val="Corbel"/>
        <family val="2"/>
        <scheme val="minor"/>
      </rPr>
      <t>campos</t>
    </r>
    <r>
      <rPr>
        <sz val="14"/>
        <rFont val="Corbel"/>
        <family val="2"/>
        <scheme val="minor"/>
      </rPr>
      <t xml:space="preserve"> </t>
    </r>
    <r>
      <rPr>
        <b/>
        <sz val="14"/>
        <color theme="4"/>
        <rFont val="Corbel"/>
        <family val="2"/>
        <scheme val="minor"/>
      </rPr>
      <t>AZUL CLARO</t>
    </r>
    <r>
      <rPr>
        <sz val="14"/>
        <rFont val="Corbel"/>
        <family val="2"/>
        <scheme val="minor"/>
      </rPr>
      <t xml:space="preserve"> da Ferramenta. </t>
    </r>
  </si>
  <si>
    <t>Separadores a preencher:</t>
  </si>
  <si>
    <r>
      <rPr>
        <b/>
        <sz val="12"/>
        <color theme="1"/>
        <rFont val="Corbel"/>
        <family val="2"/>
        <scheme val="minor"/>
      </rPr>
      <t>Em cada secção de fase do projeto, preencha os campos a</t>
    </r>
    <r>
      <rPr>
        <sz val="12"/>
        <color theme="1"/>
        <rFont val="Corbel"/>
        <family val="2"/>
        <scheme val="minor"/>
      </rPr>
      <t xml:space="preserve"> </t>
    </r>
    <r>
      <rPr>
        <b/>
        <sz val="12"/>
        <color theme="5"/>
        <rFont val="Corbel"/>
        <family val="2"/>
        <scheme val="minor"/>
      </rPr>
      <t>Azul Claro</t>
    </r>
    <r>
      <rPr>
        <sz val="12"/>
        <color theme="1"/>
        <rFont val="Corbel"/>
        <family val="2"/>
        <scheme val="minor"/>
      </rPr>
      <t>.</t>
    </r>
  </si>
  <si>
    <r>
      <t>Esta tabela estima as emissões de CO</t>
    </r>
    <r>
      <rPr>
        <vertAlign val="subscript"/>
        <sz val="12"/>
        <rFont val="Corbel"/>
        <family val="2"/>
        <scheme val="minor"/>
      </rPr>
      <t>2</t>
    </r>
    <r>
      <rPr>
        <sz val="12"/>
        <rFont val="Corbel"/>
        <family val="2"/>
        <scheme val="minor"/>
      </rPr>
      <t>e das emissões de metano e óxido nitroso; as emissões de CO</t>
    </r>
    <r>
      <rPr>
        <vertAlign val="subscript"/>
        <sz val="12"/>
        <rFont val="Corbel"/>
        <family val="2"/>
        <scheme val="minor"/>
      </rPr>
      <t>2</t>
    </r>
    <r>
      <rPr>
        <sz val="12"/>
        <rFont val="Corbel"/>
        <family val="2"/>
        <scheme val="minor"/>
      </rPr>
      <t xml:space="preserve"> biogénico, e as emissões da produção de combustíveis. Inclui a queima de resíduos sólidos. Para resíduos sólidos, emissões encontram-se separadas pelas componentes biogénicas e fóssil. Preencher apenas a componente fóssil nesta Tabela 2. </t>
    </r>
  </si>
  <si>
    <r>
      <t>Inclui emissões de CO</t>
    </r>
    <r>
      <rPr>
        <vertAlign val="subscript"/>
        <sz val="12"/>
        <rFont val="Corbel"/>
        <family val="2"/>
        <scheme val="minor"/>
      </rPr>
      <t>2</t>
    </r>
    <r>
      <rPr>
        <sz val="12"/>
        <rFont val="Corbel"/>
        <family val="2"/>
        <scheme val="minor"/>
      </rPr>
      <t>, CH</t>
    </r>
    <r>
      <rPr>
        <vertAlign val="subscript"/>
        <sz val="12"/>
        <rFont val="Corbel"/>
        <family val="2"/>
        <scheme val="minor"/>
      </rPr>
      <t>4</t>
    </r>
    <r>
      <rPr>
        <sz val="12"/>
        <rFont val="Corbel"/>
        <family val="2"/>
        <scheme val="minor"/>
      </rPr>
      <t xml:space="preserve"> e N</t>
    </r>
    <r>
      <rPr>
        <vertAlign val="subscript"/>
        <sz val="12"/>
        <rFont val="Corbel"/>
        <family val="2"/>
        <scheme val="minor"/>
      </rPr>
      <t>2</t>
    </r>
    <r>
      <rPr>
        <sz val="12"/>
        <rFont val="Corbel"/>
        <family val="2"/>
        <scheme val="minor"/>
      </rPr>
      <t xml:space="preserve">O de combustão estacionária. Incluir cogeração. Inclui a queima de resíduos sólidos. Para resíduos sólidos, emissões encontram-se separadas pelas componentes biogénicas e fóssil. Preencher apenas a componente fóssil nesta tabela 2. </t>
    </r>
  </si>
  <si>
    <t>O que é:</t>
  </si>
  <si>
    <t>Queima de combustíveis em equipamentos fixos (ex.: caldeiras, fornos, turbinas, incineração com recuperação de energia).</t>
  </si>
  <si>
    <t>Quem deve preencher:</t>
  </si>
  <si>
    <t>Projetos que utilizem combustíveis fósseis, biocombustíveis ou resíduos sólidos em equipamentos fixos.</t>
  </si>
  <si>
    <t>👉 Apenas incluir atividades financiadas pelo projeto.</t>
  </si>
  <si>
    <r>
      <t xml:space="preserve">👉 Instalações externas só se forem </t>
    </r>
    <r>
      <rPr>
        <b/>
        <sz val="12"/>
        <color theme="1"/>
        <rFont val="Corbel"/>
        <family val="2"/>
        <scheme val="minor"/>
      </rPr>
      <t>100% dedicadas ao projeto</t>
    </r>
    <r>
      <rPr>
        <sz val="12"/>
        <color theme="1"/>
        <rFont val="Corbel"/>
        <family val="2"/>
        <scheme val="minor"/>
      </rPr>
      <t>.</t>
    </r>
  </si>
  <si>
    <t>Passos de preenchimento:</t>
  </si>
  <si>
    <r>
      <t xml:space="preserve">2. Preencher tabelas de combustíveis fósseis (tabela 1) e biocombustíveis (tabela 2) (campos a </t>
    </r>
    <r>
      <rPr>
        <sz val="12"/>
        <color theme="5"/>
        <rFont val="Corbel"/>
        <family val="2"/>
        <scheme val="minor"/>
      </rPr>
      <t>azul claro</t>
    </r>
    <r>
      <rPr>
        <b/>
        <sz val="12"/>
        <color theme="1"/>
        <rFont val="Corbel"/>
        <family val="2"/>
        <scheme val="minor"/>
      </rPr>
      <t>):</t>
    </r>
  </si>
  <si>
    <t>Descrição da fonte (opcional)</t>
  </si>
  <si>
    <t xml:space="preserve">       Descrição da fonte (opcional)</t>
  </si>
  <si>
    <t xml:space="preserve">       Combustível utilizado (lista disponível)</t>
  </si>
  <si>
    <t xml:space="preserve">       Consumo médio anual esperado (na unidade indicada)</t>
  </si>
  <si>
    <t xml:space="preserve">       Localização da instalação (interna ou externa 100% dedicada)</t>
  </si>
  <si>
    <t xml:space="preserve">       Fator de emissão da produção de biocombustível</t>
  </si>
  <si>
    <t>Resultados gerados automaticamente:</t>
  </si>
  <si>
    <t xml:space="preserve">       Emissões de GEE anuais (tCO₂e/ano)</t>
  </si>
  <si>
    <t xml:space="preserve">              Âmbito 1/Scope 1 – emissões diretas</t>
  </si>
  <si>
    <t xml:space="preserve">              Âmbito 3/Scope 3 – emissões indiretas (instalações externas ou produção de biocombustíveis)</t>
  </si>
  <si>
    <t xml:space="preserve">       Emissões de resíduos (frações biodegradáveis/não biodegradáveis)</t>
  </si>
  <si>
    <t xml:space="preserve">       Emissões biogénicas de CO₂ (apenas para conhecimento, não reportadas)</t>
  </si>
  <si>
    <t>Residencial</t>
  </si>
  <si>
    <t>Emissões decorrentes de atividades em espaços residenciais</t>
  </si>
  <si>
    <t>Operação/gestão de loteamentos urbanos.</t>
  </si>
  <si>
    <r>
      <t>1. Selecionar o setor de atividade</t>
    </r>
    <r>
      <rPr>
        <sz val="12"/>
        <color theme="1"/>
        <rFont val="Corbel"/>
        <family val="2"/>
        <scheme val="minor"/>
      </rPr>
      <t xml:space="preserve"> (Energia; Manufatura/Construção; Comercial/Institucional; Residencial).</t>
    </r>
  </si>
  <si>
    <t>Emissões de loteamentos urbanos</t>
  </si>
  <si>
    <t>Diretrizes do IPCC de 2006 para os Inventários Nacionais de Gases com Efeito de Estufa. Valores multiplicados por 0,98 para contabilizar o carbono não oxidado.</t>
  </si>
  <si>
    <t>Nome do Projeto:</t>
  </si>
  <si>
    <t>Código de projeto (se existir):</t>
  </si>
  <si>
    <r>
      <t xml:space="preserve">(A) Preencha somente os campos a </t>
    </r>
    <r>
      <rPr>
        <b/>
        <sz val="12"/>
        <color theme="5"/>
        <rFont val="Corbel"/>
        <family val="2"/>
        <scheme val="minor"/>
      </rPr>
      <t>AZUL CLARO</t>
    </r>
    <r>
      <rPr>
        <sz val="12"/>
        <rFont val="Corbel"/>
        <family val="2"/>
        <scheme val="minor"/>
      </rPr>
      <t xml:space="preserve"> da ferramenta.</t>
    </r>
  </si>
  <si>
    <r>
      <t>Fator de emissão oficial para a eletricidade portuguesa no ano mais recente (t CO</t>
    </r>
    <r>
      <rPr>
        <b/>
        <vertAlign val="subscript"/>
        <sz val="12"/>
        <color theme="1"/>
        <rFont val="Corbel"/>
        <family val="2"/>
        <scheme val="minor"/>
      </rPr>
      <t>2</t>
    </r>
    <r>
      <rPr>
        <b/>
        <sz val="12"/>
        <color theme="1"/>
        <rFont val="Corbel"/>
        <family val="2"/>
        <scheme val="minor"/>
      </rPr>
      <t>e/MWh)</t>
    </r>
  </si>
  <si>
    <r>
      <t>E. Fator de emissão de GEE médio anual da produção da energia térmica (tCO</t>
    </r>
    <r>
      <rPr>
        <b/>
        <vertAlign val="subscript"/>
        <sz val="12"/>
        <color theme="1"/>
        <rFont val="Corbel"/>
        <family val="2"/>
        <scheme val="minor"/>
      </rPr>
      <t>2</t>
    </r>
    <r>
      <rPr>
        <b/>
        <sz val="12"/>
        <color theme="1"/>
        <rFont val="Corbel"/>
        <family val="2"/>
        <scheme val="minor"/>
      </rPr>
      <t xml:space="preserve">e /MWh) </t>
    </r>
  </si>
  <si>
    <t>Preencha esta folha se o projeto contratar eletricidade, calor, frio ou vapor a terceiros (inclui carregamentos de veículos).</t>
  </si>
  <si>
    <t>3. Consultar Resultados</t>
  </si>
  <si>
    <t>2. Preencher energia térmica adquirida</t>
  </si>
  <si>
    <t>1. Preencher eletricidade adquirida</t>
  </si>
  <si>
    <r>
      <rPr>
        <b/>
        <sz val="12"/>
        <rFont val="Corbel"/>
        <family val="2"/>
        <scheme val="minor"/>
      </rPr>
      <t>Passos</t>
    </r>
    <r>
      <rPr>
        <sz val="12"/>
        <rFont val="Corbel"/>
        <family val="2"/>
        <scheme val="minor"/>
      </rPr>
      <t>:</t>
    </r>
  </si>
  <si>
    <t>(E) Indique as perdas de eletricidade na rede de trasnmissão e distribuição (%)</t>
  </si>
  <si>
    <t>(F) Utilize os botões "+" à esquerda para escolher as subsecções da ferramenta onde deseja inserir informações e para libertar mais linhas nas tabelas de entrada de dados.</t>
  </si>
  <si>
    <t>(G) O sistema calcula automaticamente as emissões médias anuais.</t>
  </si>
  <si>
    <t>2. Energia térmica adquirida</t>
  </si>
  <si>
    <t xml:space="preserve">(A) Para cada linha, relate a quantidade de energia a comprar e o respetivo fator de emissão. Sempre que o tipo de energia ou fator de emissão forem diferentes, mude de linha. </t>
  </si>
  <si>
    <r>
      <t xml:space="preserve">(B) Preencha somente os campos a </t>
    </r>
    <r>
      <rPr>
        <b/>
        <sz val="12"/>
        <color theme="5"/>
        <rFont val="Corbel"/>
        <family val="2"/>
        <scheme val="minor"/>
      </rPr>
      <t>AZUL CLARO</t>
    </r>
    <r>
      <rPr>
        <b/>
        <sz val="12"/>
        <color rgb="FFFF6600"/>
        <rFont val="Corbel"/>
        <family val="2"/>
        <scheme val="minor"/>
      </rPr>
      <t xml:space="preserve"> </t>
    </r>
    <r>
      <rPr>
        <sz val="12"/>
        <rFont val="Corbel"/>
        <family val="2"/>
        <scheme val="minor"/>
      </rPr>
      <t>da ferramenta.</t>
    </r>
  </si>
  <si>
    <t xml:space="preserve">(D) Insira o fator de emissão (a obter junto do fornecedor). Tenha atenção às unidades. </t>
  </si>
  <si>
    <t>(E) Indique com obteve os fatores de emisssão apresentados (fonte ou cálculos)</t>
  </si>
  <si>
    <t>(B) Descreva a atividade (opcional) – exemplo: “retroescavadora no aterro X”.</t>
  </si>
  <si>
    <t>(C) Selecione o tipo de maquinaria e combustível da lista (agrícola/florestal, institucional, industrial).</t>
  </si>
  <si>
    <t>(E) Os fatores de emissão e emissões parciais (CO₂, CH₄, N₂O) são preenchidos automaticamente.</t>
  </si>
  <si>
    <t>(F) Consulte os resultados</t>
  </si>
  <si>
    <t>Tabela 1.  Cálculo de emissões pelo consumo de combustível médio anual esperado</t>
  </si>
  <si>
    <t>Retroescavadora - aterro</t>
  </si>
  <si>
    <t>Maquinaria industrial - Gasóleo / óleo diesel (fuelóleo destilado)</t>
  </si>
  <si>
    <t>(B) Em cada tabela de preenchimento, utilize os botões "+" à esquerda para escolher as subsecções da ferramenta em que deseja inserir informações.</t>
  </si>
  <si>
    <r>
      <t xml:space="preserve">(C) Preencha somente as </t>
    </r>
    <r>
      <rPr>
        <sz val="12"/>
        <color theme="1"/>
        <rFont val="Corbel"/>
        <family val="2"/>
        <scheme val="minor"/>
      </rPr>
      <t>campos</t>
    </r>
    <r>
      <rPr>
        <sz val="12"/>
        <color theme="5"/>
        <rFont val="Corbel"/>
        <family val="2"/>
        <scheme val="minor"/>
      </rPr>
      <t xml:space="preserve"> </t>
    </r>
    <r>
      <rPr>
        <b/>
        <sz val="12"/>
        <color theme="5"/>
        <rFont val="Corbel"/>
        <family val="2"/>
        <scheme val="minor"/>
      </rPr>
      <t>AZUL CLARO</t>
    </r>
    <r>
      <rPr>
        <sz val="12"/>
        <rFont val="Corbel"/>
        <family val="2"/>
        <scheme val="minor"/>
      </rPr>
      <t xml:space="preserve"> da Ferramenta. </t>
    </r>
  </si>
  <si>
    <r>
      <t xml:space="preserve">(A) No preenchimento da tabela, só terá de preencher os campos a </t>
    </r>
    <r>
      <rPr>
        <b/>
        <sz val="12"/>
        <color theme="5"/>
        <rFont val="Corbel"/>
        <family val="2"/>
        <scheme val="minor"/>
      </rPr>
      <t>AZUL CLARO</t>
    </r>
    <r>
      <rPr>
        <sz val="12"/>
        <rFont val="Corbel"/>
        <family val="2"/>
        <scheme val="minor"/>
      </rPr>
      <t xml:space="preserve">. Alguns destes campos irão alterar a cor à medida que vai preenchendo a tabela.  </t>
    </r>
  </si>
  <si>
    <t>Quantidade tratada</t>
  </si>
  <si>
    <t>Quantidade de resíduos tratada (média anual)</t>
  </si>
  <si>
    <t>Geridos (anaeróbicos) - (inclui controlo no depósito, controlo de incêndios e alguns dos seguintes: material de cobertura, compactação mecânica ou nivelamento)</t>
  </si>
  <si>
    <t>Geridos (semiaeróbicos) - (deposição controlada e todas as estruturas para arejamento das camadas de resíduos: coberturas permeáveis, sistemas de drenagem de lixiviados, sistemas de ventilação de gases)</t>
  </si>
  <si>
    <t>Não categorizado (default)</t>
  </si>
  <si>
    <t xml:space="preserve">Tipo de tratamento </t>
  </si>
  <si>
    <t>Possui um fator de emissão específico?</t>
  </si>
  <si>
    <t>Que tipo de fator de emissão pretende usar?</t>
  </si>
  <si>
    <t>Fator de emissão desconhecido (águas residuais)</t>
  </si>
  <si>
    <t>Fator de emissão considerado  (t CO2e/unidade)</t>
  </si>
  <si>
    <t>Massa anual de resíduos sólidos depositados</t>
  </si>
  <si>
    <r>
      <t>Massa de CH</t>
    </r>
    <r>
      <rPr>
        <b/>
        <vertAlign val="subscript"/>
        <sz val="11"/>
        <color theme="1"/>
        <rFont val="Corbel"/>
        <family val="2"/>
        <scheme val="minor"/>
      </rPr>
      <t>4</t>
    </r>
    <r>
      <rPr>
        <b/>
        <sz val="11"/>
        <color theme="1"/>
        <rFont val="Corbel"/>
        <family val="2"/>
        <scheme val="minor"/>
      </rPr>
      <t xml:space="preserve"> recuperada (flaring ou produção elétrica)</t>
    </r>
  </si>
  <si>
    <t>Este separador refere-se a emissões de GEE de processo que não resultam da queima de combustíveis fósseis nem de processos industriais já reportados nos separadores próprios.</t>
  </si>
  <si>
    <t>A. Manutenção de usos de solo (florestas - sequestro, albufeiras e terrenos inundados)</t>
  </si>
  <si>
    <t>C. Deposição de resíduos sólidos (ex.: aterros sanitários)</t>
  </si>
  <si>
    <t>Quantidade produzida em média por ano</t>
  </si>
  <si>
    <r>
      <t>Fator de emissão (kg CO</t>
    </r>
    <r>
      <rPr>
        <b/>
        <vertAlign val="subscript"/>
        <sz val="12"/>
        <color theme="1"/>
        <rFont val="Corbel"/>
        <family val="2"/>
        <scheme val="minor"/>
      </rPr>
      <t>2</t>
    </r>
    <r>
      <rPr>
        <b/>
        <sz val="12"/>
        <color theme="1"/>
        <rFont val="Corbel"/>
        <family val="2"/>
        <scheme val="minor"/>
      </rPr>
      <t>e/ unid)</t>
    </r>
  </si>
  <si>
    <t>Inclui atividades industriais que geram emissões de processo (ex.: cimento, cal, vidro, cerâmica, ácido nítrico, etileno, aço, chumbo).</t>
  </si>
  <si>
    <t>(C) Selecione o setor industrial da lista. Se não estiver listado, escolha “Outros” e especifique.</t>
  </si>
  <si>
    <t>(D) Indique a produção média anual (atenção às unidades).</t>
  </si>
  <si>
    <t>(E) Reveja o fator de emissão:</t>
  </si>
  <si>
    <t>(F) Caso esteja em “Outros”, indique também as emissões por gás ou emissões totais (com fonte e método).</t>
  </si>
  <si>
    <t>(G) Consulte os resultados automáticos para emissões médias anuais.</t>
  </si>
  <si>
    <t>(H) Veja os resultados finais para emissões acumuladas no projeto.</t>
  </si>
  <si>
    <t xml:space="preserve">       - Introduza valores específicos, se disponíveis.</t>
  </si>
  <si>
    <t>Capacidade do equipamento (opcional)</t>
  </si>
  <si>
    <t>Equipamentos de climatização e refrigeração,</t>
  </si>
  <si>
    <t>Outros,</t>
  </si>
  <si>
    <t>Resultados.</t>
  </si>
  <si>
    <t>A folha está organizada em três secções:</t>
  </si>
  <si>
    <r>
      <t xml:space="preserve">Preencher apenas os campos obrigatórios (a </t>
    </r>
    <r>
      <rPr>
        <b/>
        <sz val="12"/>
        <color theme="5"/>
        <rFont val="Corbel"/>
        <family val="2"/>
        <scheme val="minor"/>
      </rPr>
      <t>azul claro</t>
    </r>
    <r>
      <rPr>
        <sz val="12"/>
        <color theme="1"/>
        <rFont val="Corbel"/>
        <family val="2"/>
        <scheme val="minor"/>
      </rPr>
      <t xml:space="preserve">). </t>
    </r>
  </si>
  <si>
    <t>- Selecionar tipo de equipamento (ex.: ar condicionado, refrigeração industrial).</t>
  </si>
  <si>
    <t>- Indicar a capacidade (apenas se diferente do valor padrão).</t>
  </si>
  <si>
    <t>- Indicar se conhece o gás de refrigeração e selecionar o gás (se aplicável).</t>
  </si>
  <si>
    <t>- Inserir a quantidade de equipamentos em funcionamento na fase do projeto.</t>
  </si>
  <si>
    <t>(B) Selecionar a substância/processo da lista (ex.: gás natural – transmissão, equipamento elétrico, semicondutores).</t>
  </si>
  <si>
    <t>(C) Se escolher “Outros”, indicar a substância e o respetivo PAG (100 anos).</t>
  </si>
  <si>
    <t>(D) Inserir a quantidade utilizada (ou área de material produzida, consoante o caso).</t>
  </si>
  <si>
    <t>Emissões por setor de atividade</t>
  </si>
  <si>
    <t>Atividade</t>
  </si>
  <si>
    <t>Categoria GHG Protocol</t>
  </si>
  <si>
    <t>Emissões (tCO2e/ano)</t>
  </si>
  <si>
    <t>Código BEI</t>
  </si>
  <si>
    <t>Combustão estacionária</t>
  </si>
  <si>
    <t>Setor IPCC</t>
  </si>
  <si>
    <t>Transporte</t>
  </si>
  <si>
    <t>Combustão móvel</t>
  </si>
  <si>
    <t>Resíduos</t>
  </si>
  <si>
    <t>Igual à categoria 1F</t>
  </si>
  <si>
    <t>Processos industriais e uso de produtos</t>
  </si>
  <si>
    <t>Combustão estacionária /Emissões fugitivas</t>
  </si>
  <si>
    <t xml:space="preserve">Emissões fugitivas </t>
  </si>
  <si>
    <t>Águas resíduais</t>
  </si>
  <si>
    <t>Deposição de resíduos sólidos</t>
  </si>
  <si>
    <t>(%)</t>
  </si>
  <si>
    <t>Agricutura, floresta e outros usos do solo</t>
  </si>
  <si>
    <t>(A) Leia este separador na íntegra para compreender a estrutura da ferramenta.</t>
  </si>
  <si>
    <t xml:space="preserve">      Este separador inclui um pequeno questionário que indicará quais os separadores a preencher para uma estimativa correta das emissões do projeto.</t>
  </si>
  <si>
    <r>
      <t xml:space="preserve">(E) Apenas devem ser preenchidos os campos a </t>
    </r>
    <r>
      <rPr>
        <b/>
        <sz val="14"/>
        <color theme="5"/>
        <rFont val="Corbel"/>
        <family val="2"/>
        <scheme val="minor"/>
      </rPr>
      <t>AZUL CLARO</t>
    </r>
    <r>
      <rPr>
        <sz val="14"/>
        <color theme="1"/>
        <rFont val="Corbel"/>
        <family val="2"/>
        <scheme val="minor"/>
      </rPr>
      <t xml:space="preserve">. </t>
    </r>
  </si>
  <si>
    <t xml:space="preserve">     Não altere nenhum dos restantes campos, sob pena de comprometer a integridade da ferramenta e, consequentemente, os resultados apresentados.</t>
  </si>
  <si>
    <r>
      <t xml:space="preserve">(F) De seguida, deve preencher o campo </t>
    </r>
    <r>
      <rPr>
        <i/>
        <u/>
        <sz val="14"/>
        <color theme="1"/>
        <rFont val="Corbel"/>
        <family val="2"/>
        <scheme val="minor"/>
      </rPr>
      <t>Identificação</t>
    </r>
    <r>
      <rPr>
        <sz val="14"/>
        <color theme="1"/>
        <rFont val="Corbel"/>
        <family val="2"/>
        <scheme val="minor"/>
      </rPr>
      <t xml:space="preserve">. </t>
    </r>
  </si>
  <si>
    <t xml:space="preserve">(G) Nas tabelas a preencher em todos os separadores é apresentada uma linha exemplo preenchida, para facilitar o preenchimento das tabelas. </t>
  </si>
  <si>
    <r>
      <t xml:space="preserve">(C) Caso seja necessário estimar a pegada de carbono do seu projeto, deve depois preencher o separador </t>
    </r>
    <r>
      <rPr>
        <i/>
        <u/>
        <sz val="14"/>
        <color theme="1"/>
        <rFont val="Corbel"/>
        <family val="2"/>
        <scheme val="minor"/>
      </rPr>
      <t>Triagem</t>
    </r>
    <r>
      <rPr>
        <sz val="14"/>
        <color theme="1"/>
        <rFont val="Corbel"/>
        <family val="2"/>
        <scheme val="minor"/>
      </rPr>
      <t>.</t>
    </r>
  </si>
  <si>
    <r>
      <t xml:space="preserve">(D) Cada separador contém, no início, instruções específicas para o seu correto preenchimento. Estas instruções estão assinaladas com fundo </t>
    </r>
    <r>
      <rPr>
        <b/>
        <sz val="14"/>
        <color theme="1"/>
        <rFont val="Corbel"/>
        <family val="2"/>
        <scheme val="minor"/>
      </rPr>
      <t>LARANJA</t>
    </r>
    <r>
      <rPr>
        <sz val="14"/>
        <color theme="1"/>
        <rFont val="Corbel"/>
        <family val="2"/>
        <scheme val="minor"/>
      </rPr>
      <t>, devendo ser lidas atentamente.</t>
    </r>
  </si>
  <si>
    <t xml:space="preserve">      Após a leitura deste separador, deve iniciar o preenchimento dos separadores de acordo com as indicações fornecidas pelo separador Triagem.</t>
  </si>
  <si>
    <r>
      <t xml:space="preserve">Passar para o separador </t>
    </r>
    <r>
      <rPr>
        <b/>
        <sz val="11"/>
        <color theme="1"/>
        <rFont val="Corbel"/>
        <family val="2"/>
        <scheme val="minor"/>
      </rPr>
      <t>Triagem</t>
    </r>
  </si>
  <si>
    <r>
      <t xml:space="preserve">(A) Responda às questões da coluna </t>
    </r>
    <r>
      <rPr>
        <i/>
        <sz val="14"/>
        <rFont val="Corbel"/>
        <family val="2"/>
        <scheme val="minor"/>
      </rPr>
      <t>Categorias de projetos ou infraestruturas</t>
    </r>
    <r>
      <rPr>
        <sz val="14"/>
        <rFont val="Corbel"/>
        <family val="2"/>
        <scheme val="minor"/>
      </rPr>
      <t>, selecionando "Sim" caso se apliquem ao projeto ou "Não" caso não se apliquem.</t>
    </r>
  </si>
  <si>
    <t>Próximo passo</t>
  </si>
  <si>
    <r>
      <t xml:space="preserve">(C) Preencha apenas os </t>
    </r>
    <r>
      <rPr>
        <sz val="14"/>
        <color theme="1"/>
        <rFont val="Corbel"/>
        <family val="2"/>
        <scheme val="minor"/>
      </rPr>
      <t xml:space="preserve">campos a </t>
    </r>
    <r>
      <rPr>
        <b/>
        <sz val="14"/>
        <color theme="4"/>
        <rFont val="Corbel"/>
        <family val="2"/>
        <scheme val="minor"/>
      </rPr>
      <t>AZUL CLARO</t>
    </r>
    <r>
      <rPr>
        <sz val="14"/>
        <rFont val="Corbel"/>
        <family val="2"/>
        <scheme val="minor"/>
      </rPr>
      <t xml:space="preserve"> da ferramenta. </t>
    </r>
  </si>
  <si>
    <t>O projeto inclui a queima de combustíveis em equipamentos fixos, como caldeiras, fornos, fogões, turbinas, câmaras de secagem ou outros equipamentos fixos de combustão pertencentes ao projeto, incluindo a incineração de resíduos para produção de energia?</t>
  </si>
  <si>
    <t>O projeto inclui atividades suscetíveis de provocar fugas de GEE? Ex.: instalações de refrigeração e climatização, transformadores de alta tensão (transmissão de eletricidade), transporte, distribuição e armazenamento de gás natural, produção de hidrogénio não verde?</t>
  </si>
  <si>
    <t>O projeto enquadra-se em algum dos seguintes setores e/ou atividades: produção de cimento, cal, vidro, cerâmica, ácido nítrico, etileno, aço ou chumbo? Ou possui outras atividades suscetíveis de gerar emissões de GEE provenientes de processos físicos ou químicos (não resultantes da combustão de combustíveis fósseis)?</t>
  </si>
  <si>
    <t>Inclui: qualquer queima de combustível em equipamentos fixos. Caso ocorra incineração com recuperação de energia de resíduos sólidos nas próprias instalações do projeto, esta deve ser reportada aqui. A produção de eletricidade só deve ser incluída se ocorrer nas instalações do projeto ou em instalações 100% dedicadas. A cogeração também deve ser incluída nesta categoria.</t>
  </si>
  <si>
    <t>Inclui: equipamentos de climatização e refrigeração (ex.: ar condicionado, arcas frigoríficas, sistemas de refrigeração em veículos), transformadores de alta tensão (transmissão de eletricidade), bem como a produção, processamento, transporte e armazenamento de combustíveis fósseis (petróleo, gás natural, LNG, hidrogénio não verde). Inclui ainda a produção de gases de anestesia, fugas de N₂O e NF₃.</t>
  </si>
  <si>
    <t>Inclui: produção de cimento/clínquer, cal, vidro, cerâmica, ácido nítrico, etileno, aço ou chumbo.</t>
  </si>
  <si>
    <t>Inclui: (1) Manutenção de usos do solo, como florestas ou albufeiras;
(2) Tratamento de águas residuais e efluentes;
(3) Tratamento e deposição de resíduos sólidos (ex.: aterros, tratamentos biológicos, incineração sem recuperação de energia).</t>
  </si>
  <si>
    <t>Inclui: eletricidade e energia térmica consumidas nas instalações construídas ou remodeladas, sempre que não sejam produzidas nas próprias instalações.</t>
  </si>
  <si>
    <t>1. Transporte Rodoviário</t>
  </si>
  <si>
    <t>Tabela 1.  Cálculo de emissões pela distância percorrida</t>
  </si>
  <si>
    <t>Tipo de veículo</t>
  </si>
  <si>
    <t>Unidades do fator de emissão</t>
  </si>
  <si>
    <t>Fator de Emissão do modo de transporte (kg/unid)</t>
  </si>
  <si>
    <r>
      <t>Emissões de CO</t>
    </r>
    <r>
      <rPr>
        <b/>
        <vertAlign val="subscript"/>
        <sz val="12"/>
        <rFont val="Corbel"/>
        <family val="2"/>
        <scheme val="minor"/>
      </rPr>
      <t>2</t>
    </r>
    <r>
      <rPr>
        <b/>
        <sz val="12"/>
        <rFont val="Corbel"/>
        <family val="2"/>
        <scheme val="minor"/>
      </rPr>
      <t xml:space="preserve"> (t/ano) fóssil</t>
    </r>
  </si>
  <si>
    <r>
      <t>Emissões de CH</t>
    </r>
    <r>
      <rPr>
        <b/>
        <vertAlign val="subscript"/>
        <sz val="12"/>
        <rFont val="Corbel"/>
        <family val="2"/>
        <scheme val="minor"/>
      </rPr>
      <t>4</t>
    </r>
    <r>
      <rPr>
        <b/>
        <sz val="12"/>
        <rFont val="Corbel"/>
        <family val="2"/>
        <scheme val="minor"/>
      </rPr>
      <t xml:space="preserve"> (t/ano)</t>
    </r>
  </si>
  <si>
    <r>
      <t>Emissões de N</t>
    </r>
    <r>
      <rPr>
        <b/>
        <vertAlign val="subscript"/>
        <sz val="12"/>
        <rFont val="Corbel"/>
        <family val="2"/>
        <scheme val="minor"/>
      </rPr>
      <t>2</t>
    </r>
    <r>
      <rPr>
        <b/>
        <sz val="12"/>
        <rFont val="Corbel"/>
        <family val="2"/>
        <scheme val="minor"/>
      </rPr>
      <t>O (t/ano)</t>
    </r>
  </si>
  <si>
    <t>Descrição do transporte</t>
  </si>
  <si>
    <t>Deslocação de contentores</t>
  </si>
  <si>
    <t>Tipos de veículos</t>
  </si>
  <si>
    <t>Rodoviários</t>
  </si>
  <si>
    <t>Marítimo e fluvial</t>
  </si>
  <si>
    <t>Ferroviário</t>
  </si>
  <si>
    <t>Comboio elétrico</t>
  </si>
  <si>
    <t>Comboio diesel</t>
  </si>
  <si>
    <t xml:space="preserve">(A) Use uma linha para cada transporte/deslocação. </t>
  </si>
  <si>
    <t>(A)  Utilize essa secção da folha apenas para relatar as emissões do transporte marítimo. Emissões de frotas de outros modos devem ser estimadas e/ou relatadas nas outras secções desta folha.</t>
  </si>
  <si>
    <r>
      <t xml:space="preserve">(B) Preencha somente as </t>
    </r>
    <r>
      <rPr>
        <sz val="12"/>
        <color theme="1"/>
        <rFont val="Corbel"/>
        <family val="2"/>
        <scheme val="minor"/>
      </rPr>
      <t>campos</t>
    </r>
    <r>
      <rPr>
        <sz val="12"/>
        <rFont val="Corbel"/>
        <family val="2"/>
        <scheme val="minor"/>
      </rPr>
      <t xml:space="preserve"> </t>
    </r>
    <r>
      <rPr>
        <b/>
        <sz val="12"/>
        <color theme="8"/>
        <rFont val="Corbel"/>
        <family val="2"/>
        <scheme val="minor"/>
      </rPr>
      <t>AZUL CLARO</t>
    </r>
    <r>
      <rPr>
        <sz val="12"/>
        <rFont val="Corbel"/>
        <family val="2"/>
        <scheme val="minor"/>
      </rPr>
      <t xml:space="preserve"> da Ferramenta. </t>
    </r>
  </si>
  <si>
    <t>(C) Utilize os botões "+" à esquerda para libertar mais linhas nas tabelas de entrada de dados.</t>
  </si>
  <si>
    <r>
      <t xml:space="preserve">(D) Comece por indicar a </t>
    </r>
    <r>
      <rPr>
        <u/>
        <sz val="12"/>
        <rFont val="Corbel"/>
        <family val="2"/>
        <scheme val="minor"/>
      </rPr>
      <t>fase do projeto</t>
    </r>
    <r>
      <rPr>
        <sz val="12"/>
        <rFont val="Corbel"/>
        <family val="2"/>
        <scheme val="minor"/>
      </rPr>
      <t xml:space="preserve"> a que a linha diz respeito</t>
    </r>
  </si>
  <si>
    <r>
      <t>(E) Para os campos "</t>
    </r>
    <r>
      <rPr>
        <b/>
        <sz val="12"/>
        <rFont val="Corbel"/>
        <family val="2"/>
        <scheme val="minor"/>
      </rPr>
      <t>Número de pessoas no veículo</t>
    </r>
    <r>
      <rPr>
        <sz val="12"/>
        <rFont val="Corbel"/>
        <family val="2"/>
        <scheme val="minor"/>
      </rPr>
      <t>" e "</t>
    </r>
    <r>
      <rPr>
        <b/>
        <sz val="12"/>
        <rFont val="Corbel"/>
        <family val="2"/>
        <scheme val="minor"/>
      </rPr>
      <t>Peso da carga transportada</t>
    </r>
    <r>
      <rPr>
        <sz val="12"/>
        <rFont val="Corbel"/>
        <family val="2"/>
        <scheme val="minor"/>
      </rPr>
      <t xml:space="preserve">" preencha apenas se estes não estiverem sombreados. </t>
    </r>
  </si>
  <si>
    <t>(F) Por fim, indique se se trata de uma deslocação/transporte em veículos da empresa e que tipo de transporte se refere a linha</t>
  </si>
  <si>
    <t>Peso da carga transportada (t)</t>
  </si>
  <si>
    <t>Fator de Emissão do modo de transporte</t>
  </si>
  <si>
    <t>Transporte de equipamentos</t>
  </si>
  <si>
    <t>2. Transporte marítimo e fluvial</t>
  </si>
  <si>
    <t>Tabela 2.  Cálculo de emissões de gases de efeito estufa emitidos pelo transporte marítimo e fluvial</t>
  </si>
  <si>
    <t>Distância média anual percorrida (km/ano)</t>
  </si>
  <si>
    <r>
      <t>Emissões de CO</t>
    </r>
    <r>
      <rPr>
        <b/>
        <vertAlign val="subscript"/>
        <sz val="12"/>
        <rFont val="Corbel"/>
        <family val="2"/>
        <scheme val="minor"/>
      </rPr>
      <t>2</t>
    </r>
    <r>
      <rPr>
        <b/>
        <sz val="12"/>
        <rFont val="Corbel"/>
        <family val="2"/>
        <scheme val="minor"/>
      </rPr>
      <t xml:space="preserve"> fóssil (tCO2e) </t>
    </r>
  </si>
  <si>
    <r>
      <t>Emissões de CH</t>
    </r>
    <r>
      <rPr>
        <b/>
        <vertAlign val="subscript"/>
        <sz val="12"/>
        <rFont val="Corbel"/>
        <family val="2"/>
        <scheme val="minor"/>
      </rPr>
      <t>4</t>
    </r>
    <r>
      <rPr>
        <b/>
        <sz val="12"/>
        <rFont val="Corbel"/>
        <family val="2"/>
        <scheme val="minor"/>
      </rPr>
      <t xml:space="preserve"> (tCO2e) </t>
    </r>
  </si>
  <si>
    <r>
      <t>Emissões de N</t>
    </r>
    <r>
      <rPr>
        <b/>
        <vertAlign val="subscript"/>
        <sz val="12"/>
        <rFont val="Corbel"/>
        <family val="2"/>
        <scheme val="minor"/>
      </rPr>
      <t>2</t>
    </r>
    <r>
      <rPr>
        <b/>
        <sz val="12"/>
        <rFont val="Corbel"/>
        <family val="2"/>
        <scheme val="minor"/>
      </rPr>
      <t xml:space="preserve">O (tCO2e) </t>
    </r>
  </si>
  <si>
    <t>Identificação</t>
  </si>
  <si>
    <t>A GEE-PInfraRC foi desenvolvida para a Autoridade de Gestão do Sustentável 2030 com o objetivo de estimar as emissões de gases com efeito de estufa (GEE) de projetos de infraestruturas, excluindo os de mobilidade. Segue as orientações da Comissão Europeia e do Banco Europeu de Investimento, que apresentam algumas diferenças face ao GHG Protocol.</t>
  </si>
  <si>
    <t>A GEE-PInfraRC foi desenvolvida em alinhamento com as recomendações da Comissão Europeia (COM 2021/C 373/01) para a avaliação da resistência às alterações climáticas de projetos de infraestruturas. O seu objetivo é apoiar a análise de atenuação das alterações climáticas, permitindo quantificar as emissões absolutas de GEE de um projeto num ano de operação típico. Esta ferramenta é acompanhada do respetivo manual, que deverá ser lido com atenção na primeira utilização.</t>
  </si>
  <si>
    <r>
      <t xml:space="preserve">(I) Depois de preencher todos os separadores indicados no separador Triagem, pode ver as emissões absolutas totais do projeto no separador </t>
    </r>
    <r>
      <rPr>
        <i/>
        <u/>
        <sz val="14"/>
        <color theme="1"/>
        <rFont val="Corbel"/>
        <family val="2"/>
        <scheme val="minor"/>
      </rPr>
      <t>Resultados</t>
    </r>
    <r>
      <rPr>
        <sz val="14"/>
        <color theme="1"/>
        <rFont val="Corbel"/>
        <family val="2"/>
        <scheme val="minor"/>
      </rPr>
      <t>.</t>
    </r>
  </si>
  <si>
    <r>
      <t>O projeto enquadra-se em alguma destas tipologias de projetos?
•</t>
    </r>
    <r>
      <rPr>
        <sz val="14"/>
        <rFont val="Corbel"/>
        <family val="2"/>
        <scheme val="minor"/>
      </rPr>
      <t xml:space="preserve">	Serviços de telecomunicações
•	Redes de abastecimento de água potável 
•	Redes de recolha de águas pluviais e residuais 
•	Estações de tratamento de águas residuais industriais e estações de tratamento de águas residuais municipais de pequena dimensão
•	Empreendimentos imobiliários, incluindo, entre outros, parques de estacionamento vigiados e seguros e postos de controlo nas fronteiras externas.</t>
    </r>
  </si>
  <si>
    <t>4) Dizem respeito apenas às atividades do projeto que são elegíveis para financiamento</t>
  </si>
  <si>
    <t>O projeto envolve a compra de energia elétrica, quente, frio ou vapor a terceiros ou envolve a utilização de veículos ou maquinaria elétricos?</t>
  </si>
  <si>
    <t>Se tiver dúvidas sobre o tipo de combustível da lista apresentada, encontra-se uma caixa à direita onde pode selecionar esse combustível para obter uma definição</t>
  </si>
  <si>
    <t>Indique se a atividade se encontra fisicamente localizada na infraestrutura ou se se encontra fora da infraestrutura, estando neste último caso 100% dedidaca ao projeto (caso contrário não necessita de reportar as emissões).</t>
  </si>
  <si>
    <t>Emissões absolutas Diretas / Âmbito 1 / Scope 1</t>
  </si>
  <si>
    <t>Emissões absolutas indiretas / Âmbito 3 / Scope 3</t>
  </si>
  <si>
    <t>Emissões absolutas de GEE a reportar (emissões GEE fósseis; metano e óxido nitroso de biocombustíveis; produção de biocombustíveis)</t>
  </si>
  <si>
    <t>Emissões absolutas de GEE para conhecimento (Sem necessidade de reporte) (emissões de dióxido de carbono de biocombustíveis)</t>
  </si>
  <si>
    <r>
      <t xml:space="preserve">(B) Escolha o </t>
    </r>
    <r>
      <rPr>
        <u/>
        <sz val="12"/>
        <rFont val="Corbel"/>
        <family val="2"/>
        <scheme val="minor"/>
      </rPr>
      <t>Tipo de veículo</t>
    </r>
    <r>
      <rPr>
        <sz val="12"/>
        <rFont val="Corbel"/>
        <family val="2"/>
        <scheme val="minor"/>
      </rPr>
      <t xml:space="preserve">. </t>
    </r>
  </si>
  <si>
    <r>
      <t xml:space="preserve">(C) Preencha as </t>
    </r>
    <r>
      <rPr>
        <b/>
        <sz val="12"/>
        <rFont val="Corbel"/>
        <family val="2"/>
        <scheme val="minor"/>
      </rPr>
      <t>distâncias médias anuais</t>
    </r>
    <r>
      <rPr>
        <sz val="12"/>
        <rFont val="Corbel"/>
        <family val="2"/>
        <scheme val="minor"/>
      </rPr>
      <t xml:space="preserve"> que pensa viajar com o referido meio de transporte.  </t>
    </r>
  </si>
  <si>
    <t>Se tiver dúvidas sobre o combustível a utilizar, selecione o combustível abaixo para ter a definição deste</t>
  </si>
  <si>
    <t>Transporte rodoviário</t>
  </si>
  <si>
    <t>Transporte marítimo e fluvial</t>
  </si>
  <si>
    <r>
      <t>Emissões de GEE absolutas médias anuais
(t CO</t>
    </r>
    <r>
      <rPr>
        <b/>
        <vertAlign val="subscript"/>
        <sz val="12"/>
        <rFont val="Corbel"/>
        <family val="2"/>
        <scheme val="minor"/>
      </rPr>
      <t>2</t>
    </r>
    <r>
      <rPr>
        <b/>
        <sz val="12"/>
        <rFont val="Corbel"/>
        <family val="2"/>
        <scheme val="minor"/>
      </rPr>
      <t>e / ano)</t>
    </r>
  </si>
  <si>
    <t>Emissões de GEE absolutas médias anuais
(t CO2e / ano)</t>
  </si>
  <si>
    <t>(D) Indique o consumo médio anual esperado (nas unidades indicadas pela ferramenta). Converta valores se necessário.</t>
  </si>
  <si>
    <t>Eletricidade adquirida</t>
  </si>
  <si>
    <t>Perdas de eletricidade na distribuição e transmissão</t>
  </si>
  <si>
    <t>Energia térmica</t>
  </si>
  <si>
    <t>Emissões absolutas médias anuais indiretas / âmbito 2 / Scope 2</t>
  </si>
  <si>
    <r>
      <t>Emissões absolutas médias anuais de GEE (tCO</t>
    </r>
    <r>
      <rPr>
        <b/>
        <vertAlign val="subscript"/>
        <sz val="12"/>
        <color theme="1"/>
        <rFont val="Corbel"/>
        <family val="2"/>
        <scheme val="minor"/>
      </rPr>
      <t>2</t>
    </r>
    <r>
      <rPr>
        <b/>
        <sz val="12"/>
        <color theme="1"/>
        <rFont val="Corbel"/>
        <family val="2"/>
        <scheme val="minor"/>
      </rPr>
      <t xml:space="preserve"> e/ano)</t>
    </r>
  </si>
  <si>
    <t>Se não for o valor padrão, indique o valor nos campos abaixo</t>
  </si>
  <si>
    <t>Potencial de aquecimento global</t>
  </si>
  <si>
    <t>Variável</t>
  </si>
  <si>
    <t>tonelada de matéria prima usada na produção de hidrogénio</t>
  </si>
  <si>
    <t>tonelada de LNG</t>
  </si>
  <si>
    <t>(1) No caso de considerar outros gases não incluídos na lista, pode consultar o potencial de aquecimento global no capítulo 8 do volume 5 do IPCC (https://www.ipcc.ch/site/assets/uploads/2018/02/WG1AR5_Chapter08_FINAL.pdf)</t>
  </si>
  <si>
    <t>Indique o potencial de aquecimento global - Potencial de aquecimento global</t>
  </si>
  <si>
    <t>Emissões absolutas médias anuais de GEE (t/ano)</t>
  </si>
  <si>
    <r>
      <t>Total (t CO</t>
    </r>
    <r>
      <rPr>
        <b/>
        <vertAlign val="subscript"/>
        <sz val="12"/>
        <color theme="0"/>
        <rFont val="Corbel"/>
        <family val="2"/>
        <scheme val="minor"/>
      </rPr>
      <t>2</t>
    </r>
    <r>
      <rPr>
        <b/>
        <sz val="12"/>
        <color theme="0"/>
        <rFont val="Corbel"/>
        <family val="2"/>
        <scheme val="minor"/>
      </rPr>
      <t>e)</t>
    </r>
  </si>
  <si>
    <r>
      <t>Equipamentos de refrigeração e climatização  (t CO</t>
    </r>
    <r>
      <rPr>
        <b/>
        <vertAlign val="subscript"/>
        <sz val="12"/>
        <color theme="0"/>
        <rFont val="Corbel"/>
        <family val="2"/>
        <scheme val="minor"/>
      </rPr>
      <t>2</t>
    </r>
    <r>
      <rPr>
        <b/>
        <sz val="12"/>
        <color theme="0"/>
        <rFont val="Corbel"/>
        <family val="2"/>
        <scheme val="minor"/>
      </rPr>
      <t>e/ano)</t>
    </r>
  </si>
  <si>
    <t xml:space="preserve">       Produção, processamento, armazenamento e transporte de combustíveis fósseis</t>
  </si>
  <si>
    <r>
      <t xml:space="preserve">       Fugas de SF</t>
    </r>
    <r>
      <rPr>
        <b/>
        <i/>
        <vertAlign val="subscript"/>
        <sz val="12"/>
        <color theme="0"/>
        <rFont val="Corbel"/>
        <family val="2"/>
        <scheme val="minor"/>
      </rPr>
      <t>6</t>
    </r>
    <r>
      <rPr>
        <b/>
        <i/>
        <sz val="12"/>
        <color theme="0"/>
        <rFont val="Corbel"/>
        <family val="2"/>
        <scheme val="minor"/>
      </rPr>
      <t xml:space="preserve"> em equipamentos de transmissão</t>
    </r>
  </si>
  <si>
    <t xml:space="preserve">       Produção de semicondutores e LCDs</t>
  </si>
  <si>
    <t xml:space="preserve">       Outras </t>
  </si>
  <si>
    <t xml:space="preserve">       - Use o valor padrão apresentado, ou</t>
  </si>
  <si>
    <t>Indique o seu valor (se diferente do padrão)</t>
  </si>
  <si>
    <t>Observações (indique a fonte, método e pressupostos utilizados)</t>
  </si>
  <si>
    <t>tonelada de clínquer</t>
  </si>
  <si>
    <t>toneladas de clínquer</t>
  </si>
  <si>
    <t>toneladas de cal</t>
  </si>
  <si>
    <t>toneladas de vidro</t>
  </si>
  <si>
    <t>toneladas de carbonatos consumidos</t>
  </si>
  <si>
    <t>toneladas de ácido nítrico</t>
  </si>
  <si>
    <t>toneladas de etileno</t>
  </si>
  <si>
    <t>toneladas de aço</t>
  </si>
  <si>
    <t>toneladas de chumbo</t>
  </si>
  <si>
    <r>
      <t>Emissões absolutas médias anuais de GEE (t CO</t>
    </r>
    <r>
      <rPr>
        <b/>
        <vertAlign val="subscript"/>
        <sz val="12"/>
        <color theme="0"/>
        <rFont val="Corbel"/>
        <family val="2"/>
        <scheme val="minor"/>
      </rPr>
      <t>2</t>
    </r>
    <r>
      <rPr>
        <b/>
        <sz val="12"/>
        <color theme="0"/>
        <rFont val="Corbel"/>
        <family val="2"/>
        <scheme val="minor"/>
      </rPr>
      <t>e/ano)</t>
    </r>
  </si>
  <si>
    <t>Mata no terreno A</t>
  </si>
  <si>
    <t>(a)</t>
  </si>
  <si>
    <t>Valores negativos referem-se a sequestro de carbono, com exceção da linha (a)</t>
  </si>
  <si>
    <t>(C) Selecione o tipo de tratamento/resíduo da lista apresentada.</t>
  </si>
  <si>
    <t>(E) Caso possua um fator de emissão específico ou para certos tipos de tratamento, ser-lhe-à pedido para indicar o respetivo fator de emissão (tenha em atenção às unidades indicadas) e que explique como obteve o valor (no campo observações)</t>
  </si>
  <si>
    <t xml:space="preserve">(F) Se não conhecer o fator de emissão, e se tratar do tratamento de águas residuais, irá ser necessário que indique o tipo de tratamento dado às águas residuais e às lamas da ETAR, bem como a população servida e o fator de emissão da eletricidade da rede no ano mais atual (tenha em atenção às unidades pedidas). </t>
  </si>
  <si>
    <t>tonelada de resíduo sólido enviado para compostagem</t>
  </si>
  <si>
    <t>tonelada de resíduo sólido enviado para digestão anaeróbia</t>
  </si>
  <si>
    <t>(D) Ser-lhe-há perguntado qual o tipo de deposição e qual o tipo de resíduo que irá depositar</t>
  </si>
  <si>
    <t xml:space="preserve">(F) Se faz recuperação de metano neste processo, indique a quantidade (em toneladas por ano) que espera recuperar. Se não planeia fazer recuperação de metano, coloque zero. </t>
  </si>
  <si>
    <t>Fração (por volume) de metano no gás do aterro [0-1]</t>
  </si>
  <si>
    <r>
      <t>Emissões absolutas médias anuais  (t CO</t>
    </r>
    <r>
      <rPr>
        <b/>
        <vertAlign val="subscript"/>
        <sz val="12"/>
        <color theme="0"/>
        <rFont val="Corbel"/>
        <family val="2"/>
        <scheme val="minor"/>
      </rPr>
      <t>2</t>
    </r>
    <r>
      <rPr>
        <b/>
        <sz val="12"/>
        <color theme="0"/>
        <rFont val="Corbel"/>
        <family val="2"/>
        <scheme val="minor"/>
      </rPr>
      <t>e/ano)</t>
    </r>
  </si>
  <si>
    <t>Emissões absolutas médias anuais de GEE</t>
  </si>
  <si>
    <t>Emissões absolutas médias anuais de GEE  (tCO2e/ano)</t>
  </si>
  <si>
    <t>Transmissão e distribuição de eletricidade, vapor e calor</t>
  </si>
  <si>
    <r>
      <t>t CO2e / m</t>
    </r>
    <r>
      <rPr>
        <vertAlign val="superscript"/>
        <sz val="12"/>
        <color theme="1"/>
        <rFont val="Corbel"/>
        <family val="2"/>
        <scheme val="minor"/>
      </rPr>
      <t>3</t>
    </r>
    <r>
      <rPr>
        <sz val="12"/>
        <color theme="1"/>
        <rFont val="Corbel"/>
        <family val="2"/>
        <scheme val="minor"/>
      </rPr>
      <t xml:space="preserve"> de gás produzido</t>
    </r>
  </si>
  <si>
    <r>
      <t>t CO2e / m</t>
    </r>
    <r>
      <rPr>
        <vertAlign val="superscript"/>
        <sz val="12"/>
        <color theme="1"/>
        <rFont val="Corbel"/>
        <family val="2"/>
        <scheme val="minor"/>
      </rPr>
      <t>3</t>
    </r>
    <r>
      <rPr>
        <sz val="12"/>
        <color theme="1"/>
        <rFont val="Corbel"/>
        <family val="2"/>
        <scheme val="minor"/>
      </rPr>
      <t xml:space="preserve"> de petróleo produzido</t>
    </r>
  </si>
  <si>
    <t>Secção 8 -  Fatores para Alteração de Uso de Solos</t>
  </si>
  <si>
    <t>REA/CELE - Agência Portuguesa de Emissões - Comércio Europeu d eLicensas de Emissão</t>
  </si>
  <si>
    <t>IPCC Guidelines 2006</t>
  </si>
  <si>
    <t>Fonte: NIR 2021 - Inventário Nacional de Emissões por Fontes e Remoção por Sumidouros de Poluentes Atmosféricos 2021</t>
  </si>
  <si>
    <t xml:space="preserve">NIR 2022 (Inventário Nacional de Emissões por Fontes e Remoção por Sumidouros de Poluentes Atmosféricos, 2022) </t>
  </si>
  <si>
    <t>Obervações (indique a fonte dos do fator de emissão)</t>
  </si>
  <si>
    <t>Valor (km/ano)</t>
  </si>
  <si>
    <t>Quantidade média annual de equipamentos nestas condições</t>
  </si>
  <si>
    <t>Obervações (indique a fonte dos dados para o distância média anual percorrida)</t>
  </si>
  <si>
    <t>Distância média anual percorrida</t>
  </si>
  <si>
    <t>Obervações (indique a fonte dos dados para o consumo médio annual esperado)</t>
  </si>
  <si>
    <t>Obervações (indique a fonte de onde obteve o valor)</t>
  </si>
  <si>
    <t>Observações (indique como obteve o valor de potencial de aquecimento global indicado)</t>
  </si>
  <si>
    <t xml:space="preserve">Quantidade média anual utilizada </t>
  </si>
  <si>
    <t>Observações (indique como obteve o valor indicado)</t>
  </si>
  <si>
    <r>
      <t xml:space="preserve">(B) Em seguida, preencha o separador </t>
    </r>
    <r>
      <rPr>
        <i/>
        <u/>
        <sz val="14"/>
        <color theme="1"/>
        <rFont val="Corbel"/>
        <family val="2"/>
        <scheme val="minor"/>
      </rPr>
      <t>Verificação preliminar</t>
    </r>
    <r>
      <rPr>
        <sz val="14"/>
        <color theme="1"/>
        <rFont val="Corbel"/>
        <family val="2"/>
        <scheme val="minor"/>
      </rPr>
      <t xml:space="preserve">, que premite avaliar se é necessário estimar a pegada de carbono do projeto de acordo com a COM 2021/C 373/01, no âmbito da avaliação da resiliência às alterações climáticas. </t>
    </r>
    <r>
      <rPr>
        <b/>
        <sz val="14"/>
        <color theme="1"/>
        <rFont val="Corbel"/>
        <family val="2"/>
        <scheme val="minor"/>
      </rPr>
      <t xml:space="preserve">Mesmo que est e separador lhe indique que não há necessidade de estimar a sua pegada de carbono, poderá usar a ferramenta na mesa para estimar a sua pegada de carbono - embora não seja um requisito de acordo com ao referida COM. </t>
    </r>
  </si>
  <si>
    <r>
      <t xml:space="preserve">(B) Na coluna </t>
    </r>
    <r>
      <rPr>
        <i/>
        <sz val="14"/>
        <rFont val="Corbel"/>
        <family val="2"/>
        <scheme val="minor"/>
      </rPr>
      <t>Situação</t>
    </r>
    <r>
      <rPr>
        <sz val="14"/>
        <rFont val="Corbel"/>
        <family val="2"/>
        <scheme val="minor"/>
      </rPr>
      <t xml:space="preserve"> é-lhe indicado se existe necessidade de proceder à avaliação das emissões de GEE do projeto no âmbito da COM 2021/C 373/01.. Na coluna </t>
    </r>
    <r>
      <rPr>
        <i/>
        <sz val="14"/>
        <rFont val="Corbel"/>
        <family val="2"/>
        <scheme val="minor"/>
      </rPr>
      <t>Próximo passo</t>
    </r>
    <r>
      <rPr>
        <sz val="14"/>
        <rFont val="Corbel"/>
        <family val="2"/>
        <scheme val="minor"/>
      </rPr>
      <t xml:space="preserve"> são indicados os passos seguintes.</t>
    </r>
  </si>
  <si>
    <t>Situação - relativamente à COM 2021/C 373/01</t>
  </si>
  <si>
    <r>
      <t xml:space="preserve">Deverá usar a </t>
    </r>
    <r>
      <rPr>
        <sz val="11"/>
        <color rgb="FFFF0000"/>
        <rFont val="Corbel"/>
        <family val="2"/>
        <scheme val="minor"/>
      </rPr>
      <t>ferramenta GEE_mobilidade</t>
    </r>
    <r>
      <rPr>
        <sz val="11"/>
        <color theme="1"/>
        <rFont val="Corbel"/>
        <family val="2"/>
        <scheme val="minor"/>
      </rPr>
      <t xml:space="preserve"> para estimar as emissões absolutas do projeto em questão</t>
    </r>
  </si>
  <si>
    <t>Indique se:
O projeto diz contém aterros sanitários, instalações de incineração de resíduos (sem aproveitamento de energia) ou estações de tratamento de águas residuais;
O projeto inclui a manutenção de terrenos florestais, baldios ou agrícolas e/ou a criação de albufeiras.</t>
  </si>
  <si>
    <t>Obervações (indique a fonte ou como estimou os dados das colunas anteriores)</t>
  </si>
  <si>
    <t>Obervações (indique a fonte ou como estimou o consumo de combustível)</t>
  </si>
  <si>
    <t>Para projetos de mobilidade (renovação de frotas, construção de vias), recomenda-se o uso da ferramenta “GEE_mobilidade”, também apoiada pelo Sustentável 2030, a qual permite calcular emissões absolutas, relativas, evitadas, e custos sombra de emissões relativas.</t>
  </si>
  <si>
    <t xml:space="preserve">O quadro abaixo orienta o processo de verificação preliminar de projetos de infraestruturas em termos das suas emissões de GEE absolutas. Responda a este quadro para saber se terá de usar esta ferramenta para o cálculo de emissões de GEE no contexto da COM 2021/C 373/01 (resistência às alterações climáticas). Mesmo que a ferramenta indique que não tem necessidade de usar esta ferramenta nesse contexto, poderá usá-la na mesma para estimas as emissões de GEE da fase de operação do seu projeto na mesma. </t>
  </si>
  <si>
    <t>O projeto envolve transporte interno de mercadorias, deslocações em veículos automóveis, ou a operação de maquinaria movidos a combustíveis fósseis?</t>
  </si>
  <si>
    <t xml:space="preserve">Inclui: a operação de maquinaria móvel, como tratores, escavadoras, entre outros, ou transporte de mercadorias em camiões ou material navegante movidos a combustíveis fósseis, bem como deslocações em veículos automóveis e carrinhas? </t>
  </si>
  <si>
    <t>(A) Esta secção da ferramenta calcula as emissões devido à combustão móvel, ou seja, ao transporte de mercadorias, produtos ou passageiros (este último apenas transporte em veículos automóveis), em meios pertencentes ou não ao projeto/promotor que usem as infraetruturas apoiadas.</t>
  </si>
  <si>
    <t>Especifique o setor se selecionou "9. Outros"</t>
  </si>
  <si>
    <r>
      <t>Emissões absolutas médias anuais de GEE  (tCO</t>
    </r>
    <r>
      <rPr>
        <b/>
        <vertAlign val="subscript"/>
        <sz val="12"/>
        <color theme="1"/>
        <rFont val="Corbel"/>
        <family val="2"/>
        <scheme val="minor"/>
      </rPr>
      <t>2</t>
    </r>
    <r>
      <rPr>
        <b/>
        <sz val="12"/>
        <color theme="1"/>
        <rFont val="Corbel"/>
        <family val="2"/>
        <scheme val="minor"/>
      </rPr>
      <t>eq/ano)</t>
    </r>
  </si>
  <si>
    <t>(C) Indique a quantidade média anual de energia térmica adquirida para uso no projeto, edifício ou parte do edifício renovada, num ano normal de funcionamento (MWh/ano)</t>
  </si>
  <si>
    <t>Obervações (indique a fonte dos dados para o consumo médio anual esperado)</t>
  </si>
  <si>
    <t>Baseada nas diretrizes do Banco Europeu de Investimento (BEI), a GEE-PInfraRC privilegia a utilização de valores padrão e a comparabilidade entre diferentes projetos. Distingue-se, por isso, de outras metodologias, como o GHG Protocol ou a Calculadora de GEE para Projetos do POSEUR/APA, podendo apresentar resultados diferentes. Note-se que não estão incluídos na GEE-PInfra-RC o cálculo de emissões evitadas, a definição de cenários de referência, a determinação de custos-sombra do carbono ou a verificação de compatibilidade com metas de neutralidade climática.</t>
  </si>
  <si>
    <t>Quaisquer questões relacionadas com a GEE-PinfraRC devem ser colocadas à linha de apoio da respetiva Autoridade de Gestão do fundo a que se candidata.</t>
  </si>
  <si>
    <t>Janeiro de 2026</t>
  </si>
  <si>
    <r>
      <t xml:space="preserve">O projeto de infraestruturas está indicado para avaliação da neutralidade Climática relativamente ao princípio da Resistência ás Alteraçoes Climáticas, de acordo com as orientações técnicas sobre esta matéria para os projetos do Portugal 2030? Em caso afirmativo, a sua principal componente do projeto refere-se a mobilidade? Ex.:
•	</t>
    </r>
    <r>
      <rPr>
        <sz val="14"/>
        <rFont val="Corbel"/>
        <family val="2"/>
        <scheme val="minor"/>
      </rPr>
      <t xml:space="preserve">Compra de material circulante e navegante, frotas de transporte de passageiros
•	Infraestrutura rodoviária e ferroviária - para mobilidade. As medidas que visam a segurança rodoviária e a redução do ruído do transporte ferroviário de mercadorias podem ser isentas. </t>
    </r>
  </si>
  <si>
    <t xml:space="preserve">O projeto de infraestruturas está indicado para avaliação da neutralidade Climática relativamente ao princípio da Resistência ás Alteraçoes Climáticas, de acordo com as orientações técnicas sobre esta matéria para os projetos do Portugal 2030? </t>
  </si>
  <si>
    <r>
      <t>A GEE-PInfraRC calcula as emissões de um projeto (avaliação ex-ante) num ano típico de operação (</t>
    </r>
    <r>
      <rPr>
        <b/>
        <u/>
        <sz val="14"/>
        <color theme="1"/>
        <rFont val="Corbel"/>
        <family val="2"/>
        <scheme val="minor"/>
      </rPr>
      <t>os dados requeridos referem-se apenas à fase de operação/exploração</t>
    </r>
    <r>
      <rPr>
        <b/>
        <sz val="14"/>
        <color theme="1"/>
        <rFont val="Corbel"/>
        <family val="2"/>
        <scheme val="minor"/>
      </rPr>
      <t>), não considerando emissões associadas à construção, trabalhos preparatórios ou desmantelamento. Destina-se a apoiar a avaliação da resistência às alterações climáticas em projetos de infraestruturas.</t>
    </r>
  </si>
  <si>
    <t>Outra biomassa sólida não incluída nas categorias anteriores. Este é um valor geral para biomassa sólida.</t>
  </si>
  <si>
    <t>Outros biocombustíveis gasosos não incluídos não listados.</t>
  </si>
  <si>
    <t xml:space="preserve">(D) Os valores a preencher referem-se sempre a valores médios anuais na fase de operação/exploração. </t>
  </si>
  <si>
    <t>Descrição da operação</t>
  </si>
  <si>
    <t xml:space="preserve">3. Equipamentos / Maquinaria móvel </t>
  </si>
  <si>
    <t>Equipamentos / Maquinaria móvel</t>
  </si>
  <si>
    <t xml:space="preserve">Este separador da ferramenta permite calcular as emissões provenientes de: equipamentos de refigeração e climatização, transformadores de alta tensão, produção de semicondutores e LCDs, produção, transporte e distribuição de gás natural, produção de GNL / LNG, produção de hidrogénio não verde, produção de petróleo, outras fontes como fugas de N2O. </t>
  </si>
  <si>
    <t>V1</t>
  </si>
  <si>
    <t>V0.1</t>
  </si>
  <si>
    <t>V0.2</t>
  </si>
  <si>
    <t>Data</t>
  </si>
  <si>
    <t xml:space="preserve">Versão finalizada </t>
  </si>
  <si>
    <t>01/11/2025</t>
  </si>
  <si>
    <t>09/01/2026</t>
  </si>
  <si>
    <t>31/08/2025</t>
  </si>
  <si>
    <t xml:space="preserve">Versão para testes </t>
  </si>
  <si>
    <t xml:space="preserve">Segunda versão para testes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</si>
</sst>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00_);_(* \(#,##0.00\);_(* &quot;-&quot;??_);_(@_)"/>
    <numFmt numFmtId="165" formatCode="_-* #,##0_-;\-* #,##0_-;_-* &quot;-&quot;??_-;_-@_-"/>
    <numFmt numFmtId="166" formatCode="0.000"/>
    <numFmt numFmtId="167" formatCode="0.0000"/>
    <numFmt numFmtId="168" formatCode="0.000000"/>
    <numFmt numFmtId="169" formatCode="#,##0.000"/>
    <numFmt numFmtId="170" formatCode="_(* #,##0.0_);_(* \(#,##0.0\);_(&quot;-&quot;_);_(@_)"/>
    <numFmt numFmtId="171" formatCode="0.0"/>
    <numFmt numFmtId="172" formatCode="_(* #,##0.0_);_(* \(#,##0.0\);_(* &quot;-&quot;??_);_(@_)"/>
    <numFmt numFmtId="173" formatCode="_(* #,##0_);_(* \(#,##0\);_(&quot;-&quot;_);_(@_)"/>
    <numFmt numFmtId="174" formatCode="_-* #,##0.0000_-;\-* #,##0.0000_-;_-* &quot;-&quot;??_-;_-@_-"/>
    <numFmt numFmtId="175" formatCode="_-* #,##0.00000_-;\-* #,##0.00000_-;_-* &quot;-&quot;??_-;_-@_-"/>
    <numFmt numFmtId="176" formatCode="0.0%"/>
    <numFmt numFmtId="177" formatCode="_-* #,##0.0_-;\-* #,##0.0_-;_-* &quot;-&quot;??_-;_-@_-"/>
    <numFmt numFmtId="178" formatCode="#,##0.0_ ;\-#,##0.0\ "/>
    <numFmt numFmtId="179" formatCode="_-* #,##0.0_-;\-* #,##0.0_-;_-* &quot;-&quot;?_-;_-@_-"/>
    <numFmt numFmtId="180" formatCode="0.0E+00"/>
    <numFmt numFmtId="181" formatCode="#,##0.00_ ;\-#,##0.00\ "/>
    <numFmt numFmtId="182" formatCode="0.0_ ;\-0.0\ "/>
    <numFmt numFmtId="183" formatCode="_-* #,##0.00_-;\-* #,##0.00_-;_-* &quot;-&quot;?_-;_-@_-"/>
    <numFmt numFmtId="184" formatCode="0.00000"/>
  </numFmts>
  <fonts count="132" x14ac:knownFonts="1">
    <font>
      <sz val="11"/>
      <color theme="1"/>
      <name val="Corbel"/>
      <family val="2"/>
      <scheme val="minor"/>
    </font>
    <font>
      <sz val="10"/>
      <color theme="1"/>
      <name val="Poppins"/>
    </font>
    <font>
      <b/>
      <sz val="11"/>
      <color theme="1"/>
      <name val="Corbel"/>
      <family val="2"/>
      <scheme val="minor"/>
    </font>
    <font>
      <sz val="10"/>
      <name val="Arial"/>
      <family val="2"/>
    </font>
    <font>
      <sz val="11"/>
      <color theme="1"/>
      <name val="Poppins"/>
    </font>
    <font>
      <sz val="9"/>
      <color theme="1"/>
      <name val="Poppins"/>
    </font>
    <font>
      <b/>
      <sz val="9"/>
      <name val="Poppins"/>
    </font>
    <font>
      <b/>
      <sz val="10"/>
      <color theme="0"/>
      <name val="Poppins"/>
    </font>
    <font>
      <sz val="11"/>
      <color theme="1"/>
      <name val="Corbel"/>
      <family val="2"/>
      <scheme val="minor"/>
    </font>
    <font>
      <sz val="9"/>
      <name val="Poppins"/>
    </font>
    <font>
      <b/>
      <sz val="11"/>
      <color theme="0"/>
      <name val="Poppins"/>
    </font>
    <font>
      <sz val="11"/>
      <color theme="0"/>
      <name val="Poppins"/>
    </font>
    <font>
      <b/>
      <sz val="9"/>
      <color theme="0"/>
      <name val="Poppins"/>
    </font>
    <font>
      <sz val="11"/>
      <color theme="0"/>
      <name val="Corbel"/>
      <family val="2"/>
      <scheme val="minor"/>
    </font>
    <font>
      <u/>
      <sz val="11"/>
      <color theme="10"/>
      <name val="Corbel"/>
      <family val="2"/>
      <scheme val="minor"/>
    </font>
    <font>
      <b/>
      <sz val="14"/>
      <color theme="1"/>
      <name val="Corbel"/>
      <family val="2"/>
      <scheme val="minor"/>
    </font>
    <font>
      <b/>
      <sz val="11"/>
      <color theme="0"/>
      <name val="Corbel"/>
      <family val="2"/>
      <scheme val="minor"/>
    </font>
    <font>
      <b/>
      <sz val="9"/>
      <color theme="1"/>
      <name val="Poppins"/>
    </font>
    <font>
      <sz val="10"/>
      <color theme="0"/>
      <name val="Poppins"/>
    </font>
    <font>
      <sz val="9"/>
      <color indexed="81"/>
      <name val="Tahoma"/>
      <family val="2"/>
    </font>
    <font>
      <b/>
      <vertAlign val="subscript"/>
      <sz val="10"/>
      <color theme="0"/>
      <name val="Poppins"/>
    </font>
    <font>
      <b/>
      <sz val="10"/>
      <color rgb="FFFFFFFF"/>
      <name val="Calibri Light"/>
      <family val="2"/>
    </font>
    <font>
      <sz val="10"/>
      <color rgb="FF292934"/>
      <name val="Calibri Light"/>
      <family val="2"/>
    </font>
    <font>
      <i/>
      <sz val="10"/>
      <color indexed="10"/>
      <name val="Arial"/>
      <family val="2"/>
    </font>
    <font>
      <sz val="8"/>
      <name val="Corbel"/>
      <family val="2"/>
      <scheme val="minor"/>
    </font>
    <font>
      <b/>
      <sz val="10"/>
      <color theme="0"/>
      <name val="Arial Narrow"/>
      <family val="2"/>
    </font>
    <font>
      <b/>
      <vertAlign val="subscript"/>
      <sz val="9"/>
      <color theme="1"/>
      <name val="Poppins"/>
    </font>
    <font>
      <sz val="11"/>
      <color rgb="FFC00000"/>
      <name val="Corbel"/>
      <family val="2"/>
      <scheme val="minor"/>
    </font>
    <font>
      <b/>
      <sz val="16"/>
      <color theme="1"/>
      <name val="Corbel"/>
      <family val="2"/>
      <scheme val="minor"/>
    </font>
    <font>
      <sz val="10"/>
      <color theme="1"/>
      <name val="Corbel"/>
      <family val="2"/>
      <scheme val="minor"/>
    </font>
    <font>
      <b/>
      <sz val="14"/>
      <color theme="0"/>
      <name val="Corbel"/>
      <family val="2"/>
      <scheme val="minor"/>
    </font>
    <font>
      <vertAlign val="subscript"/>
      <sz val="11"/>
      <color theme="1"/>
      <name val="Corbel"/>
      <family val="2"/>
      <scheme val="minor"/>
    </font>
    <font>
      <b/>
      <sz val="10"/>
      <color theme="1"/>
      <name val="Corbel"/>
      <family val="2"/>
      <scheme val="minor"/>
    </font>
    <font>
      <b/>
      <sz val="9"/>
      <color indexed="81"/>
      <name val="Tahoma"/>
      <family val="2"/>
    </font>
    <font>
      <sz val="11"/>
      <color theme="2"/>
      <name val="Corbel"/>
      <family val="2"/>
      <scheme val="minor"/>
    </font>
    <font>
      <b/>
      <vertAlign val="subscript"/>
      <sz val="11"/>
      <color theme="1"/>
      <name val="Corbel"/>
      <family val="2"/>
      <scheme val="minor"/>
    </font>
    <font>
      <vertAlign val="superscript"/>
      <sz val="11"/>
      <color theme="1"/>
      <name val="Corbel"/>
      <family val="2"/>
      <scheme val="minor"/>
    </font>
    <font>
      <b/>
      <sz val="11"/>
      <name val="Corbel"/>
      <family val="2"/>
      <scheme val="minor"/>
    </font>
    <font>
      <b/>
      <i/>
      <sz val="12"/>
      <name val="Corbel"/>
      <family val="2"/>
      <scheme val="minor"/>
    </font>
    <font>
      <b/>
      <i/>
      <sz val="12"/>
      <color theme="1"/>
      <name val="Corbel"/>
      <family val="2"/>
      <scheme val="minor"/>
    </font>
    <font>
      <b/>
      <sz val="12"/>
      <name val="Corbel"/>
      <family val="2"/>
      <scheme val="minor"/>
    </font>
    <font>
      <sz val="12"/>
      <color theme="1"/>
      <name val="Corbel"/>
      <family val="2"/>
      <scheme val="minor"/>
    </font>
    <font>
      <b/>
      <sz val="12"/>
      <color theme="1"/>
      <name val="Corbel"/>
      <family val="2"/>
      <scheme val="minor"/>
    </font>
    <font>
      <sz val="12"/>
      <name val="Corbel"/>
      <family val="2"/>
      <scheme val="minor"/>
    </font>
    <font>
      <vertAlign val="subscript"/>
      <sz val="12"/>
      <name val="Corbel"/>
      <family val="2"/>
      <scheme val="minor"/>
    </font>
    <font>
      <u/>
      <sz val="12"/>
      <color theme="10"/>
      <name val="Corbel"/>
      <family val="2"/>
      <scheme val="minor"/>
    </font>
    <font>
      <b/>
      <sz val="12"/>
      <color theme="0"/>
      <name val="Corbel"/>
      <family val="2"/>
      <scheme val="minor"/>
    </font>
    <font>
      <i/>
      <sz val="12"/>
      <name val="Corbel"/>
      <family val="2"/>
      <scheme val="minor"/>
    </font>
    <font>
      <sz val="12"/>
      <color theme="0"/>
      <name val="Corbel"/>
      <family val="2"/>
      <scheme val="minor"/>
    </font>
    <font>
      <b/>
      <sz val="12"/>
      <color rgb="FFFF0000"/>
      <name val="Corbel"/>
      <family val="2"/>
      <scheme val="minor"/>
    </font>
    <font>
      <b/>
      <vertAlign val="subscript"/>
      <sz val="12"/>
      <name val="Corbel"/>
      <family val="2"/>
      <scheme val="minor"/>
    </font>
    <font>
      <b/>
      <i/>
      <sz val="12"/>
      <color rgb="FF005480"/>
      <name val="Corbel"/>
      <family val="2"/>
      <scheme val="minor"/>
    </font>
    <font>
      <sz val="12"/>
      <color rgb="FF005480"/>
      <name val="Corbel"/>
      <family val="2"/>
      <scheme val="minor"/>
    </font>
    <font>
      <sz val="12"/>
      <color indexed="9"/>
      <name val="Corbel"/>
      <family val="2"/>
      <scheme val="minor"/>
    </font>
    <font>
      <b/>
      <vertAlign val="subscript"/>
      <sz val="12"/>
      <color theme="0"/>
      <name val="Corbel"/>
      <family val="2"/>
      <scheme val="minor"/>
    </font>
    <font>
      <b/>
      <sz val="12"/>
      <color rgb="FF02A39C"/>
      <name val="Corbel"/>
      <family val="2"/>
      <scheme val="minor"/>
    </font>
    <font>
      <b/>
      <vertAlign val="subscript"/>
      <sz val="12"/>
      <color theme="1"/>
      <name val="Corbel"/>
      <family val="2"/>
      <scheme val="minor"/>
    </font>
    <font>
      <sz val="11"/>
      <color theme="2" tint="-9.9978637043366805E-2"/>
      <name val="Corbel"/>
      <family val="2"/>
      <scheme val="minor"/>
    </font>
    <font>
      <u/>
      <sz val="12"/>
      <color theme="1"/>
      <name val="Corbel"/>
      <family val="2"/>
      <scheme val="minor"/>
    </font>
    <font>
      <b/>
      <sz val="12"/>
      <color theme="8" tint="0.39997558519241921"/>
      <name val="Corbel"/>
      <family val="2"/>
      <scheme val="minor"/>
    </font>
    <font>
      <vertAlign val="subscript"/>
      <sz val="12"/>
      <color theme="1"/>
      <name val="Corbel"/>
      <family val="2"/>
      <scheme val="minor"/>
    </font>
    <font>
      <i/>
      <sz val="12"/>
      <color rgb="FF005480"/>
      <name val="Corbel"/>
      <family val="2"/>
      <scheme val="minor"/>
    </font>
    <font>
      <i/>
      <sz val="12"/>
      <color theme="1"/>
      <name val="Corbel"/>
      <family val="2"/>
      <scheme val="minor"/>
    </font>
    <font>
      <sz val="12"/>
      <color rgb="FFFF0000"/>
      <name val="Corbel"/>
      <family val="2"/>
      <scheme val="minor"/>
    </font>
    <font>
      <b/>
      <sz val="12"/>
      <color rgb="FFFF6600"/>
      <name val="Corbel"/>
      <family val="2"/>
      <scheme val="minor"/>
    </font>
    <font>
      <b/>
      <i/>
      <sz val="12"/>
      <color theme="0"/>
      <name val="Corbel"/>
      <family val="2"/>
      <scheme val="minor"/>
    </font>
    <font>
      <u/>
      <sz val="12"/>
      <name val="Corbel"/>
      <family val="2"/>
      <scheme val="minor"/>
    </font>
    <font>
      <b/>
      <i/>
      <sz val="14"/>
      <name val="Corbel"/>
      <family val="2"/>
      <scheme val="minor"/>
    </font>
    <font>
      <b/>
      <sz val="14"/>
      <name val="Corbel"/>
      <family val="2"/>
      <scheme val="minor"/>
    </font>
    <font>
      <b/>
      <sz val="12"/>
      <color theme="8" tint="-0.249977111117893"/>
      <name val="Corbel"/>
      <family val="2"/>
      <scheme val="minor"/>
    </font>
    <font>
      <sz val="14"/>
      <color theme="1"/>
      <name val="Corbel"/>
      <family val="2"/>
      <scheme val="minor"/>
    </font>
    <font>
      <i/>
      <u/>
      <sz val="14"/>
      <color theme="1"/>
      <name val="Corbel"/>
      <family val="2"/>
      <scheme val="minor"/>
    </font>
    <font>
      <i/>
      <sz val="14"/>
      <color theme="1"/>
      <name val="Corbel"/>
      <family val="2"/>
      <scheme val="minor"/>
    </font>
    <font>
      <b/>
      <sz val="14"/>
      <color theme="5"/>
      <name val="Corbel"/>
      <family val="2"/>
      <scheme val="minor"/>
    </font>
    <font>
      <sz val="14"/>
      <color theme="0"/>
      <name val="Corbel"/>
      <family val="2"/>
      <scheme val="minor"/>
    </font>
    <font>
      <u/>
      <sz val="14"/>
      <color theme="10"/>
      <name val="Corbel"/>
      <family val="2"/>
      <scheme val="minor"/>
    </font>
    <font>
      <sz val="14"/>
      <name val="Corbel"/>
      <family val="2"/>
      <scheme val="minor"/>
    </font>
    <font>
      <i/>
      <u/>
      <sz val="14"/>
      <name val="Corbel"/>
      <family val="2"/>
      <scheme val="minor"/>
    </font>
    <font>
      <sz val="14"/>
      <color rgb="FFFF0000"/>
      <name val="Corbel"/>
      <family val="2"/>
      <scheme val="minor"/>
    </font>
    <font>
      <b/>
      <sz val="14"/>
      <color rgb="FF000000"/>
      <name val="Corbel"/>
      <family val="2"/>
      <scheme val="minor"/>
    </font>
    <font>
      <b/>
      <sz val="16"/>
      <name val="Corbel"/>
      <family val="2"/>
      <scheme val="minor"/>
    </font>
    <font>
      <b/>
      <sz val="12"/>
      <color indexed="10"/>
      <name val="Corbel"/>
      <family val="2"/>
      <scheme val="minor"/>
    </font>
    <font>
      <sz val="12"/>
      <color theme="2" tint="-9.9978637043366805E-2"/>
      <name val="Corbel"/>
      <family val="2"/>
      <scheme val="minor"/>
    </font>
    <font>
      <vertAlign val="superscript"/>
      <sz val="12"/>
      <name val="Corbel"/>
      <family val="2"/>
      <scheme val="minor"/>
    </font>
    <font>
      <b/>
      <i/>
      <sz val="12"/>
      <color theme="0" tint="-4.9989318521683403E-2"/>
      <name val="Corbel"/>
      <family val="2"/>
      <scheme val="minor"/>
    </font>
    <font>
      <b/>
      <sz val="12"/>
      <color theme="0" tint="-4.9989318521683403E-2"/>
      <name val="Corbel"/>
      <family val="2"/>
      <scheme val="minor"/>
    </font>
    <font>
      <sz val="12"/>
      <color theme="0" tint="-4.9989318521683403E-2"/>
      <name val="Corbel"/>
      <family val="2"/>
      <scheme val="minor"/>
    </font>
    <font>
      <i/>
      <sz val="12"/>
      <color theme="0" tint="-4.9989318521683403E-2"/>
      <name val="Corbel"/>
      <family val="2"/>
      <scheme val="minor"/>
    </font>
    <font>
      <b/>
      <sz val="12"/>
      <color indexed="50"/>
      <name val="Corbel"/>
      <family val="2"/>
      <scheme val="minor"/>
    </font>
    <font>
      <sz val="12"/>
      <color indexed="10"/>
      <name val="Corbel"/>
      <family val="2"/>
      <scheme val="minor"/>
    </font>
    <font>
      <sz val="12"/>
      <color rgb="FF292934"/>
      <name val="Corbel"/>
      <family val="2"/>
      <scheme val="minor"/>
    </font>
    <font>
      <vertAlign val="superscript"/>
      <sz val="12"/>
      <color theme="1"/>
      <name val="Corbel"/>
      <family val="2"/>
      <scheme val="minor"/>
    </font>
    <font>
      <b/>
      <sz val="12"/>
      <color rgb="FFFFFF00"/>
      <name val="Corbel"/>
      <family val="2"/>
      <scheme val="minor"/>
    </font>
    <font>
      <b/>
      <vertAlign val="subscript"/>
      <sz val="12"/>
      <color theme="0" tint="-4.9989318521683403E-2"/>
      <name val="Corbel"/>
      <family val="2"/>
      <scheme val="minor"/>
    </font>
    <font>
      <b/>
      <sz val="14"/>
      <color theme="0" tint="-4.9989318521683403E-2"/>
      <name val="Corbel"/>
      <family val="2"/>
      <scheme val="minor"/>
    </font>
    <font>
      <sz val="12"/>
      <color rgb="FFC00000"/>
      <name val="Corbel"/>
      <family val="2"/>
      <scheme val="minor"/>
    </font>
    <font>
      <sz val="12"/>
      <color indexed="23"/>
      <name val="Corbel"/>
      <family val="2"/>
      <scheme val="minor"/>
    </font>
    <font>
      <b/>
      <sz val="11"/>
      <color theme="6"/>
      <name val="Corbel"/>
      <family val="2"/>
      <scheme val="minor"/>
    </font>
    <font>
      <b/>
      <sz val="16"/>
      <color theme="0"/>
      <name val="Corbel"/>
      <family val="2"/>
      <scheme val="minor"/>
    </font>
    <font>
      <sz val="11"/>
      <name val="Corbel"/>
      <family val="2"/>
      <scheme val="minor"/>
    </font>
    <font>
      <b/>
      <sz val="14"/>
      <color rgb="FF005480"/>
      <name val="Corbel"/>
      <family val="2"/>
      <scheme val="minor"/>
    </font>
    <font>
      <b/>
      <i/>
      <sz val="14"/>
      <color theme="0" tint="-4.9989318521683403E-2"/>
      <name val="Corbel"/>
      <family val="2"/>
      <scheme val="minor"/>
    </font>
    <font>
      <sz val="14"/>
      <color theme="0" tint="-4.9989318521683403E-2"/>
      <name val="Corbel"/>
      <family val="2"/>
      <scheme val="minor"/>
    </font>
    <font>
      <b/>
      <sz val="14"/>
      <color rgb="FFFF0000"/>
      <name val="Corbel"/>
      <family val="2"/>
      <scheme val="minor"/>
    </font>
    <font>
      <b/>
      <u/>
      <sz val="12"/>
      <name val="Corbel"/>
      <family val="2"/>
      <scheme val="minor"/>
    </font>
    <font>
      <sz val="16"/>
      <color theme="0"/>
      <name val="Corbel"/>
      <family val="2"/>
      <scheme val="minor"/>
    </font>
    <font>
      <sz val="11"/>
      <color rgb="FFFF0000"/>
      <name val="Corbel"/>
      <family val="2"/>
      <scheme val="minor"/>
    </font>
    <font>
      <b/>
      <sz val="18"/>
      <color theme="1"/>
      <name val="Corbel"/>
      <family val="2"/>
      <scheme val="minor"/>
    </font>
    <font>
      <u/>
      <sz val="14"/>
      <name val="Corbel"/>
      <family val="2"/>
      <scheme val="minor"/>
    </font>
    <font>
      <i/>
      <sz val="12"/>
      <color rgb="FFFF0000"/>
      <name val="Corbel"/>
      <family val="2"/>
      <scheme val="minor"/>
    </font>
    <font>
      <b/>
      <sz val="18"/>
      <name val="Corbel"/>
      <family val="2"/>
      <scheme val="minor"/>
    </font>
    <font>
      <b/>
      <i/>
      <vertAlign val="subscript"/>
      <sz val="12"/>
      <color theme="1"/>
      <name val="Corbel"/>
      <family val="2"/>
      <scheme val="minor"/>
    </font>
    <font>
      <i/>
      <sz val="11"/>
      <color theme="1"/>
      <name val="Corbel"/>
      <family val="2"/>
      <scheme val="minor"/>
    </font>
    <font>
      <b/>
      <i/>
      <vertAlign val="subscript"/>
      <sz val="12"/>
      <name val="Corbel"/>
      <family val="2"/>
      <scheme val="minor"/>
    </font>
    <font>
      <b/>
      <i/>
      <vertAlign val="subscript"/>
      <sz val="12"/>
      <color theme="0"/>
      <name val="Corbel"/>
      <family val="2"/>
      <scheme val="minor"/>
    </font>
    <font>
      <b/>
      <sz val="11"/>
      <color rgb="FFFF0000"/>
      <name val="Corbel"/>
      <family val="2"/>
      <scheme val="minor"/>
    </font>
    <font>
      <b/>
      <sz val="9"/>
      <color rgb="FFFF0000"/>
      <name val="Poppins"/>
    </font>
    <font>
      <b/>
      <sz val="14"/>
      <color theme="5" tint="-0.499984740745262"/>
      <name val="Corbel"/>
      <family val="2"/>
      <scheme val="minor"/>
    </font>
    <font>
      <b/>
      <sz val="16"/>
      <color theme="5"/>
      <name val="Corbel"/>
      <family val="2"/>
      <scheme val="minor"/>
    </font>
    <font>
      <b/>
      <sz val="14"/>
      <color theme="4"/>
      <name val="Corbel"/>
      <family val="2"/>
      <scheme val="minor"/>
    </font>
    <font>
      <b/>
      <sz val="12"/>
      <color theme="5"/>
      <name val="Corbel"/>
      <family val="2"/>
      <scheme val="minor"/>
    </font>
    <font>
      <b/>
      <sz val="20"/>
      <name val="Corbel"/>
      <family val="2"/>
      <scheme val="minor"/>
    </font>
    <font>
      <sz val="14"/>
      <color theme="7" tint="0.79998168889431442"/>
      <name val="Corbel"/>
      <family val="2"/>
      <scheme val="minor"/>
    </font>
    <font>
      <sz val="12"/>
      <color theme="5"/>
      <name val="Corbel"/>
      <family val="2"/>
      <scheme val="minor"/>
    </font>
    <font>
      <b/>
      <sz val="20"/>
      <color theme="1"/>
      <name val="Corbel"/>
      <family val="2"/>
      <scheme val="minor"/>
    </font>
    <font>
      <sz val="16"/>
      <color theme="1"/>
      <name val="Corbel"/>
      <family val="2"/>
      <scheme val="minor"/>
    </font>
    <font>
      <b/>
      <sz val="32"/>
      <color theme="5"/>
      <name val="Corbel"/>
      <family val="2"/>
      <scheme val="minor"/>
    </font>
    <font>
      <b/>
      <sz val="18"/>
      <color theme="5"/>
      <name val="Corbel"/>
      <family val="2"/>
      <scheme val="minor"/>
    </font>
    <font>
      <i/>
      <sz val="14"/>
      <name val="Corbel"/>
      <family val="2"/>
      <scheme val="minor"/>
    </font>
    <font>
      <b/>
      <sz val="12"/>
      <color theme="8"/>
      <name val="Corbel"/>
      <family val="2"/>
      <scheme val="minor"/>
    </font>
    <font>
      <b/>
      <sz val="36"/>
      <color theme="1"/>
      <name val="Corbel"/>
      <family val="2"/>
      <scheme val="minor"/>
    </font>
    <font>
      <b/>
      <u/>
      <sz val="14"/>
      <color theme="1"/>
      <name val="Corbel"/>
      <family val="2"/>
      <scheme val="minor"/>
    </font>
  </fonts>
  <fills count="57">
    <fill>
      <patternFill patternType="none"/>
    </fill>
    <fill>
      <patternFill patternType="gray125"/>
    </fill>
    <fill>
      <patternFill patternType="solid">
        <fgColor indexed="9"/>
        <bgColor indexed="64"/>
      </patternFill>
    </fill>
    <fill>
      <patternFill patternType="solid">
        <fgColor rgb="FF58D4CC"/>
        <bgColor indexed="64"/>
      </patternFill>
    </fill>
    <fill>
      <patternFill patternType="solid">
        <fgColor rgb="FF02A39C"/>
        <bgColor indexed="64"/>
      </patternFill>
    </fill>
    <fill>
      <patternFill patternType="solid">
        <fgColor rgb="FFA3D961"/>
        <bgColor indexed="64"/>
      </patternFill>
    </fill>
    <fill>
      <patternFill patternType="solid">
        <fgColor theme="7" tint="0.79998168889431442"/>
        <bgColor indexed="64"/>
      </patternFill>
    </fill>
    <fill>
      <patternFill patternType="solid">
        <fgColor rgb="FFA3D9FF"/>
        <bgColor indexed="64"/>
      </patternFill>
    </fill>
    <fill>
      <patternFill patternType="solid">
        <fgColor theme="9" tint="0.79998168889431442"/>
        <bgColor indexed="64"/>
      </patternFill>
    </fill>
    <fill>
      <patternFill patternType="solid">
        <fgColor theme="2"/>
        <bgColor indexed="64"/>
      </patternFill>
    </fill>
    <fill>
      <patternFill patternType="solid">
        <fgColor rgb="FF005480"/>
        <bgColor indexed="64"/>
      </patternFill>
    </fill>
    <fill>
      <patternFill patternType="solid">
        <fgColor rgb="FFFFFF00"/>
        <bgColor indexed="64"/>
      </patternFill>
    </fill>
    <fill>
      <patternFill patternType="solid">
        <fgColor rgb="FFFFFFFF"/>
        <bgColor rgb="FF000000"/>
      </patternFill>
    </fill>
    <fill>
      <patternFill patternType="solid">
        <fgColor theme="0"/>
        <bgColor indexed="64"/>
      </patternFill>
    </fill>
    <fill>
      <patternFill patternType="solid">
        <fgColor indexed="44"/>
        <bgColor indexed="64"/>
      </patternFill>
    </fill>
    <fill>
      <patternFill patternType="solid">
        <fgColor theme="9" tint="0.59996337778862885"/>
        <bgColor indexed="64"/>
      </patternFill>
    </fill>
    <fill>
      <patternFill patternType="solid">
        <fgColor theme="0" tint="-0.34998626667073579"/>
        <bgColor indexed="64"/>
      </patternFill>
    </fill>
    <fill>
      <patternFill patternType="solid">
        <fgColor rgb="FF808DA0"/>
        <bgColor indexed="64"/>
      </patternFill>
    </fill>
    <fill>
      <patternFill patternType="solid">
        <fgColor rgb="FFEDEEF0"/>
        <bgColor indexed="64"/>
      </patternFill>
    </fill>
    <fill>
      <patternFill patternType="solid">
        <fgColor theme="9"/>
        <bgColor indexed="64"/>
      </patternFill>
    </fill>
    <fill>
      <patternFill patternType="solid">
        <fgColor theme="5" tint="0.39997558519241921"/>
        <bgColor indexed="65"/>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bgColor indexed="64"/>
      </patternFill>
    </fill>
    <fill>
      <patternFill patternType="solid">
        <fgColor theme="6"/>
        <bgColor indexed="64"/>
      </patternFill>
    </fill>
    <fill>
      <patternFill patternType="solid">
        <fgColor theme="9" tint="0.59999389629810485"/>
        <bgColor indexed="64"/>
      </patternFill>
    </fill>
    <fill>
      <patternFill patternType="solid">
        <fgColor theme="4"/>
        <bgColor indexed="64"/>
      </patternFill>
    </fill>
    <fill>
      <patternFill patternType="solid">
        <fgColor theme="2" tint="-0.249977111117893"/>
        <bgColor indexed="64"/>
      </patternFill>
    </fill>
    <fill>
      <patternFill patternType="solid">
        <fgColor theme="3"/>
        <bgColor indexed="64"/>
      </patternFill>
    </fill>
    <fill>
      <patternFill patternType="darkUp">
        <bgColor theme="0"/>
      </patternFill>
    </fill>
    <fill>
      <patternFill patternType="solid">
        <fgColor theme="0" tint="-0.149998474074526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5"/>
        <bgColor indexed="64"/>
      </patternFill>
    </fill>
    <fill>
      <patternFill patternType="darkUp">
        <fgColor auto="1"/>
      </patternFill>
    </fill>
    <fill>
      <patternFill patternType="darkUp">
        <bgColor theme="9" tint="0.79995117038483843"/>
      </patternFill>
    </fill>
    <fill>
      <patternFill patternType="solid">
        <fgColor theme="8" tint="-0.499984740745262"/>
        <bgColor indexed="64"/>
      </patternFill>
    </fill>
    <fill>
      <patternFill patternType="darkUp">
        <fgColor auto="1"/>
        <bgColor theme="0"/>
      </patternFill>
    </fill>
    <fill>
      <patternFill patternType="darkUp">
        <fgColor theme="1"/>
        <bgColor theme="0"/>
      </patternFill>
    </fill>
    <fill>
      <patternFill patternType="solid">
        <fgColor theme="5" tint="-0.249977111117893"/>
        <bgColor indexed="64"/>
      </patternFill>
    </fill>
    <fill>
      <patternFill patternType="solid">
        <fgColor rgb="FFFFCC66"/>
        <bgColor indexed="64"/>
      </patternFill>
    </fill>
    <fill>
      <patternFill patternType="solid">
        <fgColor theme="8" tint="0.79998168889431442"/>
        <bgColor indexed="64"/>
      </patternFill>
    </fill>
    <fill>
      <patternFill patternType="darkUp">
        <bgColor theme="8" tint="0.79998168889431442"/>
      </patternFill>
    </fill>
    <fill>
      <patternFill patternType="darkUp">
        <fgColor theme="1"/>
        <bgColor theme="8" tint="0.79998168889431442"/>
      </patternFill>
    </fill>
    <fill>
      <patternFill patternType="darkUp">
        <fgColor auto="1"/>
        <bgColor theme="8" tint="0.79998168889431442"/>
      </patternFill>
    </fill>
    <fill>
      <patternFill patternType="solid">
        <fgColor theme="7" tint="0.59999389629810485"/>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rgb="FFFFC000"/>
        <bgColor indexed="64"/>
      </patternFill>
    </fill>
    <fill>
      <patternFill patternType="solid">
        <fgColor rgb="FFFF9900"/>
        <bgColor indexed="64"/>
      </patternFill>
    </fill>
    <fill>
      <patternFill patternType="solid">
        <fgColor theme="8"/>
        <bgColor indexed="64"/>
      </patternFill>
    </fill>
    <fill>
      <patternFill patternType="solid">
        <fgColor theme="6" tint="0.79998168889431442"/>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9"/>
      </left>
      <right/>
      <top/>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style="thin">
        <color indexed="9"/>
      </bottom>
      <diagonal/>
    </border>
    <border>
      <left/>
      <right/>
      <top/>
      <bottom style="thin">
        <color indexed="9"/>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style="medium">
        <color rgb="FFFFFFFF"/>
      </left>
      <right/>
      <top style="medium">
        <color rgb="FFFFFFFF"/>
      </top>
      <bottom style="thick">
        <color rgb="FFFFFFFF"/>
      </bottom>
      <diagonal/>
    </border>
    <border>
      <left style="thick">
        <color rgb="FFFFFFFF"/>
      </left>
      <right style="medium">
        <color rgb="FFFFFFFF"/>
      </right>
      <top style="thick">
        <color rgb="FFFFFFFF"/>
      </top>
      <bottom/>
      <diagonal/>
    </border>
    <border>
      <left style="thick">
        <color rgb="FFFFFFFF"/>
      </left>
      <right style="medium">
        <color rgb="FFFFFFFF"/>
      </right>
      <top/>
      <bottom style="medium">
        <color rgb="FFFFFFFF"/>
      </bottom>
      <diagonal/>
    </border>
    <border>
      <left style="medium">
        <color rgb="FFFFFFFF"/>
      </left>
      <right style="medium">
        <color rgb="FFFFFFFF"/>
      </right>
      <top style="thick">
        <color rgb="FFFFFFFF"/>
      </top>
      <bottom style="medium">
        <color rgb="FFFFFFFF"/>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rgb="FF000000"/>
      </left>
      <right style="thin">
        <color rgb="FF000000"/>
      </right>
      <top style="thin">
        <color rgb="FF000000"/>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rgb="FFFFFFFF"/>
      </top>
      <bottom style="thick">
        <color rgb="FFFFFFFF"/>
      </bottom>
      <diagonal/>
    </border>
    <border>
      <left style="medium">
        <color rgb="FFFFFFFF"/>
      </left>
      <right/>
      <top style="thick">
        <color rgb="FFFFFFFF"/>
      </top>
      <bottom/>
      <diagonal/>
    </border>
    <border>
      <left style="medium">
        <color rgb="FFFFFFFF"/>
      </left>
      <right/>
      <top/>
      <bottom style="medium">
        <color rgb="FFFFFFFF"/>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top style="thin">
        <color indexed="64"/>
      </top>
      <bottom style="double">
        <color indexed="64"/>
      </bottom>
      <diagonal/>
    </border>
    <border>
      <left/>
      <right/>
      <top style="double">
        <color indexed="64"/>
      </top>
      <bottom/>
      <diagonal/>
    </border>
    <border>
      <left style="medium">
        <color rgb="FFFFFFFF"/>
      </left>
      <right style="thick">
        <color rgb="FFFFFFFF"/>
      </right>
      <top/>
      <bottom/>
      <diagonal/>
    </border>
    <border>
      <left style="medium">
        <color rgb="FFFFFFFF"/>
      </left>
      <right style="thick">
        <color rgb="FFFFFFFF"/>
      </right>
      <top/>
      <bottom style="thick">
        <color rgb="FFFFFFFF"/>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top style="thin">
        <color indexed="9"/>
      </top>
      <bottom style="thin">
        <color indexed="9"/>
      </bottom>
      <diagonal/>
    </border>
    <border>
      <left/>
      <right/>
      <top style="thick">
        <color theme="5"/>
      </top>
      <bottom style="thick">
        <color theme="5"/>
      </bottom>
      <diagonal/>
    </border>
    <border>
      <left style="thin">
        <color theme="5"/>
      </left>
      <right style="thin">
        <color theme="5"/>
      </right>
      <top style="thin">
        <color theme="5"/>
      </top>
      <bottom style="thin">
        <color theme="5"/>
      </bottom>
      <diagonal/>
    </border>
    <border>
      <left/>
      <right/>
      <top/>
      <bottom style="thin">
        <color theme="7"/>
      </bottom>
      <diagonal/>
    </border>
    <border>
      <left/>
      <right/>
      <top style="thin">
        <color theme="7"/>
      </top>
      <bottom style="thin">
        <color theme="7"/>
      </bottom>
      <diagonal/>
    </border>
    <border>
      <left/>
      <right/>
      <top style="thin">
        <color theme="7"/>
      </top>
      <bottom/>
      <diagonal/>
    </border>
    <border>
      <left style="thin">
        <color indexed="9"/>
      </left>
      <right/>
      <top/>
      <bottom style="thin">
        <color indexed="9"/>
      </bottom>
      <diagonal/>
    </border>
  </borders>
  <cellStyleXfs count="10">
    <xf numFmtId="0" fontId="0" fillId="0" borderId="0"/>
    <xf numFmtId="164" fontId="3" fillId="0" borderId="0" applyFont="0" applyFill="0" applyBorder="0" applyAlignment="0" applyProtection="0"/>
    <xf numFmtId="43" fontId="8" fillId="0" borderId="0" applyFont="0" applyFill="0" applyBorder="0" applyAlignment="0" applyProtection="0"/>
    <xf numFmtId="0" fontId="14" fillId="0" borderId="0" applyNumberFormat="0" applyFill="0" applyBorder="0" applyAlignment="0" applyProtection="0"/>
    <xf numFmtId="0" fontId="3" fillId="14" borderId="0" applyNumberFormat="0" applyFont="0" applyBorder="0" applyAlignment="0" applyProtection="0"/>
    <xf numFmtId="9" fontId="8" fillId="0" borderId="0" applyFont="0" applyFill="0" applyBorder="0" applyAlignment="0" applyProtection="0"/>
    <xf numFmtId="0" fontId="3" fillId="15" borderId="0" applyNumberFormat="0" applyFont="0" applyBorder="0" applyAlignment="0">
      <protection locked="0"/>
    </xf>
    <xf numFmtId="170" fontId="23" fillId="13" borderId="0" applyNumberFormat="0" applyBorder="0" applyAlignment="0">
      <alignment horizontal="left" vertical="center"/>
    </xf>
    <xf numFmtId="0" fontId="8" fillId="20" borderId="0" applyNumberFormat="0" applyBorder="0" applyAlignment="0" applyProtection="0"/>
    <xf numFmtId="0" fontId="3" fillId="0" borderId="0"/>
  </cellStyleXfs>
  <cellXfs count="1440">
    <xf numFmtId="0" fontId="0" fillId="0" borderId="0" xfId="0"/>
    <xf numFmtId="0" fontId="0" fillId="0" borderId="0" xfId="0" applyAlignment="1">
      <alignment horizontal="center" vertical="center"/>
    </xf>
    <xf numFmtId="0" fontId="1" fillId="0" borderId="0" xfId="0" applyFont="1"/>
    <xf numFmtId="0" fontId="2" fillId="0" borderId="7"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1" fillId="0" borderId="7" xfId="0" applyFont="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9" fontId="0" fillId="0" borderId="7" xfId="0" applyNumberFormat="1" applyBorder="1" applyAlignment="1">
      <alignment horizontal="center" vertical="center"/>
    </xf>
    <xf numFmtId="0" fontId="13" fillId="10" borderId="0" xfId="0" applyFont="1" applyFill="1"/>
    <xf numFmtId="0" fontId="7" fillId="10" borderId="0" xfId="0" applyFont="1" applyFill="1"/>
    <xf numFmtId="0" fontId="7" fillId="3" borderId="7" xfId="0" applyFont="1" applyFill="1" applyBorder="1" applyAlignment="1">
      <alignment horizontal="center" vertical="center"/>
    </xf>
    <xf numFmtId="0" fontId="7" fillId="4" borderId="7" xfId="0" applyFont="1" applyFill="1" applyBorder="1" applyAlignment="1">
      <alignment horizontal="center" vertical="center"/>
    </xf>
    <xf numFmtId="0" fontId="7" fillId="5" borderId="7" xfId="0" applyFont="1" applyFill="1" applyBorder="1" applyAlignment="1">
      <alignment horizontal="center" vertical="center"/>
    </xf>
    <xf numFmtId="0" fontId="0" fillId="0" borderId="17" xfId="0" applyBorder="1" applyAlignment="1">
      <alignment horizontal="center" vertical="center"/>
    </xf>
    <xf numFmtId="0" fontId="2" fillId="0" borderId="0" xfId="0" applyFont="1" applyAlignment="1">
      <alignment horizontal="center" vertical="center"/>
    </xf>
    <xf numFmtId="2" fontId="4" fillId="0" borderId="6" xfId="0" applyNumberFormat="1" applyFont="1" applyBorder="1" applyAlignment="1">
      <alignment horizontal="center" vertical="center"/>
    </xf>
    <xf numFmtId="2" fontId="4" fillId="0" borderId="7" xfId="0" applyNumberFormat="1" applyFont="1" applyBorder="1" applyAlignment="1">
      <alignment horizontal="center" vertical="center"/>
    </xf>
    <xf numFmtId="0" fontId="4" fillId="0" borderId="7" xfId="0" applyFont="1" applyBorder="1" applyAlignment="1">
      <alignment horizontal="center" vertical="center"/>
    </xf>
    <xf numFmtId="0" fontId="6" fillId="5" borderId="15" xfId="0" applyFont="1" applyFill="1" applyBorder="1" applyAlignment="1">
      <alignment horizontal="center" vertical="center" wrapText="1"/>
    </xf>
    <xf numFmtId="0" fontId="0" fillId="0" borderId="7" xfId="0" applyBorder="1"/>
    <xf numFmtId="0" fontId="7" fillId="3" borderId="15" xfId="0" applyFont="1" applyFill="1" applyBorder="1" applyAlignment="1">
      <alignment horizontal="center" vertical="center"/>
    </xf>
    <xf numFmtId="0" fontId="7" fillId="4" borderId="15" xfId="0" applyFont="1" applyFill="1" applyBorder="1" applyAlignment="1">
      <alignment horizontal="center" vertical="center"/>
    </xf>
    <xf numFmtId="0" fontId="7" fillId="5" borderId="15" xfId="0" applyFont="1" applyFill="1" applyBorder="1" applyAlignment="1">
      <alignment horizontal="center" vertical="center"/>
    </xf>
    <xf numFmtId="0" fontId="2" fillId="0" borderId="20" xfId="0" applyFont="1" applyBorder="1" applyAlignment="1">
      <alignment horizontal="center" vertical="center"/>
    </xf>
    <xf numFmtId="0" fontId="2" fillId="0" borderId="8" xfId="0" applyFont="1" applyBorder="1" applyAlignment="1">
      <alignment horizontal="center" vertical="center"/>
    </xf>
    <xf numFmtId="0" fontId="6" fillId="5" borderId="17" xfId="0" applyFont="1" applyFill="1" applyBorder="1" applyAlignment="1">
      <alignment horizontal="center" vertical="center"/>
    </xf>
    <xf numFmtId="0" fontId="18" fillId="4" borderId="4" xfId="0" applyFont="1" applyFill="1" applyBorder="1" applyAlignment="1">
      <alignment horizontal="left" vertical="center" indent="1"/>
    </xf>
    <xf numFmtId="0" fontId="11" fillId="10" borderId="0" xfId="0" applyFont="1" applyFill="1"/>
    <xf numFmtId="165" fontId="17" fillId="8" borderId="7" xfId="2" applyNumberFormat="1" applyFont="1" applyFill="1" applyBorder="1" applyAlignment="1">
      <alignment horizontal="center" vertical="center" wrapText="1"/>
    </xf>
    <xf numFmtId="0" fontId="5" fillId="0" borderId="7" xfId="0" applyFont="1" applyBorder="1" applyAlignment="1">
      <alignment horizontal="center" vertical="center"/>
    </xf>
    <xf numFmtId="0" fontId="0" fillId="0" borderId="7" xfId="0" applyBorder="1" applyAlignment="1">
      <alignment horizontal="center"/>
    </xf>
    <xf numFmtId="2" fontId="0" fillId="0" borderId="7" xfId="0" applyNumberFormat="1" applyBorder="1" applyAlignment="1">
      <alignment horizontal="center"/>
    </xf>
    <xf numFmtId="0" fontId="0" fillId="0" borderId="24" xfId="0" applyBorder="1" applyAlignment="1">
      <alignment horizontal="center"/>
    </xf>
    <xf numFmtId="0" fontId="0" fillId="0" borderId="24" xfId="0" applyBorder="1" applyAlignment="1">
      <alignment horizontal="center" vertical="center"/>
    </xf>
    <xf numFmtId="0" fontId="7" fillId="5" borderId="14" xfId="0" applyFont="1" applyFill="1" applyBorder="1" applyAlignment="1">
      <alignment horizontal="center" vertical="center"/>
    </xf>
    <xf numFmtId="2" fontId="0" fillId="0" borderId="7" xfId="0" applyNumberFormat="1" applyBorder="1" applyAlignment="1">
      <alignment horizontal="center" vertical="center"/>
    </xf>
    <xf numFmtId="0" fontId="0" fillId="0" borderId="23" xfId="0" applyBorder="1" applyAlignment="1">
      <alignment horizontal="center" vertical="center"/>
    </xf>
    <xf numFmtId="2" fontId="0" fillId="0" borderId="34" xfId="0" applyNumberFormat="1" applyBorder="1" applyAlignment="1">
      <alignment horizontal="center" vertical="center"/>
    </xf>
    <xf numFmtId="0" fontId="21" fillId="17" borderId="48" xfId="0" applyFont="1" applyFill="1" applyBorder="1" applyAlignment="1">
      <alignment horizontal="left" vertical="center" wrapText="1" readingOrder="1"/>
    </xf>
    <xf numFmtId="0" fontId="21" fillId="17" borderId="49" xfId="0" applyFont="1" applyFill="1" applyBorder="1" applyAlignment="1">
      <alignment horizontal="left" vertical="center" wrapText="1" readingOrder="1"/>
    </xf>
    <xf numFmtId="0" fontId="0" fillId="17" borderId="50" xfId="0" applyFill="1" applyBorder="1" applyAlignment="1">
      <alignment vertical="center" wrapText="1"/>
    </xf>
    <xf numFmtId="9" fontId="22" fillId="18" borderId="54" xfId="0" applyNumberFormat="1" applyFont="1" applyFill="1" applyBorder="1" applyAlignment="1">
      <alignment horizontal="left" vertical="center" wrapText="1" readingOrder="1"/>
    </xf>
    <xf numFmtId="0" fontId="7" fillId="10" borderId="7" xfId="0" applyFont="1" applyFill="1" applyBorder="1" applyAlignment="1">
      <alignment horizontal="center" vertical="center"/>
    </xf>
    <xf numFmtId="0" fontId="2" fillId="0" borderId="7" xfId="0" applyFont="1" applyBorder="1"/>
    <xf numFmtId="0" fontId="7" fillId="10" borderId="7" xfId="0" applyFont="1" applyFill="1" applyBorder="1" applyAlignment="1">
      <alignment horizontal="center" vertical="center" wrapText="1"/>
    </xf>
    <xf numFmtId="0" fontId="16" fillId="10" borderId="7" xfId="0" applyFont="1" applyFill="1" applyBorder="1" applyAlignment="1">
      <alignment horizontal="center" vertical="center"/>
    </xf>
    <xf numFmtId="0" fontId="2" fillId="0" borderId="0" xfId="0" applyFont="1"/>
    <xf numFmtId="9" fontId="0" fillId="0" borderId="7" xfId="0" applyNumberFormat="1" applyBorder="1" applyAlignment="1">
      <alignment horizontal="center"/>
    </xf>
    <xf numFmtId="0" fontId="7" fillId="4"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0" fillId="0" borderId="25" xfId="0" applyBorder="1" applyAlignment="1">
      <alignment horizontal="center"/>
    </xf>
    <xf numFmtId="0" fontId="2" fillId="0" borderId="15" xfId="0" applyFont="1" applyBorder="1" applyAlignment="1">
      <alignment horizontal="center" vertical="center"/>
    </xf>
    <xf numFmtId="0" fontId="9" fillId="0" borderId="7" xfId="0" applyFont="1" applyBorder="1" applyAlignment="1">
      <alignment horizontal="center" vertical="center"/>
    </xf>
    <xf numFmtId="0" fontId="5" fillId="0" borderId="7" xfId="0" applyFont="1" applyBorder="1" applyAlignment="1">
      <alignment horizontal="center" vertical="center" wrapText="1"/>
    </xf>
    <xf numFmtId="0" fontId="12" fillId="10" borderId="7" xfId="0" applyFont="1" applyFill="1" applyBorder="1" applyAlignment="1">
      <alignment horizontal="center" vertical="center" wrapText="1"/>
    </xf>
    <xf numFmtId="166" fontId="9" fillId="0" borderId="7" xfId="0" applyNumberFormat="1" applyFont="1" applyBorder="1" applyAlignment="1">
      <alignment horizontal="center" vertical="center"/>
    </xf>
    <xf numFmtId="43" fontId="0" fillId="0" borderId="7" xfId="0" applyNumberFormat="1" applyBorder="1"/>
    <xf numFmtId="0" fontId="17" fillId="5" borderId="7"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0" fillId="0" borderId="4" xfId="0" applyBorder="1" applyAlignment="1">
      <alignment horizontal="center" vertical="center"/>
    </xf>
    <xf numFmtId="1" fontId="0" fillId="0" borderId="24" xfId="0" applyNumberFormat="1" applyBorder="1" applyAlignment="1">
      <alignment horizontal="center" vertical="center"/>
    </xf>
    <xf numFmtId="1" fontId="0" fillId="0" borderId="27" xfId="0" applyNumberFormat="1"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6" fillId="5" borderId="17" xfId="0" applyFont="1" applyFill="1" applyBorder="1" applyAlignment="1">
      <alignment horizontal="center" vertical="center" wrapText="1"/>
    </xf>
    <xf numFmtId="168" fontId="0" fillId="0" borderId="0" xfId="0" applyNumberFormat="1"/>
    <xf numFmtId="11" fontId="0" fillId="0" borderId="7" xfId="0" applyNumberFormat="1" applyBorder="1" applyAlignment="1">
      <alignment horizontal="center" vertical="center"/>
    </xf>
    <xf numFmtId="168" fontId="0" fillId="0" borderId="7" xfId="0" applyNumberFormat="1" applyBorder="1" applyAlignment="1">
      <alignment horizontal="center" vertical="center"/>
    </xf>
    <xf numFmtId="0" fontId="0" fillId="0" borderId="0" xfId="0" quotePrefix="1"/>
    <xf numFmtId="171" fontId="0" fillId="0" borderId="0" xfId="0" applyNumberFormat="1"/>
    <xf numFmtId="0" fontId="17" fillId="11" borderId="7" xfId="0" applyFont="1" applyFill="1" applyBorder="1" applyAlignment="1">
      <alignment horizontal="center" vertical="center" wrapText="1"/>
    </xf>
    <xf numFmtId="0" fontId="0" fillId="11" borderId="7" xfId="0" applyFill="1" applyBorder="1"/>
    <xf numFmtId="43" fontId="1" fillId="0" borderId="5" xfId="0" applyNumberFormat="1" applyFont="1" applyBorder="1" applyAlignment="1">
      <alignment vertical="center"/>
    </xf>
    <xf numFmtId="43" fontId="1" fillId="0" borderId="6" xfId="0" applyNumberFormat="1" applyFont="1" applyBorder="1" applyAlignment="1">
      <alignment vertical="center"/>
    </xf>
    <xf numFmtId="43" fontId="1" fillId="0" borderId="15" xfId="2" applyFont="1" applyBorder="1" applyAlignment="1">
      <alignment horizontal="center" vertical="center"/>
    </xf>
    <xf numFmtId="0" fontId="0" fillId="0" borderId="5" xfId="0" applyBorder="1"/>
    <xf numFmtId="0" fontId="6" fillId="5" borderId="19" xfId="0" applyFont="1" applyFill="1" applyBorder="1" applyAlignment="1">
      <alignment horizontal="center" vertical="center" wrapText="1"/>
    </xf>
    <xf numFmtId="0" fontId="16" fillId="10" borderId="0" xfId="0" applyFont="1" applyFill="1"/>
    <xf numFmtId="0" fontId="0" fillId="5" borderId="7" xfId="0" applyFill="1" applyBorder="1"/>
    <xf numFmtId="0" fontId="5" fillId="21" borderId="7" xfId="0" applyFont="1" applyFill="1" applyBorder="1" applyAlignment="1">
      <alignment horizontal="center" vertical="center" wrapText="1"/>
    </xf>
    <xf numFmtId="171" fontId="0" fillId="0" borderId="30" xfId="0" applyNumberFormat="1" applyBorder="1" applyAlignment="1">
      <alignment horizontal="center" vertical="center"/>
    </xf>
    <xf numFmtId="0" fontId="17" fillId="8" borderId="7" xfId="2" applyNumberFormat="1" applyFont="1" applyFill="1" applyBorder="1" applyAlignment="1">
      <alignment horizontal="center" vertical="center" wrapText="1"/>
    </xf>
    <xf numFmtId="0" fontId="0" fillId="5" borderId="0" xfId="0" applyFill="1"/>
    <xf numFmtId="0" fontId="0" fillId="25" borderId="0" xfId="0" applyFill="1"/>
    <xf numFmtId="3" fontId="0" fillId="0" borderId="7" xfId="0" applyNumberFormat="1" applyBorder="1"/>
    <xf numFmtId="0" fontId="0" fillId="25" borderId="64" xfId="0" applyFill="1" applyBorder="1" applyAlignment="1">
      <alignment vertical="top"/>
    </xf>
    <xf numFmtId="0" fontId="0" fillId="25" borderId="65" xfId="0" applyFill="1" applyBorder="1" applyAlignment="1">
      <alignment vertical="top"/>
    </xf>
    <xf numFmtId="0" fontId="0" fillId="25" borderId="66" xfId="0" applyFill="1" applyBorder="1" applyAlignment="1">
      <alignment vertical="top"/>
    </xf>
    <xf numFmtId="0" fontId="30" fillId="10" borderId="0" xfId="0" applyFont="1" applyFill="1"/>
    <xf numFmtId="0" fontId="0" fillId="0" borderId="0" xfId="0" quotePrefix="1" applyAlignment="1">
      <alignment horizontal="right"/>
    </xf>
    <xf numFmtId="0" fontId="32" fillId="0" borderId="67" xfId="0" applyFont="1" applyBorder="1"/>
    <xf numFmtId="0" fontId="29" fillId="0" borderId="0" xfId="0" applyFont="1" applyAlignment="1">
      <alignment horizontal="center"/>
    </xf>
    <xf numFmtId="0" fontId="29" fillId="0" borderId="12" xfId="0" applyFont="1" applyBorder="1" applyAlignment="1">
      <alignment horizontal="center"/>
    </xf>
    <xf numFmtId="0" fontId="29" fillId="26" borderId="67" xfId="0" applyFont="1" applyFill="1" applyBorder="1" applyAlignment="1">
      <alignment horizontal="center"/>
    </xf>
    <xf numFmtId="0" fontId="2" fillId="4" borderId="0" xfId="0" applyFont="1" applyFill="1"/>
    <xf numFmtId="0" fontId="0" fillId="4" borderId="0" xfId="0" applyFill="1"/>
    <xf numFmtId="0" fontId="0" fillId="5" borderId="15" xfId="0" applyFill="1" applyBorder="1"/>
    <xf numFmtId="0" fontId="0" fillId="5" borderId="17" xfId="0" applyFill="1" applyBorder="1"/>
    <xf numFmtId="0" fontId="0" fillId="5" borderId="4" xfId="0" applyFill="1" applyBorder="1"/>
    <xf numFmtId="0" fontId="0" fillId="5" borderId="6" xfId="0" applyFill="1" applyBorder="1"/>
    <xf numFmtId="0" fontId="0" fillId="5" borderId="14" xfId="0" applyFill="1" applyBorder="1"/>
    <xf numFmtId="0" fontId="0" fillId="5" borderId="5" xfId="0" applyFill="1" applyBorder="1"/>
    <xf numFmtId="0" fontId="0" fillId="5" borderId="19" xfId="0" applyFill="1" applyBorder="1"/>
    <xf numFmtId="0" fontId="0" fillId="21" borderId="7" xfId="0" applyFill="1" applyBorder="1"/>
    <xf numFmtId="0" fontId="2" fillId="5" borderId="15" xfId="0" applyFont="1" applyFill="1" applyBorder="1"/>
    <xf numFmtId="0" fontId="0" fillId="5" borderId="9" xfId="0" applyFill="1" applyBorder="1"/>
    <xf numFmtId="0" fontId="0" fillId="5" borderId="10" xfId="0" applyFill="1" applyBorder="1"/>
    <xf numFmtId="0" fontId="2" fillId="5" borderId="19" xfId="0" applyFont="1" applyFill="1" applyBorder="1"/>
    <xf numFmtId="0" fontId="0" fillId="8" borderId="7" xfId="0" applyFill="1" applyBorder="1"/>
    <xf numFmtId="0" fontId="0" fillId="8" borderId="0" xfId="0" applyFill="1"/>
    <xf numFmtId="0" fontId="0" fillId="27" borderId="0" xfId="0" applyFill="1"/>
    <xf numFmtId="0" fontId="0" fillId="27" borderId="15" xfId="0" applyFill="1" applyBorder="1"/>
    <xf numFmtId="0" fontId="2" fillId="5" borderId="7" xfId="0" applyFont="1" applyFill="1" applyBorder="1"/>
    <xf numFmtId="0" fontId="2" fillId="5" borderId="7" xfId="0" applyFont="1" applyFill="1" applyBorder="1" applyAlignment="1">
      <alignment horizontal="center" vertical="center"/>
    </xf>
    <xf numFmtId="2" fontId="0" fillId="0" borderId="7" xfId="0" applyNumberFormat="1" applyBorder="1"/>
    <xf numFmtId="1" fontId="22" fillId="18" borderId="54" xfId="0" applyNumberFormat="1" applyFont="1" applyFill="1" applyBorder="1" applyAlignment="1">
      <alignment horizontal="right" vertical="center" wrapText="1" readingOrder="1"/>
    </xf>
    <xf numFmtId="0" fontId="29" fillId="0" borderId="0" xfId="0" applyFont="1" applyAlignment="1">
      <alignment horizontal="left"/>
    </xf>
    <xf numFmtId="0" fontId="29" fillId="0" borderId="68" xfId="0" applyFont="1" applyBorder="1" applyAlignment="1">
      <alignment horizontal="center"/>
    </xf>
    <xf numFmtId="0" fontId="29" fillId="0" borderId="68" xfId="0" applyFont="1" applyBorder="1" applyAlignment="1">
      <alignment horizontal="left"/>
    </xf>
    <xf numFmtId="0" fontId="29" fillId="0" borderId="12" xfId="0" applyFont="1" applyBorder="1" applyAlignment="1">
      <alignment horizontal="left"/>
    </xf>
    <xf numFmtId="0" fontId="29" fillId="0" borderId="18" xfId="0" applyFont="1" applyBorder="1" applyAlignment="1">
      <alignment horizontal="center"/>
    </xf>
    <xf numFmtId="0" fontId="29" fillId="0" borderId="18" xfId="0" applyFont="1" applyBorder="1" applyAlignment="1">
      <alignment horizontal="left"/>
    </xf>
    <xf numFmtId="0" fontId="0" fillId="0" borderId="12" xfId="0" applyBorder="1"/>
    <xf numFmtId="0" fontId="29" fillId="26" borderId="67" xfId="0" applyFont="1" applyFill="1" applyBorder="1" applyAlignment="1">
      <alignment horizontal="left"/>
    </xf>
    <xf numFmtId="0" fontId="28" fillId="0" borderId="0" xfId="0" applyFont="1"/>
    <xf numFmtId="0" fontId="2" fillId="0" borderId="7" xfId="0" applyFont="1" applyBorder="1" applyAlignment="1">
      <alignment horizontal="left" vertical="center"/>
    </xf>
    <xf numFmtId="0" fontId="0" fillId="0" borderId="7" xfId="0" applyBorder="1" applyAlignment="1">
      <alignment horizontal="left" vertical="center"/>
    </xf>
    <xf numFmtId="2" fontId="0" fillId="0" borderId="0" xfId="0" applyNumberFormat="1"/>
    <xf numFmtId="2" fontId="0" fillId="6" borderId="0" xfId="0" applyNumberFormat="1" applyFill="1"/>
    <xf numFmtId="0" fontId="12" fillId="10" borderId="9" xfId="0" applyFont="1" applyFill="1" applyBorder="1" applyAlignment="1">
      <alignment horizontal="center" vertical="center" wrapText="1"/>
    </xf>
    <xf numFmtId="180" fontId="0" fillId="0" borderId="7" xfId="0" applyNumberFormat="1" applyBorder="1"/>
    <xf numFmtId="171" fontId="0" fillId="0" borderId="7" xfId="0" applyNumberFormat="1" applyBorder="1" applyAlignment="1">
      <alignment horizontal="center" vertical="center"/>
    </xf>
    <xf numFmtId="171" fontId="0" fillId="0" borderId="7" xfId="0" applyNumberFormat="1" applyBorder="1" applyAlignment="1">
      <alignment horizontal="right" vertical="center"/>
    </xf>
    <xf numFmtId="9" fontId="0" fillId="0" borderId="7" xfId="5" applyFont="1" applyBorder="1" applyAlignment="1">
      <alignment horizontal="center" vertical="center"/>
    </xf>
    <xf numFmtId="9" fontId="37" fillId="0" borderId="7" xfId="5" applyFont="1" applyBorder="1" applyAlignment="1">
      <alignment horizontal="center" vertical="center"/>
    </xf>
    <xf numFmtId="0" fontId="0" fillId="0" borderId="15" xfId="0" applyBorder="1" applyAlignment="1">
      <alignment horizontal="center" vertical="center"/>
    </xf>
    <xf numFmtId="0" fontId="0" fillId="0" borderId="7" xfId="0" quotePrefix="1" applyBorder="1" applyAlignment="1">
      <alignment horizontal="center" vertical="center"/>
    </xf>
    <xf numFmtId="0" fontId="0" fillId="6" borderId="7" xfId="0" applyFill="1" applyBorder="1" applyAlignment="1">
      <alignment horizontal="center" vertical="center"/>
    </xf>
    <xf numFmtId="0" fontId="0" fillId="6" borderId="4" xfId="0" applyFill="1" applyBorder="1" applyAlignment="1">
      <alignment horizontal="center" vertical="center"/>
    </xf>
    <xf numFmtId="0" fontId="0" fillId="6" borderId="0" xfId="0" applyFill="1"/>
    <xf numFmtId="0" fontId="0" fillId="6" borderId="7" xfId="0" applyFill="1" applyBorder="1" applyAlignment="1">
      <alignment horizontal="center" vertical="center" wrapText="1"/>
    </xf>
    <xf numFmtId="180" fontId="0" fillId="0" borderId="24" xfId="0" applyNumberFormat="1" applyBorder="1" applyAlignment="1">
      <alignment horizontal="center"/>
    </xf>
    <xf numFmtId="180" fontId="0" fillId="16" borderId="25" xfId="0" applyNumberFormat="1" applyFill="1" applyBorder="1" applyAlignment="1">
      <alignment horizontal="center"/>
    </xf>
    <xf numFmtId="180" fontId="0" fillId="0" borderId="25" xfId="0" applyNumberFormat="1" applyBorder="1" applyAlignment="1">
      <alignment horizontal="center" vertical="center"/>
    </xf>
    <xf numFmtId="180" fontId="0" fillId="0" borderId="58" xfId="0" applyNumberFormat="1" applyBorder="1" applyAlignment="1">
      <alignment horizontal="center" vertical="center"/>
    </xf>
    <xf numFmtId="180" fontId="0" fillId="16" borderId="7" xfId="0" applyNumberFormat="1" applyFill="1" applyBorder="1" applyAlignment="1">
      <alignment horizontal="center"/>
    </xf>
    <xf numFmtId="180" fontId="0" fillId="0" borderId="7" xfId="0" applyNumberFormat="1" applyBorder="1" applyAlignment="1">
      <alignment horizontal="center" vertical="center"/>
    </xf>
    <xf numFmtId="180" fontId="0" fillId="0" borderId="29" xfId="0" applyNumberFormat="1" applyBorder="1" applyAlignment="1">
      <alignment horizontal="center" vertical="center"/>
    </xf>
    <xf numFmtId="180" fontId="0" fillId="16" borderId="31" xfId="0" applyNumberFormat="1" applyFill="1" applyBorder="1" applyAlignment="1">
      <alignment horizontal="center"/>
    </xf>
    <xf numFmtId="180" fontId="0" fillId="0" borderId="31" xfId="0" applyNumberFormat="1" applyBorder="1" applyAlignment="1">
      <alignment horizontal="center" vertical="center"/>
    </xf>
    <xf numFmtId="180" fontId="0" fillId="0" borderId="32" xfId="0" applyNumberFormat="1" applyBorder="1" applyAlignment="1">
      <alignment horizontal="center" vertical="center"/>
    </xf>
    <xf numFmtId="180" fontId="0" fillId="0" borderId="34" xfId="0" applyNumberFormat="1" applyBorder="1" applyAlignment="1">
      <alignment horizontal="center" vertical="center"/>
    </xf>
    <xf numFmtId="180" fontId="0" fillId="0" borderId="24" xfId="0" applyNumberFormat="1" applyBorder="1" applyAlignment="1">
      <alignment horizontal="center" vertical="center"/>
    </xf>
    <xf numFmtId="180" fontId="0" fillId="0" borderId="4" xfId="0" applyNumberFormat="1" applyBorder="1" applyAlignment="1">
      <alignment horizontal="center" vertical="center"/>
    </xf>
    <xf numFmtId="180" fontId="0" fillId="0" borderId="35" xfId="0" applyNumberFormat="1" applyBorder="1" applyAlignment="1">
      <alignment horizontal="center" vertical="center"/>
    </xf>
    <xf numFmtId="180" fontId="0" fillId="0" borderId="7" xfId="0" applyNumberFormat="1" applyBorder="1" applyAlignment="1">
      <alignment horizontal="center"/>
    </xf>
    <xf numFmtId="180" fontId="0" fillId="0" borderId="31" xfId="0" applyNumberFormat="1" applyBorder="1" applyAlignment="1">
      <alignment horizontal="center"/>
    </xf>
    <xf numFmtId="180" fontId="0" fillId="0" borderId="17" xfId="0" applyNumberFormat="1" applyBorder="1" applyAlignment="1">
      <alignment horizontal="center" vertical="center"/>
    </xf>
    <xf numFmtId="0" fontId="34" fillId="0" borderId="0" xfId="0" applyFont="1"/>
    <xf numFmtId="171" fontId="0" fillId="6" borderId="0" xfId="0" applyNumberFormat="1" applyFill="1"/>
    <xf numFmtId="0" fontId="40" fillId="22" borderId="0" xfId="0" applyFont="1" applyFill="1" applyAlignment="1">
      <alignment vertical="center"/>
    </xf>
    <xf numFmtId="0" fontId="40" fillId="0" borderId="0" xfId="0" applyFont="1"/>
    <xf numFmtId="0" fontId="41" fillId="0" borderId="0" xfId="0" applyFont="1"/>
    <xf numFmtId="0" fontId="43" fillId="13" borderId="0" xfId="0" applyFont="1" applyFill="1"/>
    <xf numFmtId="0" fontId="41" fillId="13" borderId="0" xfId="0" applyFont="1" applyFill="1"/>
    <xf numFmtId="0" fontId="41" fillId="22" borderId="0" xfId="0" applyFont="1" applyFill="1"/>
    <xf numFmtId="0" fontId="45" fillId="0" borderId="0" xfId="3" applyFont="1" applyFill="1"/>
    <xf numFmtId="0" fontId="43" fillId="0" borderId="0" xfId="0" applyFont="1"/>
    <xf numFmtId="0" fontId="40" fillId="0" borderId="0" xfId="0" applyFont="1" applyAlignment="1">
      <alignment horizontal="center" vertical="center"/>
    </xf>
    <xf numFmtId="0" fontId="49" fillId="0" borderId="0" xfId="0" applyFont="1" applyAlignment="1">
      <alignment horizontal="center" vertical="center"/>
    </xf>
    <xf numFmtId="0" fontId="40" fillId="5" borderId="15" xfId="0" applyFont="1" applyFill="1" applyBorder="1" applyAlignment="1">
      <alignment horizontal="center" vertical="center" wrapText="1"/>
    </xf>
    <xf numFmtId="0" fontId="51" fillId="0" borderId="0" xfId="0" applyFont="1" applyAlignment="1">
      <alignment horizontal="center" vertical="center"/>
    </xf>
    <xf numFmtId="0" fontId="41" fillId="7" borderId="7" xfId="0" applyFont="1" applyFill="1" applyBorder="1" applyAlignment="1" applyProtection="1">
      <alignment horizontal="center" vertical="center"/>
      <protection locked="0"/>
    </xf>
    <xf numFmtId="167" fontId="53" fillId="0" borderId="0" xfId="8" applyNumberFormat="1" applyFont="1" applyFill="1" applyBorder="1" applyAlignment="1">
      <alignment vertical="center"/>
    </xf>
    <xf numFmtId="0" fontId="46" fillId="4" borderId="15" xfId="0" applyFont="1" applyFill="1" applyBorder="1" applyAlignment="1">
      <alignment horizontal="center" vertical="center"/>
    </xf>
    <xf numFmtId="0" fontId="46" fillId="5" borderId="7" xfId="0" applyFont="1" applyFill="1" applyBorder="1" applyAlignment="1">
      <alignment horizontal="center" vertical="center"/>
    </xf>
    <xf numFmtId="0" fontId="49" fillId="0" borderId="0" xfId="0" applyFont="1" applyAlignment="1">
      <alignment horizontal="left" vertical="center" wrapText="1"/>
    </xf>
    <xf numFmtId="0" fontId="25" fillId="19" borderId="4" xfId="0" applyFont="1" applyFill="1" applyBorder="1" applyAlignment="1">
      <alignment horizontal="center" vertical="center"/>
    </xf>
    <xf numFmtId="0" fontId="25" fillId="19" borderId="5" xfId="0" applyFont="1" applyFill="1" applyBorder="1" applyAlignment="1">
      <alignment horizontal="center" vertical="center"/>
    </xf>
    <xf numFmtId="0" fontId="16" fillId="19" borderId="7" xfId="0" applyFont="1" applyFill="1" applyBorder="1" applyAlignment="1">
      <alignment horizontal="center" vertical="center"/>
    </xf>
    <xf numFmtId="2" fontId="0" fillId="6" borderId="7" xfId="0" applyNumberFormat="1" applyFill="1" applyBorder="1" applyAlignment="1">
      <alignment horizontal="center" vertical="center"/>
    </xf>
    <xf numFmtId="0" fontId="7" fillId="19" borderId="7" xfId="0" applyFont="1" applyFill="1" applyBorder="1" applyAlignment="1">
      <alignment horizontal="center" vertical="center" wrapText="1"/>
    </xf>
    <xf numFmtId="3" fontId="0" fillId="6" borderId="7" xfId="0" applyNumberFormat="1" applyFill="1" applyBorder="1" applyAlignment="1">
      <alignment horizontal="center" vertical="center"/>
    </xf>
    <xf numFmtId="0" fontId="57" fillId="0" borderId="7" xfId="0" applyFont="1" applyBorder="1" applyAlignment="1">
      <alignment horizontal="center" vertical="center"/>
    </xf>
    <xf numFmtId="3" fontId="57" fillId="0" borderId="7" xfId="0" applyNumberFormat="1" applyFont="1" applyBorder="1" applyAlignment="1">
      <alignment horizontal="center" vertical="center"/>
    </xf>
    <xf numFmtId="0" fontId="25" fillId="5" borderId="5" xfId="0" applyFont="1" applyFill="1" applyBorder="1" applyAlignment="1">
      <alignment horizontal="center" vertical="center"/>
    </xf>
    <xf numFmtId="0" fontId="25" fillId="5" borderId="5" xfId="0" applyFont="1" applyFill="1" applyBorder="1" applyAlignment="1">
      <alignment horizontal="center" vertical="center" wrapText="1"/>
    </xf>
    <xf numFmtId="0" fontId="0" fillId="6" borderId="7" xfId="0" applyFill="1" applyBorder="1" applyAlignment="1">
      <alignment horizontal="center"/>
    </xf>
    <xf numFmtId="0" fontId="0" fillId="5" borderId="7" xfId="0" applyFill="1" applyBorder="1" applyAlignment="1">
      <alignment horizontal="center" vertical="center" wrapText="1"/>
    </xf>
    <xf numFmtId="0" fontId="0" fillId="5" borderId="7" xfId="0" applyFill="1" applyBorder="1" applyAlignment="1">
      <alignment horizontal="center" vertical="center"/>
    </xf>
    <xf numFmtId="0" fontId="41" fillId="22" borderId="0" xfId="0" applyFont="1" applyFill="1" applyAlignment="1">
      <alignment vertical="center" wrapText="1"/>
    </xf>
    <xf numFmtId="0" fontId="41" fillId="22" borderId="0" xfId="0" applyFont="1" applyFill="1" applyAlignment="1">
      <alignment horizontal="left" vertical="top" wrapText="1"/>
    </xf>
    <xf numFmtId="0" fontId="41" fillId="0" borderId="0" xfId="0" applyFont="1" applyAlignment="1">
      <alignment horizontal="left" vertical="top" wrapText="1"/>
    </xf>
    <xf numFmtId="0" fontId="41" fillId="0" borderId="0" xfId="0" applyFont="1" applyAlignment="1">
      <alignment horizontal="left" vertical="top"/>
    </xf>
    <xf numFmtId="0" fontId="41" fillId="0" borderId="0" xfId="0" applyFont="1" applyAlignment="1">
      <alignment vertical="top" wrapText="1"/>
    </xf>
    <xf numFmtId="0" fontId="41" fillId="22" borderId="0" xfId="0" applyFont="1" applyFill="1" applyAlignment="1">
      <alignment horizontal="left" vertical="top"/>
    </xf>
    <xf numFmtId="0" fontId="43" fillId="2" borderId="0" xfId="0" applyFont="1" applyFill="1"/>
    <xf numFmtId="0" fontId="42" fillId="5" borderId="7" xfId="0" applyFont="1" applyFill="1" applyBorder="1" applyAlignment="1">
      <alignment horizontal="center" vertical="center"/>
    </xf>
    <xf numFmtId="0" fontId="42" fillId="5" borderId="7" xfId="0" applyFont="1" applyFill="1" applyBorder="1" applyAlignment="1">
      <alignment horizontal="center" vertical="center" wrapText="1"/>
    </xf>
    <xf numFmtId="0" fontId="62" fillId="8" borderId="7" xfId="0" applyFont="1" applyFill="1" applyBorder="1"/>
    <xf numFmtId="0" fontId="62" fillId="0" borderId="0" xfId="0" applyFont="1"/>
    <xf numFmtId="165" fontId="41" fillId="23" borderId="7" xfId="2" applyNumberFormat="1" applyFont="1" applyFill="1" applyBorder="1" applyAlignment="1" applyProtection="1">
      <alignment horizontal="center" vertical="center"/>
      <protection locked="0"/>
    </xf>
    <xf numFmtId="165" fontId="41" fillId="23" borderId="7" xfId="2" applyNumberFormat="1" applyFont="1" applyFill="1" applyBorder="1" applyAlignment="1" applyProtection="1">
      <alignment vertical="center" wrapText="1"/>
      <protection locked="0"/>
    </xf>
    <xf numFmtId="165" fontId="41" fillId="13" borderId="7" xfId="2" applyNumberFormat="1" applyFont="1" applyFill="1" applyBorder="1" applyAlignment="1" applyProtection="1">
      <alignment horizontal="center" vertical="center"/>
      <protection locked="0"/>
    </xf>
    <xf numFmtId="165" fontId="40" fillId="13" borderId="0" xfId="2" applyNumberFormat="1" applyFont="1" applyFill="1" applyBorder="1" applyAlignment="1">
      <alignment horizontal="left" vertical="center"/>
    </xf>
    <xf numFmtId="165" fontId="46" fillId="13" borderId="0" xfId="2" applyNumberFormat="1" applyFont="1" applyFill="1" applyBorder="1" applyAlignment="1">
      <alignment horizontal="left" vertical="center"/>
    </xf>
    <xf numFmtId="165" fontId="41" fillId="13" borderId="0" xfId="2" applyNumberFormat="1" applyFont="1" applyFill="1" applyBorder="1"/>
    <xf numFmtId="0" fontId="40" fillId="5" borderId="7" xfId="0" applyFont="1" applyFill="1" applyBorder="1" applyAlignment="1">
      <alignment horizontal="center" vertical="center" wrapText="1"/>
    </xf>
    <xf numFmtId="0" fontId="42" fillId="0" borderId="0" xfId="0" applyFont="1" applyAlignment="1">
      <alignment horizontal="center" vertical="center"/>
    </xf>
    <xf numFmtId="165" fontId="41" fillId="23" borderId="7" xfId="2" applyNumberFormat="1" applyFont="1" applyFill="1" applyBorder="1" applyAlignment="1" applyProtection="1">
      <alignment horizontal="center" vertical="center" wrapText="1"/>
      <protection locked="0"/>
    </xf>
    <xf numFmtId="165" fontId="41" fillId="30" borderId="7" xfId="2" applyNumberFormat="1" applyFont="1" applyFill="1" applyBorder="1" applyAlignment="1" applyProtection="1">
      <alignment horizontal="center" vertical="center"/>
      <protection locked="0"/>
    </xf>
    <xf numFmtId="165" fontId="41" fillId="30" borderId="7" xfId="2" applyNumberFormat="1" applyFont="1" applyFill="1" applyBorder="1" applyAlignment="1" applyProtection="1">
      <alignment horizontal="center" vertical="center" wrapText="1"/>
      <protection locked="0"/>
    </xf>
    <xf numFmtId="165" fontId="46" fillId="4" borderId="4" xfId="2" applyNumberFormat="1" applyFont="1" applyFill="1" applyBorder="1" applyAlignment="1">
      <alignment vertical="center"/>
    </xf>
    <xf numFmtId="165" fontId="46" fillId="4" borderId="5" xfId="2" applyNumberFormat="1" applyFont="1" applyFill="1" applyBorder="1" applyAlignment="1">
      <alignment vertical="center"/>
    </xf>
    <xf numFmtId="0" fontId="46" fillId="3" borderId="7" xfId="0" applyFont="1" applyFill="1" applyBorder="1" applyAlignment="1">
      <alignment horizontal="center" vertical="center"/>
    </xf>
    <xf numFmtId="0" fontId="46" fillId="4" borderId="7" xfId="0" applyFont="1" applyFill="1" applyBorder="1" applyAlignment="1">
      <alignment horizontal="center" vertical="center"/>
    </xf>
    <xf numFmtId="0" fontId="46" fillId="10" borderId="0" xfId="0" applyFont="1" applyFill="1" applyAlignment="1">
      <alignment horizontal="center" vertical="center"/>
    </xf>
    <xf numFmtId="0" fontId="2" fillId="6" borderId="0" xfId="0" applyFont="1" applyFill="1" applyAlignment="1">
      <alignment horizontal="center"/>
    </xf>
    <xf numFmtId="0" fontId="2" fillId="6" borderId="0" xfId="0" applyFont="1" applyFill="1" applyAlignment="1">
      <alignment wrapText="1"/>
    </xf>
    <xf numFmtId="0" fontId="2" fillId="6" borderId="0" xfId="0" applyFont="1" applyFill="1"/>
    <xf numFmtId="0" fontId="2" fillId="6" borderId="0" xfId="0" applyFont="1" applyFill="1" applyAlignment="1">
      <alignment horizontal="left"/>
    </xf>
    <xf numFmtId="0" fontId="0" fillId="6" borderId="0" xfId="0" applyFill="1" applyAlignment="1">
      <alignment horizontal="center"/>
    </xf>
    <xf numFmtId="0" fontId="2" fillId="6" borderId="7" xfId="0" applyFont="1" applyFill="1" applyBorder="1" applyAlignment="1">
      <alignment horizontal="center" vertical="center"/>
    </xf>
    <xf numFmtId="0" fontId="0" fillId="11" borderId="0" xfId="0" applyFill="1"/>
    <xf numFmtId="0" fontId="2" fillId="0" borderId="0" xfId="0" applyFont="1" applyAlignment="1">
      <alignment horizontal="center"/>
    </xf>
    <xf numFmtId="0" fontId="0" fillId="6" borderId="7" xfId="0" applyFill="1" applyBorder="1"/>
    <xf numFmtId="2" fontId="0" fillId="6" borderId="7" xfId="0" applyNumberFormat="1" applyFill="1" applyBorder="1"/>
    <xf numFmtId="0" fontId="30" fillId="10" borderId="0" xfId="0" applyFont="1" applyFill="1" applyAlignment="1">
      <alignment vertical="center"/>
    </xf>
    <xf numFmtId="165" fontId="46" fillId="4" borderId="6" xfId="2" applyNumberFormat="1" applyFont="1" applyFill="1" applyBorder="1" applyAlignment="1">
      <alignment vertical="center"/>
    </xf>
    <xf numFmtId="0" fontId="43" fillId="0" borderId="0" xfId="0" applyFont="1" applyAlignment="1">
      <alignment vertical="center"/>
    </xf>
    <xf numFmtId="0" fontId="40" fillId="0" borderId="0" xfId="0" applyFont="1" applyAlignment="1">
      <alignment vertical="center"/>
    </xf>
    <xf numFmtId="0" fontId="49" fillId="0" borderId="0" xfId="0" applyFont="1" applyAlignment="1">
      <alignment vertical="center"/>
    </xf>
    <xf numFmtId="0" fontId="55" fillId="0" borderId="0" xfId="0" applyFont="1" applyAlignment="1">
      <alignment horizontal="left" vertical="center" indent="3"/>
    </xf>
    <xf numFmtId="0" fontId="40" fillId="22" borderId="0" xfId="0" applyFont="1" applyFill="1"/>
    <xf numFmtId="0" fontId="43" fillId="22" borderId="0" xfId="0" applyFont="1" applyFill="1" applyAlignment="1">
      <alignment vertical="center" wrapText="1"/>
    </xf>
    <xf numFmtId="0" fontId="43" fillId="0" borderId="0" xfId="0" applyFont="1" applyAlignment="1">
      <alignment vertical="center" wrapText="1"/>
    </xf>
    <xf numFmtId="0" fontId="41" fillId="0" borderId="0" xfId="0" applyFont="1" applyAlignment="1">
      <alignment horizontal="center" vertical="center"/>
    </xf>
    <xf numFmtId="0" fontId="41" fillId="0" borderId="0" xfId="0" applyFont="1" applyAlignment="1">
      <alignment horizontal="center"/>
    </xf>
    <xf numFmtId="0" fontId="51" fillId="0" borderId="0" xfId="0" applyFont="1" applyAlignment="1">
      <alignment horizontal="center" vertical="center" wrapText="1"/>
    </xf>
    <xf numFmtId="179" fontId="41" fillId="7" borderId="7" xfId="0" applyNumberFormat="1" applyFont="1" applyFill="1" applyBorder="1" applyAlignment="1" applyProtection="1">
      <alignment horizontal="center" vertical="center"/>
      <protection locked="0"/>
    </xf>
    <xf numFmtId="0" fontId="41" fillId="0" borderId="0" xfId="0" applyFont="1" applyAlignment="1">
      <alignment vertical="center" wrapText="1"/>
    </xf>
    <xf numFmtId="0" fontId="43" fillId="22" borderId="0" xfId="0" quotePrefix="1" applyFont="1" applyFill="1" applyAlignment="1">
      <alignment horizontal="left" vertical="top"/>
    </xf>
    <xf numFmtId="0" fontId="43" fillId="22" borderId="0" xfId="0" applyFont="1" applyFill="1" applyAlignment="1">
      <alignment horizontal="left" vertical="top"/>
    </xf>
    <xf numFmtId="0" fontId="40" fillId="0" borderId="0" xfId="0" applyFont="1" applyAlignment="1">
      <alignment horizontal="center" vertical="center" wrapText="1"/>
    </xf>
    <xf numFmtId="165" fontId="46" fillId="4" borderId="7" xfId="2" applyNumberFormat="1" applyFont="1" applyFill="1" applyBorder="1" applyAlignment="1">
      <alignment vertical="center"/>
    </xf>
    <xf numFmtId="0" fontId="41" fillId="0" borderId="0" xfId="0" applyFont="1" applyAlignment="1">
      <alignment wrapText="1"/>
    </xf>
    <xf numFmtId="0" fontId="46" fillId="10" borderId="4" xfId="0" applyFont="1" applyFill="1" applyBorder="1" applyAlignment="1">
      <alignment vertical="center"/>
    </xf>
    <xf numFmtId="0" fontId="46" fillId="0" borderId="0" xfId="0" applyFont="1" applyAlignment="1">
      <alignment horizontal="center" vertical="center"/>
    </xf>
    <xf numFmtId="0" fontId="41" fillId="0" borderId="7" xfId="0" applyFont="1" applyBorder="1" applyAlignment="1">
      <alignment horizontal="center" vertical="center"/>
    </xf>
    <xf numFmtId="0" fontId="40" fillId="0" borderId="0" xfId="0" applyFont="1" applyAlignment="1" applyProtection="1">
      <alignment vertical="center"/>
      <protection locked="0"/>
    </xf>
    <xf numFmtId="184" fontId="41" fillId="0" borderId="0" xfId="0" applyNumberFormat="1" applyFont="1"/>
    <xf numFmtId="183" fontId="41" fillId="0" borderId="0" xfId="0" applyNumberFormat="1" applyFont="1"/>
    <xf numFmtId="0" fontId="46" fillId="3" borderId="7" xfId="0" applyFont="1" applyFill="1" applyBorder="1" applyAlignment="1">
      <alignment horizontal="center" vertical="center" wrapText="1"/>
    </xf>
    <xf numFmtId="0" fontId="46" fillId="4" borderId="7" xfId="0" applyFont="1" applyFill="1" applyBorder="1" applyAlignment="1">
      <alignment horizontal="center" vertical="center" wrapText="1"/>
    </xf>
    <xf numFmtId="0" fontId="46" fillId="5" borderId="7" xfId="0" applyFont="1" applyFill="1" applyBorder="1" applyAlignment="1">
      <alignment horizontal="center" vertical="center" wrapText="1"/>
    </xf>
    <xf numFmtId="0" fontId="68" fillId="0" borderId="0" xfId="0" applyFont="1"/>
    <xf numFmtId="0" fontId="70" fillId="13" borderId="0" xfId="0" applyFont="1" applyFill="1"/>
    <xf numFmtId="0" fontId="70" fillId="0" borderId="0" xfId="0" applyFont="1"/>
    <xf numFmtId="0" fontId="74" fillId="0" borderId="0" xfId="0" applyFont="1"/>
    <xf numFmtId="0" fontId="41" fillId="0" borderId="7" xfId="0" applyFont="1" applyBorder="1" applyAlignment="1">
      <alignment horizontal="center" vertical="center" wrapText="1"/>
    </xf>
    <xf numFmtId="0" fontId="43" fillId="0" borderId="7" xfId="0" applyFont="1" applyBorder="1" applyAlignment="1">
      <alignment horizontal="center" vertical="center" wrapText="1"/>
    </xf>
    <xf numFmtId="0" fontId="41" fillId="0" borderId="7" xfId="0" applyFont="1" applyBorder="1"/>
    <xf numFmtId="0" fontId="76" fillId="7" borderId="7" xfId="0" applyFont="1" applyFill="1" applyBorder="1" applyAlignment="1" applyProtection="1">
      <alignment horizontal="center" vertical="center" wrapText="1"/>
      <protection locked="0"/>
    </xf>
    <xf numFmtId="0" fontId="41" fillId="0" borderId="0" xfId="0" applyFont="1" applyAlignment="1">
      <alignment vertical="center"/>
    </xf>
    <xf numFmtId="0" fontId="41" fillId="0" borderId="0" xfId="0" applyFont="1" applyAlignment="1">
      <alignment horizontal="center" vertical="center" wrapText="1"/>
    </xf>
    <xf numFmtId="165" fontId="41" fillId="7" borderId="7" xfId="2" applyNumberFormat="1" applyFont="1" applyFill="1" applyBorder="1" applyAlignment="1" applyProtection="1">
      <alignment horizontal="center" vertical="center" wrapText="1"/>
      <protection locked="0"/>
    </xf>
    <xf numFmtId="165" fontId="41" fillId="7" borderId="17" xfId="2" applyNumberFormat="1" applyFont="1" applyFill="1" applyBorder="1" applyAlignment="1" applyProtection="1">
      <alignment horizontal="center" vertical="center" wrapText="1"/>
      <protection locked="0"/>
    </xf>
    <xf numFmtId="41" fontId="41" fillId="7" borderId="17" xfId="2" applyNumberFormat="1" applyFont="1" applyFill="1" applyBorder="1" applyAlignment="1" applyProtection="1">
      <alignment horizontal="center" vertical="center" wrapText="1"/>
      <protection locked="0"/>
    </xf>
    <xf numFmtId="0" fontId="21" fillId="17" borderId="51" xfId="0" applyFont="1" applyFill="1" applyBorder="1" applyAlignment="1">
      <alignment horizontal="left" vertical="center" wrapText="1" readingOrder="1"/>
    </xf>
    <xf numFmtId="0" fontId="21" fillId="17" borderId="61" xfId="0" applyFont="1" applyFill="1" applyBorder="1" applyAlignment="1">
      <alignment horizontal="left" vertical="center" wrapText="1" readingOrder="1"/>
    </xf>
    <xf numFmtId="0" fontId="21" fillId="17" borderId="52" xfId="0" applyFont="1" applyFill="1" applyBorder="1" applyAlignment="1">
      <alignment horizontal="left" vertical="center" wrapText="1" readingOrder="1"/>
    </xf>
    <xf numFmtId="0" fontId="21" fillId="17" borderId="62" xfId="0" applyFont="1" applyFill="1" applyBorder="1" applyAlignment="1">
      <alignment horizontal="left" vertical="center" wrapText="1" readingOrder="1"/>
    </xf>
    <xf numFmtId="0" fontId="21" fillId="17" borderId="53" xfId="0" applyFont="1" applyFill="1" applyBorder="1" applyAlignment="1">
      <alignment horizontal="left" vertical="center" wrapText="1" readingOrder="1"/>
    </xf>
    <xf numFmtId="0" fontId="21" fillId="17" borderId="63" xfId="0" applyFont="1" applyFill="1" applyBorder="1" applyAlignment="1">
      <alignment horizontal="left" vertical="center" wrapText="1" readingOrder="1"/>
    </xf>
    <xf numFmtId="0" fontId="41" fillId="7" borderId="7" xfId="0" applyFont="1" applyFill="1" applyBorder="1" applyAlignment="1" applyProtection="1">
      <alignment horizontal="center" vertical="center" wrapText="1"/>
      <protection locked="0"/>
    </xf>
    <xf numFmtId="2" fontId="41" fillId="0" borderId="7" xfId="0" applyNumberFormat="1" applyFont="1" applyBorder="1" applyAlignment="1">
      <alignment horizontal="center" vertical="center"/>
    </xf>
    <xf numFmtId="171" fontId="41" fillId="0" borderId="7" xfId="0" applyNumberFormat="1" applyFont="1" applyBorder="1" applyAlignment="1">
      <alignment horizontal="center" vertical="center"/>
    </xf>
    <xf numFmtId="0" fontId="43" fillId="2" borderId="7" xfId="0" applyFont="1" applyFill="1" applyBorder="1" applyAlignment="1">
      <alignment horizontal="center" vertical="center" wrapText="1"/>
    </xf>
    <xf numFmtId="0" fontId="48" fillId="0" borderId="0" xfId="0" applyFont="1" applyAlignment="1">
      <alignment horizontal="center" vertical="center"/>
    </xf>
    <xf numFmtId="0" fontId="43" fillId="0" borderId="6" xfId="0" applyFont="1" applyBorder="1" applyAlignment="1">
      <alignment horizontal="center" vertical="center" wrapText="1"/>
    </xf>
    <xf numFmtId="0" fontId="47" fillId="2" borderId="0" xfId="0" applyFont="1" applyFill="1"/>
    <xf numFmtId="0" fontId="43" fillId="2" borderId="7" xfId="0" applyFont="1" applyFill="1" applyBorder="1" applyAlignment="1">
      <alignment horizontal="left" vertical="center" indent="1"/>
    </xf>
    <xf numFmtId="0" fontId="43" fillId="2" borderId="7" xfId="0" applyFont="1" applyFill="1" applyBorder="1" applyAlignment="1">
      <alignment horizontal="right" vertical="center" indent="1"/>
    </xf>
    <xf numFmtId="0" fontId="43" fillId="2" borderId="0" xfId="0" applyFont="1" applyFill="1" applyAlignment="1">
      <alignment horizontal="right"/>
    </xf>
    <xf numFmtId="3" fontId="43" fillId="2" borderId="7" xfId="0" applyNumberFormat="1" applyFont="1" applyFill="1" applyBorder="1" applyAlignment="1">
      <alignment horizontal="right" vertical="center" indent="1"/>
    </xf>
    <xf numFmtId="0" fontId="68" fillId="2" borderId="0" xfId="0" applyFont="1" applyFill="1"/>
    <xf numFmtId="0" fontId="46" fillId="4" borderId="0" xfId="0" applyFont="1" applyFill="1"/>
    <xf numFmtId="0" fontId="46" fillId="4" borderId="17" xfId="0" applyFont="1" applyFill="1" applyBorder="1" applyAlignment="1">
      <alignment horizontal="center" vertical="center"/>
    </xf>
    <xf numFmtId="0" fontId="95" fillId="0" borderId="0" xfId="0" applyFont="1" applyAlignment="1">
      <alignment horizontal="center" vertical="center"/>
    </xf>
    <xf numFmtId="0" fontId="41" fillId="0" borderId="6" xfId="0" applyFont="1" applyBorder="1" applyAlignment="1">
      <alignment horizontal="center" vertical="center"/>
    </xf>
    <xf numFmtId="0" fontId="41" fillId="0" borderId="10" xfId="0" applyFont="1" applyBorder="1" applyAlignment="1">
      <alignment horizontal="center" vertical="center"/>
    </xf>
    <xf numFmtId="9" fontId="41" fillId="0" borderId="0" xfId="0" applyNumberFormat="1" applyFont="1" applyAlignment="1">
      <alignment horizontal="center" vertical="center"/>
    </xf>
    <xf numFmtId="9" fontId="41" fillId="0" borderId="0" xfId="0" applyNumberFormat="1" applyFont="1" applyAlignment="1">
      <alignment horizontal="center" vertical="center" wrapText="1"/>
    </xf>
    <xf numFmtId="0" fontId="41" fillId="0" borderId="10" xfId="0" applyFont="1" applyBorder="1"/>
    <xf numFmtId="168" fontId="41" fillId="0" borderId="7" xfId="0" applyNumberFormat="1" applyFont="1" applyBorder="1" applyAlignment="1">
      <alignment horizontal="center" vertical="center"/>
    </xf>
    <xf numFmtId="11" fontId="41" fillId="0" borderId="7" xfId="0" applyNumberFormat="1" applyFont="1" applyBorder="1" applyAlignment="1">
      <alignment horizontal="center" vertical="center"/>
    </xf>
    <xf numFmtId="11" fontId="63" fillId="0" borderId="7" xfId="0" applyNumberFormat="1" applyFont="1" applyBorder="1" applyAlignment="1">
      <alignment horizontal="center" vertical="center"/>
    </xf>
    <xf numFmtId="0" fontId="96" fillId="0" borderId="0" xfId="0" applyFont="1"/>
    <xf numFmtId="0" fontId="40" fillId="0" borderId="0" xfId="0" applyFont="1" applyAlignment="1">
      <alignment wrapText="1"/>
    </xf>
    <xf numFmtId="0" fontId="43" fillId="0" borderId="10" xfId="0" applyFont="1" applyBorder="1" applyAlignment="1">
      <alignment horizontal="left" vertical="center" wrapText="1" indent="1"/>
    </xf>
    <xf numFmtId="0" fontId="43" fillId="0" borderId="0" xfId="0" applyFont="1" applyAlignment="1">
      <alignment horizontal="center" vertical="center" wrapText="1"/>
    </xf>
    <xf numFmtId="0" fontId="46" fillId="4" borderId="15" xfId="0" applyFont="1" applyFill="1" applyBorder="1" applyAlignment="1">
      <alignment vertical="center" wrapText="1"/>
    </xf>
    <xf numFmtId="0" fontId="46" fillId="4" borderId="15" xfId="0" applyFont="1" applyFill="1" applyBorder="1" applyAlignment="1">
      <alignment vertical="center"/>
    </xf>
    <xf numFmtId="0" fontId="46" fillId="4" borderId="14" xfId="0" applyFont="1" applyFill="1" applyBorder="1" applyAlignment="1">
      <alignment vertical="center"/>
    </xf>
    <xf numFmtId="0" fontId="46" fillId="4" borderId="18" xfId="0" applyFont="1" applyFill="1" applyBorder="1" applyAlignment="1">
      <alignment vertical="center"/>
    </xf>
    <xf numFmtId="0" fontId="46" fillId="4" borderId="16" xfId="0" applyFont="1" applyFill="1" applyBorder="1" applyAlignment="1">
      <alignment vertical="center"/>
    </xf>
    <xf numFmtId="0" fontId="46" fillId="4" borderId="19" xfId="0" applyFont="1" applyFill="1" applyBorder="1" applyAlignment="1">
      <alignment vertical="center" wrapText="1"/>
    </xf>
    <xf numFmtId="0" fontId="46" fillId="4" borderId="19" xfId="0" applyFont="1" applyFill="1" applyBorder="1" applyAlignment="1">
      <alignment vertical="center"/>
    </xf>
    <xf numFmtId="0" fontId="46" fillId="4" borderId="11" xfId="0" applyFont="1" applyFill="1" applyBorder="1" applyAlignment="1">
      <alignment vertical="center"/>
    </xf>
    <xf numFmtId="0" fontId="46" fillId="4" borderId="12" xfId="0" applyFont="1" applyFill="1" applyBorder="1" applyAlignment="1">
      <alignment vertical="center"/>
    </xf>
    <xf numFmtId="0" fontId="46" fillId="4" borderId="13" xfId="0" applyFont="1" applyFill="1" applyBorder="1" applyAlignment="1">
      <alignment vertical="center"/>
    </xf>
    <xf numFmtId="0" fontId="46" fillId="4" borderId="17" xfId="0" applyFont="1" applyFill="1" applyBorder="1" applyAlignment="1">
      <alignment vertical="center"/>
    </xf>
    <xf numFmtId="0" fontId="46" fillId="4" borderId="17" xfId="0" applyFont="1" applyFill="1" applyBorder="1" applyAlignment="1">
      <alignment vertical="center" wrapText="1"/>
    </xf>
    <xf numFmtId="173" fontId="43" fillId="0" borderId="7" xfId="0" applyNumberFormat="1" applyFont="1" applyBorder="1" applyAlignment="1">
      <alignment horizontal="center" vertical="center"/>
    </xf>
    <xf numFmtId="43" fontId="43" fillId="0" borderId="7" xfId="2" applyFont="1" applyFill="1" applyBorder="1" applyAlignment="1">
      <alignment horizontal="center" vertical="center"/>
    </xf>
    <xf numFmtId="2" fontId="41" fillId="0" borderId="7" xfId="2" applyNumberFormat="1" applyFont="1" applyBorder="1" applyAlignment="1">
      <alignment horizontal="center" vertical="center"/>
    </xf>
    <xf numFmtId="0" fontId="46" fillId="4" borderId="4" xfId="0" applyFont="1" applyFill="1" applyBorder="1" applyAlignment="1">
      <alignment vertical="center" wrapText="1"/>
    </xf>
    <xf numFmtId="0" fontId="46" fillId="4" borderId="5" xfId="0" applyFont="1" applyFill="1" applyBorder="1" applyAlignment="1">
      <alignment horizontal="left" vertical="top"/>
    </xf>
    <xf numFmtId="0" fontId="46" fillId="4" borderId="5" xfId="0" applyFont="1" applyFill="1" applyBorder="1" applyAlignment="1">
      <alignment vertical="center" wrapText="1"/>
    </xf>
    <xf numFmtId="171" fontId="41" fillId="4" borderId="7" xfId="0" applyNumberFormat="1" applyFont="1" applyFill="1" applyBorder="1" applyAlignment="1">
      <alignment horizontal="center" vertical="center"/>
    </xf>
    <xf numFmtId="2" fontId="43" fillId="5" borderId="7" xfId="2" applyNumberFormat="1" applyFont="1" applyFill="1" applyBorder="1" applyAlignment="1">
      <alignment horizontal="center" vertical="center"/>
    </xf>
    <xf numFmtId="0" fontId="41" fillId="19" borderId="7" xfId="0" applyFont="1" applyFill="1" applyBorder="1" applyAlignment="1">
      <alignment horizontal="center" vertical="center"/>
    </xf>
    <xf numFmtId="172" fontId="43" fillId="0" borderId="7" xfId="0" applyNumberFormat="1" applyFont="1" applyBorder="1" applyAlignment="1">
      <alignment horizontal="center" vertical="center"/>
    </xf>
    <xf numFmtId="0" fontId="46" fillId="4" borderId="5" xfId="0" applyFont="1" applyFill="1" applyBorder="1" applyAlignment="1">
      <alignment vertical="center"/>
    </xf>
    <xf numFmtId="0" fontId="46" fillId="4" borderId="6" xfId="0" applyFont="1" applyFill="1" applyBorder="1" applyAlignment="1">
      <alignment vertical="center" wrapText="1"/>
    </xf>
    <xf numFmtId="2" fontId="41" fillId="5" borderId="7" xfId="8" applyNumberFormat="1" applyFont="1" applyFill="1" applyBorder="1" applyAlignment="1">
      <alignment horizontal="center" vertical="center"/>
    </xf>
    <xf numFmtId="174" fontId="43" fillId="0" borderId="7" xfId="2" applyNumberFormat="1" applyFont="1" applyFill="1" applyBorder="1" applyAlignment="1">
      <alignment horizontal="center" vertical="center"/>
    </xf>
    <xf numFmtId="175" fontId="43" fillId="0" borderId="7" xfId="2" applyNumberFormat="1" applyFont="1" applyFill="1" applyBorder="1" applyAlignment="1">
      <alignment horizontal="center" vertical="center"/>
    </xf>
    <xf numFmtId="0" fontId="74" fillId="10" borderId="0" xfId="0" applyFont="1" applyFill="1" applyAlignment="1">
      <alignment vertical="center"/>
    </xf>
    <xf numFmtId="179" fontId="41" fillId="7" borderId="7" xfId="0" applyNumberFormat="1" applyFont="1" applyFill="1" applyBorder="1" applyAlignment="1" applyProtection="1">
      <alignment horizontal="center" vertical="center" wrapText="1"/>
      <protection locked="0"/>
    </xf>
    <xf numFmtId="180" fontId="41" fillId="7" borderId="17" xfId="2" applyNumberFormat="1" applyFont="1" applyFill="1" applyBorder="1" applyAlignment="1" applyProtection="1">
      <alignment horizontal="center" vertical="center" wrapText="1"/>
      <protection locked="0"/>
    </xf>
    <xf numFmtId="165" fontId="41" fillId="33" borderId="7" xfId="2" applyNumberFormat="1" applyFont="1" applyFill="1" applyBorder="1" applyAlignment="1">
      <alignment horizontal="center" vertical="center" wrapText="1"/>
    </xf>
    <xf numFmtId="180" fontId="42" fillId="8" borderId="7" xfId="2" applyNumberFormat="1" applyFont="1" applyFill="1" applyBorder="1" applyAlignment="1" applyProtection="1">
      <alignment horizontal="center" vertical="center"/>
    </xf>
    <xf numFmtId="180" fontId="40" fillId="33" borderId="7" xfId="2" applyNumberFormat="1" applyFont="1" applyFill="1" applyBorder="1" applyAlignment="1" applyProtection="1">
      <alignment horizontal="center" vertical="center"/>
    </xf>
    <xf numFmtId="180" fontId="39" fillId="8" borderId="7" xfId="0" applyNumberFormat="1" applyFont="1" applyFill="1" applyBorder="1" applyAlignment="1">
      <alignment horizontal="right" vertical="center" wrapText="1"/>
    </xf>
    <xf numFmtId="180" fontId="43" fillId="33" borderId="7" xfId="2" applyNumberFormat="1" applyFont="1" applyFill="1" applyBorder="1" applyAlignment="1">
      <alignment horizontal="right" vertical="center"/>
    </xf>
    <xf numFmtId="0" fontId="39" fillId="8" borderId="7" xfId="0" applyFont="1" applyFill="1" applyBorder="1" applyAlignment="1">
      <alignment horizontal="center" vertical="center" wrapText="1"/>
    </xf>
    <xf numFmtId="1" fontId="39" fillId="8" borderId="7" xfId="0" applyNumberFormat="1" applyFont="1" applyFill="1" applyBorder="1" applyAlignment="1">
      <alignment horizontal="center" vertical="center" wrapText="1"/>
    </xf>
    <xf numFmtId="0" fontId="39" fillId="0" borderId="0" xfId="0" applyFont="1"/>
    <xf numFmtId="165" fontId="39" fillId="8" borderId="7" xfId="2" applyNumberFormat="1" applyFont="1" applyFill="1" applyBorder="1" applyAlignment="1">
      <alignment horizontal="center" vertical="center"/>
    </xf>
    <xf numFmtId="165" fontId="39" fillId="8" borderId="17" xfId="2" applyNumberFormat="1" applyFont="1" applyFill="1" applyBorder="1" applyAlignment="1">
      <alignment horizontal="center" vertical="center"/>
    </xf>
    <xf numFmtId="180" fontId="39" fillId="8" borderId="17" xfId="2" applyNumberFormat="1" applyFont="1" applyFill="1" applyBorder="1" applyAlignment="1">
      <alignment horizontal="right" vertical="center"/>
    </xf>
    <xf numFmtId="180" fontId="41" fillId="33" borderId="7" xfId="2" applyNumberFormat="1" applyFont="1" applyFill="1" applyBorder="1" applyAlignment="1">
      <alignment horizontal="right" vertical="center"/>
    </xf>
    <xf numFmtId="180" fontId="39" fillId="8" borderId="7" xfId="2" applyNumberFormat="1" applyFont="1" applyFill="1" applyBorder="1" applyAlignment="1">
      <alignment horizontal="right" vertical="center"/>
    </xf>
    <xf numFmtId="180" fontId="42" fillId="33" borderId="7" xfId="2" applyNumberFormat="1" applyFont="1" applyFill="1" applyBorder="1" applyAlignment="1">
      <alignment horizontal="right" vertical="center"/>
    </xf>
    <xf numFmtId="165" fontId="39" fillId="8" borderId="7" xfId="2" applyNumberFormat="1" applyFont="1" applyFill="1" applyBorder="1" applyAlignment="1">
      <alignment horizontal="center" vertical="center" wrapText="1"/>
    </xf>
    <xf numFmtId="165" fontId="39" fillId="8" borderId="17" xfId="2" applyNumberFormat="1" applyFont="1" applyFill="1" applyBorder="1" applyAlignment="1">
      <alignment horizontal="center" vertical="center" wrapText="1"/>
    </xf>
    <xf numFmtId="0" fontId="62" fillId="8" borderId="7" xfId="0" applyFont="1" applyFill="1" applyBorder="1" applyAlignment="1">
      <alignment vertical="top" wrapText="1"/>
    </xf>
    <xf numFmtId="41" fontId="39" fillId="8" borderId="17" xfId="2" applyNumberFormat="1" applyFont="1" applyFill="1" applyBorder="1" applyAlignment="1">
      <alignment horizontal="center" vertical="center" wrapText="1"/>
    </xf>
    <xf numFmtId="41" fontId="41" fillId="23" borderId="7" xfId="2" applyNumberFormat="1" applyFont="1" applyFill="1" applyBorder="1" applyAlignment="1" applyProtection="1">
      <alignment horizontal="center" vertical="center"/>
      <protection locked="0"/>
    </xf>
    <xf numFmtId="180" fontId="39" fillId="8" borderId="7" xfId="2" applyNumberFormat="1" applyFont="1" applyFill="1" applyBorder="1" applyAlignment="1">
      <alignment horizontal="right" vertical="center" wrapText="1"/>
    </xf>
    <xf numFmtId="0" fontId="16" fillId="4" borderId="7" xfId="0" applyFont="1" applyFill="1" applyBorder="1" applyAlignment="1">
      <alignment horizontal="center" vertical="center"/>
    </xf>
    <xf numFmtId="0" fontId="41" fillId="4" borderId="5" xfId="0" applyFont="1" applyFill="1" applyBorder="1" applyAlignment="1">
      <alignment horizontal="center"/>
    </xf>
    <xf numFmtId="0" fontId="46" fillId="4" borderId="15" xfId="0" applyFont="1" applyFill="1" applyBorder="1" applyAlignment="1">
      <alignment horizontal="center" vertical="center" wrapText="1"/>
    </xf>
    <xf numFmtId="0" fontId="41" fillId="23" borderId="7" xfId="0" applyFont="1" applyFill="1" applyBorder="1" applyProtection="1">
      <protection locked="0"/>
    </xf>
    <xf numFmtId="0" fontId="43" fillId="0" borderId="0" xfId="0" applyFont="1" applyAlignment="1">
      <alignment horizontal="left" vertical="center" indent="5"/>
    </xf>
    <xf numFmtId="180" fontId="41" fillId="33" borderId="7" xfId="0" applyNumberFormat="1" applyFont="1" applyFill="1" applyBorder="1" applyAlignment="1">
      <alignment horizontal="right" vertical="center" wrapText="1"/>
    </xf>
    <xf numFmtId="1" fontId="41" fillId="33" borderId="7" xfId="0" applyNumberFormat="1" applyFont="1" applyFill="1" applyBorder="1" applyAlignment="1">
      <alignment horizontal="center" vertical="center" wrapText="1"/>
    </xf>
    <xf numFmtId="180" fontId="43" fillId="33" borderId="7" xfId="2" applyNumberFormat="1" applyFont="1" applyFill="1" applyBorder="1" applyAlignment="1" applyProtection="1">
      <alignment horizontal="right" vertical="center"/>
    </xf>
    <xf numFmtId="180" fontId="40" fillId="33" borderId="7" xfId="2" applyNumberFormat="1" applyFont="1" applyFill="1" applyBorder="1" applyAlignment="1" applyProtection="1">
      <alignment horizontal="right" vertical="center"/>
    </xf>
    <xf numFmtId="43" fontId="39" fillId="0" borderId="0" xfId="0" applyNumberFormat="1" applyFont="1" applyAlignment="1">
      <alignment horizontal="center" vertical="center" wrapText="1"/>
    </xf>
    <xf numFmtId="179" fontId="39" fillId="0" borderId="0" xfId="0" applyNumberFormat="1" applyFont="1" applyAlignment="1">
      <alignment horizontal="center" vertical="center" wrapText="1"/>
    </xf>
    <xf numFmtId="43" fontId="41" fillId="0" borderId="0" xfId="0" applyNumberFormat="1" applyFont="1" applyAlignment="1">
      <alignment horizontal="center" vertical="center" wrapText="1"/>
    </xf>
    <xf numFmtId="179" fontId="41" fillId="0" borderId="0" xfId="0" applyNumberFormat="1" applyFont="1" applyAlignment="1">
      <alignment horizontal="center" vertical="center" wrapText="1"/>
    </xf>
    <xf numFmtId="165" fontId="46" fillId="0" borderId="0" xfId="2" applyNumberFormat="1" applyFont="1" applyFill="1" applyBorder="1" applyAlignment="1" applyProtection="1">
      <alignment vertical="center"/>
    </xf>
    <xf numFmtId="179" fontId="43" fillId="0" borderId="0" xfId="2" applyNumberFormat="1" applyFont="1" applyFill="1" applyBorder="1" applyAlignment="1" applyProtection="1">
      <alignment vertical="center"/>
    </xf>
    <xf numFmtId="0" fontId="46" fillId="0" borderId="0" xfId="0" applyFont="1" applyAlignment="1">
      <alignment vertical="center"/>
    </xf>
    <xf numFmtId="0" fontId="41" fillId="23" borderId="7" xfId="0" applyFont="1" applyFill="1" applyBorder="1" applyAlignment="1" applyProtection="1">
      <alignment horizontal="center" vertical="center" wrapText="1"/>
      <protection locked="0"/>
    </xf>
    <xf numFmtId="0" fontId="41" fillId="23" borderId="6" xfId="0" applyFont="1" applyFill="1" applyBorder="1" applyAlignment="1" applyProtection="1">
      <alignment horizontal="center" vertical="center" wrapText="1"/>
      <protection locked="0"/>
    </xf>
    <xf numFmtId="1" fontId="41" fillId="23" borderId="7" xfId="0" applyNumberFormat="1" applyFont="1" applyFill="1" applyBorder="1" applyAlignment="1" applyProtection="1">
      <alignment horizontal="center" vertical="center" wrapText="1"/>
      <protection locked="0"/>
    </xf>
    <xf numFmtId="0" fontId="41" fillId="7" borderId="6" xfId="0" applyFont="1" applyFill="1" applyBorder="1" applyAlignment="1" applyProtection="1">
      <alignment horizontal="center" vertical="center" wrapText="1"/>
      <protection locked="0"/>
    </xf>
    <xf numFmtId="0" fontId="42" fillId="32" borderId="7" xfId="0" applyFont="1" applyFill="1" applyBorder="1" applyAlignment="1">
      <alignment horizontal="left" vertical="top" wrapText="1"/>
    </xf>
    <xf numFmtId="0" fontId="41" fillId="22" borderId="7" xfId="0" applyFont="1" applyFill="1" applyBorder="1" applyAlignment="1">
      <alignment horizontal="left" vertical="top" wrapText="1"/>
    </xf>
    <xf numFmtId="41" fontId="41" fillId="23" borderId="7" xfId="2" applyNumberFormat="1" applyFont="1" applyFill="1" applyBorder="1" applyAlignment="1" applyProtection="1">
      <alignment horizontal="center" vertical="center" wrapText="1"/>
      <protection locked="0"/>
    </xf>
    <xf numFmtId="0" fontId="41" fillId="23" borderId="7" xfId="0" applyFont="1" applyFill="1" applyBorder="1" applyAlignment="1" applyProtection="1">
      <alignment vertical="center" wrapText="1"/>
      <protection locked="0"/>
    </xf>
    <xf numFmtId="43" fontId="41" fillId="13" borderId="7" xfId="2" applyFont="1" applyFill="1" applyBorder="1" applyAlignment="1" applyProtection="1">
      <alignment horizontal="center" vertical="center"/>
    </xf>
    <xf numFmtId="0" fontId="94" fillId="10" borderId="5" xfId="0" applyFont="1" applyFill="1" applyBorder="1" applyAlignment="1">
      <alignment vertical="center"/>
    </xf>
    <xf numFmtId="0" fontId="94" fillId="10" borderId="5" xfId="0" applyFont="1" applyFill="1" applyBorder="1" applyAlignment="1">
      <alignment horizontal="center" vertical="center"/>
    </xf>
    <xf numFmtId="0" fontId="102" fillId="10" borderId="5" xfId="0" applyFont="1" applyFill="1" applyBorder="1" applyAlignment="1">
      <alignment vertical="center"/>
    </xf>
    <xf numFmtId="0" fontId="102" fillId="10" borderId="6" xfId="0" applyFont="1" applyFill="1" applyBorder="1" applyAlignment="1">
      <alignment vertical="center"/>
    </xf>
    <xf numFmtId="0" fontId="102" fillId="10" borderId="0" xfId="0" applyFont="1" applyFill="1" applyAlignment="1">
      <alignment vertical="center"/>
    </xf>
    <xf numFmtId="0" fontId="84" fillId="0" borderId="0" xfId="0" applyFont="1" applyAlignment="1">
      <alignment vertical="center"/>
    </xf>
    <xf numFmtId="0" fontId="94"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vertical="center"/>
    </xf>
    <xf numFmtId="0" fontId="86" fillId="0" borderId="0" xfId="0" applyFont="1"/>
    <xf numFmtId="0" fontId="46" fillId="4" borderId="0" xfId="0" applyFont="1" applyFill="1" applyAlignment="1">
      <alignment vertical="center"/>
    </xf>
    <xf numFmtId="0" fontId="40" fillId="4" borderId="0" xfId="0" applyFont="1" applyFill="1" applyAlignment="1">
      <alignment vertical="center"/>
    </xf>
    <xf numFmtId="0" fontId="40" fillId="3" borderId="0" xfId="0" applyFont="1" applyFill="1" applyAlignment="1">
      <alignment horizontal="center" vertical="center"/>
    </xf>
    <xf numFmtId="0" fontId="43" fillId="0" borderId="7" xfId="0" applyFont="1" applyBorder="1" applyAlignment="1">
      <alignment horizontal="left" vertical="center"/>
    </xf>
    <xf numFmtId="0" fontId="43" fillId="0" borderId="7" xfId="0" applyFont="1" applyBorder="1" applyAlignment="1">
      <alignment horizontal="left" vertical="center" wrapText="1"/>
    </xf>
    <xf numFmtId="0" fontId="65" fillId="0" borderId="0" xfId="0" applyFont="1" applyAlignment="1">
      <alignment vertical="center"/>
    </xf>
    <xf numFmtId="0" fontId="87" fillId="0" borderId="0" xfId="0" applyFont="1" applyAlignment="1">
      <alignment horizontal="center" vertical="center"/>
    </xf>
    <xf numFmtId="0" fontId="43" fillId="0" borderId="7" xfId="0" applyFont="1" applyBorder="1" applyAlignment="1">
      <alignment horizontal="center" vertical="center"/>
    </xf>
    <xf numFmtId="180" fontId="43" fillId="0" borderId="7" xfId="0" applyNumberFormat="1" applyFont="1" applyBorder="1" applyAlignment="1">
      <alignment horizontal="center" vertical="center"/>
    </xf>
    <xf numFmtId="179" fontId="43" fillId="0" borderId="7" xfId="0" applyNumberFormat="1" applyFont="1" applyBorder="1" applyAlignment="1">
      <alignment horizontal="left" vertical="center"/>
    </xf>
    <xf numFmtId="180" fontId="43" fillId="0" borderId="7" xfId="0" applyNumberFormat="1" applyFont="1" applyBorder="1" applyAlignment="1">
      <alignment horizontal="center" vertical="center" wrapText="1"/>
    </xf>
    <xf numFmtId="180" fontId="43" fillId="0" borderId="4" xfId="0" applyNumberFormat="1" applyFont="1" applyBorder="1" applyAlignment="1">
      <alignment horizontal="center" vertical="center" wrapText="1"/>
    </xf>
    <xf numFmtId="49" fontId="99" fillId="0" borderId="7" xfId="0" applyNumberFormat="1" applyFont="1" applyBorder="1" applyAlignment="1">
      <alignment horizontal="center" vertical="center" wrapText="1"/>
    </xf>
    <xf numFmtId="0" fontId="84" fillId="0" borderId="0" xfId="0" applyFont="1" applyAlignment="1">
      <alignment horizontal="center" vertical="center"/>
    </xf>
    <xf numFmtId="0" fontId="47" fillId="0" borderId="7" xfId="0" applyFont="1" applyBorder="1" applyAlignment="1">
      <alignment horizontal="center" vertical="center"/>
    </xf>
    <xf numFmtId="180" fontId="43" fillId="2" borderId="7" xfId="0" applyNumberFormat="1" applyFont="1" applyFill="1" applyBorder="1" applyAlignment="1">
      <alignment horizontal="center" vertical="center" wrapText="1"/>
    </xf>
    <xf numFmtId="0" fontId="43" fillId="0" borderId="7" xfId="0" quotePrefix="1" applyFont="1" applyBorder="1" applyAlignment="1">
      <alignment horizontal="center" vertical="center" wrapText="1"/>
    </xf>
    <xf numFmtId="0" fontId="43" fillId="0" borderId="0" xfId="0" applyFont="1" applyAlignment="1">
      <alignment horizontal="center" vertical="center"/>
    </xf>
    <xf numFmtId="0" fontId="47" fillId="0" borderId="0" xfId="0" applyFont="1" applyAlignment="1">
      <alignment horizontal="center" vertical="center"/>
    </xf>
    <xf numFmtId="171" fontId="43" fillId="0" borderId="7" xfId="0" applyNumberFormat="1" applyFont="1" applyBorder="1" applyAlignment="1">
      <alignment horizontal="center" vertical="center" wrapText="1"/>
    </xf>
    <xf numFmtId="0" fontId="38" fillId="0" borderId="0" xfId="0" applyFont="1" applyAlignment="1">
      <alignment horizontal="center" vertical="center"/>
    </xf>
    <xf numFmtId="0" fontId="47" fillId="0" borderId="7" xfId="0" applyFont="1" applyBorder="1" applyAlignment="1">
      <alignment horizontal="center" vertical="center" wrapText="1"/>
    </xf>
    <xf numFmtId="0" fontId="86" fillId="0" borderId="0" xfId="0" applyFont="1" applyAlignment="1">
      <alignment horizontal="center"/>
    </xf>
    <xf numFmtId="0" fontId="68" fillId="10" borderId="5" xfId="0" applyFont="1" applyFill="1" applyBorder="1" applyAlignment="1">
      <alignment horizontal="center" vertical="center"/>
    </xf>
    <xf numFmtId="0" fontId="76" fillId="10" borderId="5" xfId="0" applyFont="1" applyFill="1" applyBorder="1" applyAlignment="1">
      <alignment vertical="center"/>
    </xf>
    <xf numFmtId="0" fontId="70" fillId="10" borderId="5" xfId="0" applyFont="1" applyFill="1" applyBorder="1" applyAlignment="1">
      <alignment vertical="center"/>
    </xf>
    <xf numFmtId="0" fontId="70" fillId="10" borderId="6" xfId="0" applyFont="1" applyFill="1" applyBorder="1" applyAlignment="1">
      <alignment vertical="center"/>
    </xf>
    <xf numFmtId="0" fontId="70" fillId="10" borderId="0" xfId="0" applyFont="1" applyFill="1" applyAlignment="1">
      <alignment vertical="center"/>
    </xf>
    <xf numFmtId="0" fontId="38" fillId="13" borderId="0" xfId="0" applyFont="1" applyFill="1" applyAlignment="1">
      <alignment vertical="center"/>
    </xf>
    <xf numFmtId="0" fontId="40" fillId="13" borderId="0" xfId="0" applyFont="1" applyFill="1" applyAlignment="1">
      <alignment horizontal="center" vertical="center"/>
    </xf>
    <xf numFmtId="0" fontId="43" fillId="13" borderId="0" xfId="0" applyFont="1" applyFill="1" applyAlignment="1">
      <alignment vertical="center"/>
    </xf>
    <xf numFmtId="0" fontId="38" fillId="13" borderId="0" xfId="0" applyFont="1" applyFill="1"/>
    <xf numFmtId="0" fontId="100" fillId="13" borderId="0" xfId="0" applyFont="1" applyFill="1" applyAlignment="1">
      <alignment horizontal="left"/>
    </xf>
    <xf numFmtId="3" fontId="43" fillId="13" borderId="0" xfId="0" applyNumberFormat="1" applyFont="1" applyFill="1"/>
    <xf numFmtId="0" fontId="40" fillId="13" borderId="0" xfId="0" applyFont="1" applyFill="1" applyAlignment="1">
      <alignment horizontal="right"/>
    </xf>
    <xf numFmtId="0" fontId="40" fillId="13" borderId="0" xfId="0" applyFont="1" applyFill="1" applyAlignment="1">
      <alignment horizontal="center"/>
    </xf>
    <xf numFmtId="0" fontId="43" fillId="0" borderId="42" xfId="0" applyFont="1" applyBorder="1"/>
    <xf numFmtId="0" fontId="40" fillId="2" borderId="0" xfId="0" applyFont="1" applyFill="1" applyAlignment="1">
      <alignment horizontal="left"/>
    </xf>
    <xf numFmtId="0" fontId="88" fillId="2" borderId="37" xfId="0" applyFont="1" applyFill="1" applyBorder="1" applyAlignment="1">
      <alignment vertical="center"/>
    </xf>
    <xf numFmtId="0" fontId="88" fillId="0" borderId="37" xfId="0" applyFont="1" applyBorder="1" applyAlignment="1">
      <alignment vertical="center"/>
    </xf>
    <xf numFmtId="0" fontId="43" fillId="0" borderId="37" xfId="0" applyFont="1" applyBorder="1"/>
    <xf numFmtId="0" fontId="43" fillId="0" borderId="39" xfId="0" applyFont="1" applyBorder="1"/>
    <xf numFmtId="0" fontId="85" fillId="4" borderId="15" xfId="0" applyFont="1" applyFill="1" applyBorder="1" applyAlignment="1">
      <alignment horizontal="center" vertical="center"/>
    </xf>
    <xf numFmtId="0" fontId="85" fillId="4" borderId="15" xfId="0" applyFont="1" applyFill="1" applyBorder="1" applyAlignment="1">
      <alignment horizontal="center" vertical="center" wrapText="1"/>
    </xf>
    <xf numFmtId="0" fontId="43" fillId="0" borderId="38" xfId="0" applyFont="1" applyBorder="1"/>
    <xf numFmtId="0" fontId="85" fillId="4" borderId="7" xfId="0" applyFont="1" applyFill="1" applyBorder="1" applyAlignment="1">
      <alignment horizontal="center" vertical="center" wrapText="1"/>
    </xf>
    <xf numFmtId="0" fontId="43" fillId="13" borderId="37" xfId="0" applyFont="1" applyFill="1" applyBorder="1"/>
    <xf numFmtId="0" fontId="43" fillId="13" borderId="6" xfId="0" applyFont="1" applyFill="1" applyBorder="1" applyAlignment="1">
      <alignment horizontal="center" vertical="center" wrapText="1"/>
    </xf>
    <xf numFmtId="43" fontId="43" fillId="0" borderId="6" xfId="0" applyNumberFormat="1" applyFont="1" applyBorder="1" applyAlignment="1">
      <alignment horizontal="center" vertical="center" wrapText="1"/>
    </xf>
    <xf numFmtId="0" fontId="43" fillId="13" borderId="7" xfId="0" applyFont="1" applyFill="1" applyBorder="1" applyAlignment="1">
      <alignment horizontal="center" vertical="center" wrapText="1"/>
    </xf>
    <xf numFmtId="180" fontId="43" fillId="0" borderId="6" xfId="0" applyNumberFormat="1" applyFont="1" applyBorder="1" applyAlignment="1">
      <alignment horizontal="center" vertical="center" wrapText="1"/>
    </xf>
    <xf numFmtId="0" fontId="43" fillId="13" borderId="7" xfId="0" applyFont="1" applyFill="1" applyBorder="1" applyAlignment="1">
      <alignment horizontal="center" vertical="center"/>
    </xf>
    <xf numFmtId="43" fontId="43" fillId="0" borderId="7" xfId="0" applyNumberFormat="1" applyFont="1" applyBorder="1" applyAlignment="1">
      <alignment horizontal="center" vertical="center" wrapText="1"/>
    </xf>
    <xf numFmtId="0" fontId="43" fillId="0" borderId="43" xfId="0" applyFont="1" applyBorder="1"/>
    <xf numFmtId="0" fontId="89" fillId="2" borderId="0" xfId="0" applyFont="1" applyFill="1" applyAlignment="1">
      <alignment horizontal="center" vertical="center"/>
    </xf>
    <xf numFmtId="0" fontId="43" fillId="2" borderId="0" xfId="0" applyFont="1" applyFill="1" applyAlignment="1">
      <alignment horizontal="left" vertical="center" wrapText="1"/>
    </xf>
    <xf numFmtId="3" fontId="43" fillId="0" borderId="0" xfId="0" applyNumberFormat="1" applyFont="1" applyAlignment="1">
      <alignment horizontal="center" vertical="center" wrapText="1"/>
    </xf>
    <xf numFmtId="169" fontId="43" fillId="0" borderId="0" xfId="0" applyNumberFormat="1" applyFont="1" applyAlignment="1">
      <alignment horizontal="center" vertical="center" wrapText="1"/>
    </xf>
    <xf numFmtId="0" fontId="48" fillId="0" borderId="42" xfId="0" applyFont="1" applyBorder="1"/>
    <xf numFmtId="0" fontId="40" fillId="13" borderId="0" xfId="0" applyFont="1" applyFill="1" applyAlignment="1">
      <alignment horizontal="left"/>
    </xf>
    <xf numFmtId="11" fontId="43" fillId="0" borderId="7" xfId="0" applyNumberFormat="1" applyFont="1" applyBorder="1" applyAlignment="1">
      <alignment horizontal="center" vertical="center" wrapText="1"/>
    </xf>
    <xf numFmtId="11" fontId="43" fillId="0" borderId="6" xfId="0" applyNumberFormat="1" applyFont="1" applyBorder="1" applyAlignment="1">
      <alignment horizontal="center" vertical="center" wrapText="1"/>
    </xf>
    <xf numFmtId="0" fontId="43" fillId="2" borderId="36" xfId="0" applyFont="1" applyFill="1" applyBorder="1" applyAlignment="1">
      <alignment horizontal="center" vertical="center" wrapText="1"/>
    </xf>
    <xf numFmtId="0" fontId="43" fillId="2" borderId="0" xfId="0" applyFont="1" applyFill="1" applyAlignment="1">
      <alignment vertical="center" wrapText="1"/>
    </xf>
    <xf numFmtId="0" fontId="43" fillId="2" borderId="0" xfId="0" applyFont="1" applyFill="1" applyAlignment="1">
      <alignment horizontal="center" vertical="center" wrapText="1"/>
    </xf>
    <xf numFmtId="11" fontId="40" fillId="0" borderId="7" xfId="0" applyNumberFormat="1" applyFont="1" applyBorder="1" applyAlignment="1">
      <alignment horizontal="center" vertical="center" wrapText="1"/>
    </xf>
    <xf numFmtId="0" fontId="40" fillId="13" borderId="7" xfId="0" applyFont="1" applyFill="1" applyBorder="1" applyAlignment="1">
      <alignment horizontal="center" vertical="center" wrapText="1"/>
    </xf>
    <xf numFmtId="0" fontId="100" fillId="13" borderId="0" xfId="0" applyFont="1" applyFill="1"/>
    <xf numFmtId="0" fontId="40" fillId="13" borderId="0" xfId="0" applyFont="1" applyFill="1"/>
    <xf numFmtId="0" fontId="40" fillId="2" borderId="0" xfId="0" applyFont="1" applyFill="1"/>
    <xf numFmtId="0" fontId="43" fillId="0" borderId="0" xfId="0" applyFont="1" applyAlignment="1">
      <alignment horizontal="center"/>
    </xf>
    <xf numFmtId="0" fontId="46" fillId="28" borderId="14" xfId="0" applyFont="1" applyFill="1" applyBorder="1" applyAlignment="1">
      <alignment horizontal="left" vertical="center" wrapText="1" readingOrder="1"/>
    </xf>
    <xf numFmtId="0" fontId="46" fillId="28" borderId="15" xfId="0" applyFont="1" applyFill="1" applyBorder="1" applyAlignment="1">
      <alignment horizontal="left" vertical="center" wrapText="1" readingOrder="1"/>
    </xf>
    <xf numFmtId="0" fontId="46" fillId="28" borderId="9" xfId="0" applyFont="1" applyFill="1" applyBorder="1" applyAlignment="1">
      <alignment horizontal="left" vertical="center" wrapText="1" readingOrder="1"/>
    </xf>
    <xf numFmtId="0" fontId="46" fillId="28" borderId="19" xfId="0" applyFont="1" applyFill="1" applyBorder="1" applyAlignment="1">
      <alignment horizontal="left" vertical="center" wrapText="1" readingOrder="1"/>
    </xf>
    <xf numFmtId="0" fontId="46" fillId="28" borderId="16" xfId="0" applyFont="1" applyFill="1" applyBorder="1" applyAlignment="1">
      <alignment horizontal="center" wrapText="1" readingOrder="1"/>
    </xf>
    <xf numFmtId="0" fontId="46" fillId="28" borderId="15" xfId="0" applyFont="1" applyFill="1" applyBorder="1" applyAlignment="1">
      <alignment horizontal="center" wrapText="1" readingOrder="1"/>
    </xf>
    <xf numFmtId="0" fontId="46" fillId="28" borderId="11" xfId="0" applyFont="1" applyFill="1" applyBorder="1" applyAlignment="1">
      <alignment vertical="center" wrapText="1"/>
    </xf>
    <xf numFmtId="0" fontId="46" fillId="28" borderId="17" xfId="0" applyFont="1" applyFill="1" applyBorder="1" applyAlignment="1">
      <alignment vertical="center" wrapText="1"/>
    </xf>
    <xf numFmtId="0" fontId="46" fillId="28" borderId="13" xfId="0" applyFont="1" applyFill="1" applyBorder="1" applyAlignment="1">
      <alignment horizontal="center" wrapText="1" readingOrder="1"/>
    </xf>
    <xf numFmtId="0" fontId="46" fillId="28" borderId="17" xfId="0" applyFont="1" applyFill="1" applyBorder="1" applyAlignment="1">
      <alignment horizontal="center" wrapText="1" readingOrder="1"/>
    </xf>
    <xf numFmtId="0" fontId="46" fillId="28" borderId="17" xfId="0" applyFont="1" applyFill="1" applyBorder="1" applyAlignment="1">
      <alignment horizontal="center" vertical="center" wrapText="1"/>
    </xf>
    <xf numFmtId="0" fontId="46" fillId="28" borderId="17" xfId="0" applyFont="1" applyFill="1" applyBorder="1" applyAlignment="1">
      <alignment horizontal="center"/>
    </xf>
    <xf numFmtId="0" fontId="48" fillId="4" borderId="11" xfId="0" applyFont="1" applyFill="1" applyBorder="1" applyAlignment="1">
      <alignment horizontal="left" vertical="center" indent="1"/>
    </xf>
    <xf numFmtId="9" fontId="90" fillId="0" borderId="7" xfId="0" applyNumberFormat="1" applyFont="1" applyBorder="1" applyAlignment="1">
      <alignment horizontal="left" vertical="center" wrapText="1" readingOrder="1"/>
    </xf>
    <xf numFmtId="10" fontId="90" fillId="0" borderId="7" xfId="0" applyNumberFormat="1" applyFont="1" applyBorder="1" applyAlignment="1">
      <alignment horizontal="center" wrapText="1" readingOrder="1"/>
    </xf>
    <xf numFmtId="9" fontId="90" fillId="0" borderId="7" xfId="0" applyNumberFormat="1" applyFont="1" applyBorder="1" applyAlignment="1">
      <alignment horizontal="center" wrapText="1" readingOrder="1"/>
    </xf>
    <xf numFmtId="9" fontId="41" fillId="0" borderId="7" xfId="5" applyFont="1" applyFill="1" applyBorder="1" applyProtection="1"/>
    <xf numFmtId="171" fontId="41" fillId="0" borderId="7" xfId="0" applyNumberFormat="1" applyFont="1" applyBorder="1"/>
    <xf numFmtId="0" fontId="48" fillId="4" borderId="4" xfId="0" applyFont="1" applyFill="1" applyBorder="1" applyAlignment="1">
      <alignment horizontal="left" vertical="center" indent="1"/>
    </xf>
    <xf numFmtId="0" fontId="48" fillId="4" borderId="4" xfId="0" applyFont="1" applyFill="1" applyBorder="1" applyAlignment="1">
      <alignment horizontal="left" vertical="center" wrapText="1" indent="1"/>
    </xf>
    <xf numFmtId="10" fontId="90" fillId="0" borderId="7" xfId="0" applyNumberFormat="1" applyFont="1" applyBorder="1" applyAlignment="1">
      <alignment horizontal="left" vertical="center" wrapText="1" readingOrder="1"/>
    </xf>
    <xf numFmtId="0" fontId="42" fillId="0" borderId="67" xfId="0" applyFont="1" applyBorder="1"/>
    <xf numFmtId="0" fontId="41" fillId="0" borderId="0" xfId="0" applyFont="1" applyAlignment="1">
      <alignment horizontal="left" indent="1"/>
    </xf>
    <xf numFmtId="176" fontId="41" fillId="0" borderId="0" xfId="5" applyNumberFormat="1" applyFont="1" applyFill="1" applyAlignment="1" applyProtection="1">
      <alignment horizontal="center"/>
    </xf>
    <xf numFmtId="0" fontId="62" fillId="0" borderId="0" xfId="0" applyFont="1" applyAlignment="1">
      <alignment horizontal="left" indent="1"/>
    </xf>
    <xf numFmtId="0" fontId="41" fillId="0" borderId="12" xfId="0" applyFont="1" applyBorder="1" applyAlignment="1">
      <alignment horizontal="center"/>
    </xf>
    <xf numFmtId="0" fontId="41" fillId="0" borderId="12" xfId="0" applyFont="1" applyBorder="1" applyAlignment="1">
      <alignment horizontal="left" indent="1"/>
    </xf>
    <xf numFmtId="0" fontId="41" fillId="0" borderId="12" xfId="0" applyFont="1" applyBorder="1"/>
    <xf numFmtId="0" fontId="62" fillId="0" borderId="12" xfId="0" applyFont="1" applyBorder="1" applyAlignment="1">
      <alignment horizontal="left" indent="1"/>
    </xf>
    <xf numFmtId="2" fontId="41" fillId="0" borderId="12" xfId="0" applyNumberFormat="1" applyFont="1" applyBorder="1" applyAlignment="1">
      <alignment horizontal="center"/>
    </xf>
    <xf numFmtId="2" fontId="41" fillId="0" borderId="0" xfId="5" applyNumberFormat="1" applyFont="1" applyFill="1" applyAlignment="1" applyProtection="1">
      <alignment horizontal="center"/>
    </xf>
    <xf numFmtId="171" fontId="41" fillId="0" borderId="0" xfId="5" applyNumberFormat="1" applyFont="1" applyFill="1" applyAlignment="1" applyProtection="1">
      <alignment horizontal="center"/>
    </xf>
    <xf numFmtId="171" fontId="41" fillId="0" borderId="12" xfId="5" applyNumberFormat="1" applyFont="1" applyFill="1" applyBorder="1" applyAlignment="1" applyProtection="1">
      <alignment horizontal="center"/>
    </xf>
    <xf numFmtId="11" fontId="41" fillId="0" borderId="0" xfId="5" applyNumberFormat="1" applyFont="1" applyFill="1" applyAlignment="1" applyProtection="1">
      <alignment horizontal="center"/>
    </xf>
    <xf numFmtId="0" fontId="41" fillId="26" borderId="67" xfId="0" applyFont="1" applyFill="1" applyBorder="1" applyAlignment="1">
      <alignment horizontal="center"/>
    </xf>
    <xf numFmtId="0" fontId="41" fillId="26" borderId="67" xfId="0" applyFont="1" applyFill="1" applyBorder="1" applyAlignment="1">
      <alignment horizontal="left" indent="1"/>
    </xf>
    <xf numFmtId="0" fontId="41" fillId="26" borderId="67" xfId="0" applyFont="1" applyFill="1" applyBorder="1"/>
    <xf numFmtId="167" fontId="41" fillId="26" borderId="67" xfId="5" applyNumberFormat="1" applyFont="1" applyFill="1" applyBorder="1" applyAlignment="1" applyProtection="1">
      <alignment horizontal="center"/>
    </xf>
    <xf numFmtId="0" fontId="62" fillId="0" borderId="67" xfId="0" applyFont="1" applyBorder="1" applyAlignment="1">
      <alignment horizontal="left" indent="1"/>
    </xf>
    <xf numFmtId="0" fontId="46" fillId="4" borderId="7" xfId="0" applyFont="1" applyFill="1" applyBorder="1" applyAlignment="1">
      <alignment vertical="center"/>
    </xf>
    <xf numFmtId="0" fontId="43" fillId="0" borderId="43" xfId="0" applyFont="1" applyBorder="1" applyAlignment="1">
      <alignment horizontal="right"/>
    </xf>
    <xf numFmtId="0" fontId="43" fillId="0" borderId="44" xfId="0" applyFont="1" applyBorder="1"/>
    <xf numFmtId="0" fontId="43" fillId="0" borderId="46" xfId="0" applyFont="1" applyBorder="1"/>
    <xf numFmtId="0" fontId="40" fillId="2" borderId="0" xfId="0" applyFont="1" applyFill="1" applyAlignment="1">
      <alignment horizontal="center"/>
    </xf>
    <xf numFmtId="0" fontId="40" fillId="2" borderId="37" xfId="0" applyFont="1" applyFill="1" applyBorder="1" applyAlignment="1">
      <alignment vertical="center"/>
    </xf>
    <xf numFmtId="0" fontId="40" fillId="0" borderId="38" xfId="0" applyFont="1" applyBorder="1" applyAlignment="1">
      <alignment vertical="center"/>
    </xf>
    <xf numFmtId="0" fontId="43" fillId="0" borderId="45" xfId="0" applyFont="1" applyBorder="1"/>
    <xf numFmtId="0" fontId="85" fillId="4" borderId="7" xfId="0" applyFont="1" applyFill="1" applyBorder="1" applyAlignment="1">
      <alignment horizontal="center" vertical="center"/>
    </xf>
    <xf numFmtId="0" fontId="46" fillId="4" borderId="33" xfId="0" applyFont="1" applyFill="1" applyBorder="1" applyAlignment="1">
      <alignment horizontal="center" vertical="center"/>
    </xf>
    <xf numFmtId="0" fontId="43" fillId="0" borderId="45" xfId="0" applyFont="1" applyBorder="1" applyAlignment="1">
      <alignment vertical="center"/>
    </xf>
    <xf numFmtId="0" fontId="43" fillId="0" borderId="19" xfId="0" applyFont="1" applyBorder="1" applyAlignment="1">
      <alignment vertical="center"/>
    </xf>
    <xf numFmtId="3" fontId="43" fillId="12" borderId="7" xfId="0" applyNumberFormat="1" applyFont="1" applyFill="1" applyBorder="1" applyAlignment="1">
      <alignment horizontal="center" vertical="center" wrapText="1"/>
    </xf>
    <xf numFmtId="0" fontId="92" fillId="0" borderId="41" xfId="0" applyFont="1" applyBorder="1"/>
    <xf numFmtId="0" fontId="92" fillId="0" borderId="40" xfId="0" applyFont="1" applyBorder="1"/>
    <xf numFmtId="0" fontId="92" fillId="0" borderId="47" xfId="0" applyFont="1" applyBorder="1"/>
    <xf numFmtId="0" fontId="92" fillId="0" borderId="44" xfId="0" applyFont="1" applyBorder="1"/>
    <xf numFmtId="0" fontId="43" fillId="0" borderId="15" xfId="0" applyFont="1" applyBorder="1" applyAlignment="1">
      <alignment vertical="center"/>
    </xf>
    <xf numFmtId="0" fontId="43" fillId="0" borderId="17" xfId="0" applyFont="1" applyBorder="1" applyAlignment="1">
      <alignment horizontal="center" vertical="center"/>
    </xf>
    <xf numFmtId="0" fontId="43" fillId="0" borderId="7" xfId="0" applyFont="1" applyBorder="1"/>
    <xf numFmtId="0" fontId="43" fillId="0" borderId="17" xfId="0" applyFont="1" applyBorder="1" applyAlignment="1">
      <alignment vertical="center"/>
    </xf>
    <xf numFmtId="0" fontId="43" fillId="0" borderId="71" xfId="0" applyFont="1" applyBorder="1"/>
    <xf numFmtId="0" fontId="43" fillId="0" borderId="72" xfId="0" applyFont="1" applyBorder="1"/>
    <xf numFmtId="0" fontId="43" fillId="0" borderId="73" xfId="0" applyFont="1" applyBorder="1"/>
    <xf numFmtId="0" fontId="43" fillId="2" borderId="0" xfId="0" applyFont="1" applyFill="1" applyAlignment="1">
      <alignment horizontal="left" vertical="center"/>
    </xf>
    <xf numFmtId="0" fontId="43" fillId="2" borderId="0" xfId="0" applyFont="1" applyFill="1" applyAlignment="1">
      <alignment horizontal="center" vertical="center"/>
    </xf>
    <xf numFmtId="3" fontId="43" fillId="2" borderId="0" xfId="0" applyNumberFormat="1" applyFont="1" applyFill="1" applyAlignment="1">
      <alignment horizontal="center" vertical="center" wrapText="1"/>
    </xf>
    <xf numFmtId="0" fontId="43" fillId="0" borderId="42" xfId="0" applyFont="1" applyBorder="1" applyAlignment="1">
      <alignment horizontal="center"/>
    </xf>
    <xf numFmtId="0" fontId="27" fillId="0" borderId="9" xfId="0" applyFont="1" applyBorder="1" applyAlignment="1">
      <alignment horizontal="center" vertical="center"/>
    </xf>
    <xf numFmtId="0" fontId="46" fillId="4" borderId="7" xfId="0" applyFont="1" applyFill="1" applyBorder="1" applyAlignment="1">
      <alignment horizontal="left" vertical="center"/>
    </xf>
    <xf numFmtId="0" fontId="41" fillId="0" borderId="7" xfId="0" applyFont="1" applyBorder="1" applyAlignment="1">
      <alignment horizontal="left" indent="2"/>
    </xf>
    <xf numFmtId="2" fontId="41" fillId="0" borderId="7" xfId="0" applyNumberFormat="1" applyFont="1" applyBorder="1" applyAlignment="1">
      <alignment horizontal="center"/>
    </xf>
    <xf numFmtId="0" fontId="41" fillId="0" borderId="7" xfId="0" applyFont="1" applyBorder="1" applyAlignment="1">
      <alignment horizontal="left" indent="1"/>
    </xf>
    <xf numFmtId="0" fontId="62" fillId="0" borderId="7" xfId="0" applyFont="1" applyBorder="1" applyAlignment="1">
      <alignment horizontal="left" indent="1"/>
    </xf>
    <xf numFmtId="0" fontId="16" fillId="4" borderId="7" xfId="0" applyFont="1" applyFill="1" applyBorder="1"/>
    <xf numFmtId="0" fontId="16" fillId="4" borderId="0" xfId="0" applyFont="1" applyFill="1"/>
    <xf numFmtId="179" fontId="42" fillId="33" borderId="7" xfId="2" applyNumberFormat="1" applyFont="1" applyFill="1" applyBorder="1" applyAlignment="1">
      <alignment horizontal="center" vertical="center"/>
    </xf>
    <xf numFmtId="165" fontId="41" fillId="13" borderId="15" xfId="2" applyNumberFormat="1" applyFont="1" applyFill="1" applyBorder="1" applyAlignment="1" applyProtection="1">
      <alignment horizontal="center" vertical="center"/>
      <protection locked="0"/>
    </xf>
    <xf numFmtId="179" fontId="46" fillId="4" borderId="5" xfId="2" applyNumberFormat="1" applyFont="1" applyFill="1" applyBorder="1" applyAlignment="1">
      <alignment vertical="center"/>
    </xf>
    <xf numFmtId="0" fontId="46" fillId="4" borderId="5" xfId="2" applyNumberFormat="1" applyFont="1" applyFill="1" applyBorder="1" applyAlignment="1">
      <alignment vertical="center"/>
    </xf>
    <xf numFmtId="0" fontId="41" fillId="7" borderId="7" xfId="0" quotePrefix="1" applyFont="1" applyFill="1" applyBorder="1" applyAlignment="1" applyProtection="1">
      <alignment horizontal="center" vertical="center"/>
      <protection locked="0"/>
    </xf>
    <xf numFmtId="179" fontId="39" fillId="8" borderId="7" xfId="0" applyNumberFormat="1" applyFont="1" applyFill="1" applyBorder="1" applyAlignment="1">
      <alignment horizontal="right" vertical="center" wrapText="1"/>
    </xf>
    <xf numFmtId="179" fontId="41" fillId="7" borderId="7" xfId="0" applyNumberFormat="1" applyFont="1" applyFill="1" applyBorder="1" applyAlignment="1" applyProtection="1">
      <alignment horizontal="right" vertical="center" wrapText="1"/>
      <protection locked="0"/>
    </xf>
    <xf numFmtId="179" fontId="41" fillId="23" borderId="7" xfId="0" applyNumberFormat="1" applyFont="1" applyFill="1" applyBorder="1" applyAlignment="1" applyProtection="1">
      <alignment horizontal="right" vertical="center" wrapText="1"/>
      <protection locked="0"/>
    </xf>
    <xf numFmtId="179" fontId="41" fillId="33" borderId="15" xfId="2" applyNumberFormat="1" applyFont="1" applyFill="1" applyBorder="1" applyAlignment="1" applyProtection="1">
      <alignment horizontal="center" vertical="center"/>
    </xf>
    <xf numFmtId="179" fontId="42" fillId="33" borderId="7" xfId="0" applyNumberFormat="1" applyFont="1" applyFill="1" applyBorder="1" applyAlignment="1">
      <alignment vertical="center"/>
    </xf>
    <xf numFmtId="179" fontId="41" fillId="33" borderId="4" xfId="0" applyNumberFormat="1" applyFont="1" applyFill="1" applyBorder="1"/>
    <xf numFmtId="179" fontId="41" fillId="33" borderId="5" xfId="0" applyNumberFormat="1" applyFont="1" applyFill="1" applyBorder="1" applyAlignment="1">
      <alignment vertical="center"/>
    </xf>
    <xf numFmtId="179" fontId="42" fillId="33" borderId="6" xfId="0" applyNumberFormat="1" applyFont="1" applyFill="1" applyBorder="1" applyAlignment="1">
      <alignment vertical="center"/>
    </xf>
    <xf numFmtId="179" fontId="39" fillId="8" borderId="17" xfId="2" applyNumberFormat="1" applyFont="1" applyFill="1" applyBorder="1" applyAlignment="1">
      <alignment horizontal="right" vertical="center"/>
    </xf>
    <xf numFmtId="179" fontId="41" fillId="23" borderId="7" xfId="2" applyNumberFormat="1" applyFont="1" applyFill="1" applyBorder="1" applyAlignment="1" applyProtection="1">
      <alignment horizontal="right" vertical="center"/>
      <protection locked="0"/>
    </xf>
    <xf numFmtId="0" fontId="39" fillId="8" borderId="17" xfId="2" applyNumberFormat="1" applyFont="1" applyFill="1" applyBorder="1" applyAlignment="1">
      <alignment horizontal="right" vertical="center"/>
    </xf>
    <xf numFmtId="0" fontId="41" fillId="23" borderId="7" xfId="2" applyNumberFormat="1" applyFont="1" applyFill="1" applyBorder="1" applyAlignment="1" applyProtection="1">
      <alignment horizontal="right" vertical="center"/>
      <protection locked="0"/>
    </xf>
    <xf numFmtId="0" fontId="39" fillId="8" borderId="17" xfId="2" applyNumberFormat="1" applyFont="1" applyFill="1" applyBorder="1" applyAlignment="1">
      <alignment horizontal="right" vertical="center" wrapText="1"/>
    </xf>
    <xf numFmtId="0" fontId="85" fillId="4" borderId="4" xfId="0" applyFont="1" applyFill="1" applyBorder="1" applyAlignment="1">
      <alignment horizontal="center" vertical="center"/>
    </xf>
    <xf numFmtId="3" fontId="43" fillId="0" borderId="4" xfId="0" applyNumberFormat="1" applyFont="1" applyBorder="1" applyAlignment="1">
      <alignment horizontal="center" vertical="center" wrapText="1"/>
    </xf>
    <xf numFmtId="0" fontId="43" fillId="0" borderId="74" xfId="0" applyFont="1" applyBorder="1"/>
    <xf numFmtId="0" fontId="85" fillId="0" borderId="9" xfId="0" applyFont="1" applyBorder="1" applyAlignment="1">
      <alignment horizontal="center" vertical="center"/>
    </xf>
    <xf numFmtId="0" fontId="43" fillId="0" borderId="9" xfId="0" applyFont="1" applyBorder="1" applyAlignment="1">
      <alignment vertical="center"/>
    </xf>
    <xf numFmtId="0" fontId="43" fillId="0" borderId="9" xfId="0" applyFont="1" applyBorder="1" applyAlignment="1">
      <alignment vertical="center" wrapText="1"/>
    </xf>
    <xf numFmtId="0" fontId="43" fillId="0" borderId="9" xfId="0" applyFont="1" applyBorder="1" applyAlignment="1">
      <alignment horizontal="center" vertical="center" wrapText="1"/>
    </xf>
    <xf numFmtId="180" fontId="43" fillId="0" borderId="7" xfId="2" applyNumberFormat="1" applyFont="1" applyFill="1" applyBorder="1" applyAlignment="1" applyProtection="1">
      <alignment horizontal="center" vertical="center"/>
    </xf>
    <xf numFmtId="180" fontId="43" fillId="13" borderId="7" xfId="0" applyNumberFormat="1" applyFont="1" applyFill="1" applyBorder="1" applyAlignment="1">
      <alignment horizontal="center" vertical="center" wrapText="1"/>
    </xf>
    <xf numFmtId="180" fontId="43" fillId="13" borderId="7" xfId="0" applyNumberFormat="1" applyFont="1" applyFill="1" applyBorder="1" applyAlignment="1">
      <alignment horizontal="right" vertical="center" wrapText="1"/>
    </xf>
    <xf numFmtId="0" fontId="46" fillId="4" borderId="0" xfId="0" applyFont="1" applyFill="1" applyAlignment="1">
      <alignment horizontal="center"/>
    </xf>
    <xf numFmtId="0" fontId="43" fillId="0" borderId="7" xfId="0" applyFont="1" applyBorder="1" applyAlignment="1">
      <alignment horizontal="left"/>
    </xf>
    <xf numFmtId="176" fontId="43" fillId="0" borderId="7" xfId="5" applyNumberFormat="1" applyFont="1" applyFill="1" applyBorder="1" applyProtection="1"/>
    <xf numFmtId="2" fontId="43" fillId="0" borderId="7" xfId="0" applyNumberFormat="1" applyFont="1" applyBorder="1"/>
    <xf numFmtId="0" fontId="16" fillId="10" borderId="4" xfId="0" applyFont="1" applyFill="1" applyBorder="1" applyAlignment="1">
      <alignment horizontal="center" vertical="center"/>
    </xf>
    <xf numFmtId="171" fontId="1" fillId="0" borderId="7" xfId="0" applyNumberFormat="1" applyFont="1" applyBorder="1" applyAlignment="1">
      <alignment horizontal="center" vertical="center"/>
    </xf>
    <xf numFmtId="0" fontId="13" fillId="4" borderId="0" xfId="0" applyFont="1" applyFill="1"/>
    <xf numFmtId="0" fontId="30" fillId="4" borderId="0" xfId="0" applyFont="1" applyFill="1"/>
    <xf numFmtId="0" fontId="74" fillId="4" borderId="0" xfId="0" applyFont="1" applyFill="1"/>
    <xf numFmtId="0" fontId="98" fillId="4" borderId="0" xfId="0" applyFont="1" applyFill="1"/>
    <xf numFmtId="0" fontId="25" fillId="5" borderId="4" xfId="0" applyFont="1" applyFill="1" applyBorder="1" applyAlignment="1">
      <alignment vertical="center"/>
    </xf>
    <xf numFmtId="0" fontId="0" fillId="0" borderId="6" xfId="0" applyBorder="1" applyAlignment="1">
      <alignment horizontal="center" vertical="center"/>
    </xf>
    <xf numFmtId="0" fontId="0" fillId="0" borderId="10" xfId="0" applyBorder="1" applyAlignment="1">
      <alignment horizontal="center" vertical="center"/>
    </xf>
    <xf numFmtId="43" fontId="0" fillId="0" borderId="7" xfId="0" applyNumberFormat="1" applyBorder="1" applyAlignment="1">
      <alignment horizontal="center"/>
    </xf>
    <xf numFmtId="183" fontId="0" fillId="0" borderId="7" xfId="0" applyNumberFormat="1" applyBorder="1" applyAlignment="1">
      <alignment horizontal="center"/>
    </xf>
    <xf numFmtId="0" fontId="105" fillId="4" borderId="0" xfId="0" applyFont="1" applyFill="1"/>
    <xf numFmtId="9" fontId="0" fillId="6" borderId="7" xfId="0" applyNumberFormat="1" applyFill="1" applyBorder="1" applyAlignment="1">
      <alignment horizontal="center" vertical="center"/>
    </xf>
    <xf numFmtId="4" fontId="0" fillId="6" borderId="7" xfId="0" applyNumberFormat="1" applyFill="1" applyBorder="1" applyAlignment="1">
      <alignment horizontal="center" vertical="center"/>
    </xf>
    <xf numFmtId="0" fontId="25" fillId="0" borderId="9" xfId="0" applyFont="1" applyBorder="1" applyAlignment="1">
      <alignment horizontal="center" vertical="center"/>
    </xf>
    <xf numFmtId="0" fontId="0" fillId="0" borderId="9" xfId="0" applyBorder="1" applyAlignment="1">
      <alignment horizontal="center" vertical="center"/>
    </xf>
    <xf numFmtId="0" fontId="7" fillId="19" borderId="4" xfId="0" applyFont="1" applyFill="1" applyBorder="1" applyAlignment="1">
      <alignment horizontal="center" vertical="center" wrapText="1"/>
    </xf>
    <xf numFmtId="0" fontId="1" fillId="0" borderId="4" xfId="0" applyFont="1" applyBorder="1" applyAlignment="1">
      <alignment horizontal="center" vertical="center"/>
    </xf>
    <xf numFmtId="0" fontId="25" fillId="0" borderId="0" xfId="0" applyFont="1" applyAlignment="1">
      <alignment horizontal="center" vertical="center" wrapText="1"/>
    </xf>
    <xf numFmtId="0" fontId="25" fillId="19" borderId="5" xfId="0" applyFont="1" applyFill="1" applyBorder="1" applyAlignment="1">
      <alignment horizontal="center" vertical="center" wrapText="1"/>
    </xf>
    <xf numFmtId="2" fontId="57" fillId="0" borderId="4" xfId="0" applyNumberFormat="1" applyFont="1" applyBorder="1" applyAlignment="1">
      <alignment horizontal="center"/>
    </xf>
    <xf numFmtId="2" fontId="0" fillId="6" borderId="4" xfId="0" applyNumberFormat="1" applyFill="1" applyBorder="1" applyAlignment="1">
      <alignment horizontal="center"/>
    </xf>
    <xf numFmtId="0" fontId="57" fillId="0" borderId="0" xfId="0" applyFont="1" applyAlignment="1">
      <alignment horizontal="center" vertical="center"/>
    </xf>
    <xf numFmtId="0" fontId="57" fillId="0" borderId="9" xfId="0" applyFont="1" applyBorder="1" applyAlignment="1">
      <alignment horizontal="center" vertical="center"/>
    </xf>
    <xf numFmtId="0" fontId="0" fillId="0" borderId="9" xfId="0" applyBorder="1"/>
    <xf numFmtId="2" fontId="2" fillId="9" borderId="4" xfId="0" applyNumberFormat="1" applyFont="1" applyFill="1" applyBorder="1" applyAlignment="1">
      <alignment horizontal="center"/>
    </xf>
    <xf numFmtId="0" fontId="7" fillId="4" borderId="4" xfId="0" applyFont="1" applyFill="1" applyBorder="1" applyAlignment="1">
      <alignment horizontal="center" vertical="center" wrapText="1"/>
    </xf>
    <xf numFmtId="165" fontId="62" fillId="8" borderId="7" xfId="2" applyNumberFormat="1" applyFont="1" applyFill="1" applyBorder="1" applyAlignment="1" applyProtection="1">
      <alignment horizontal="center" vertical="center" wrapText="1"/>
    </xf>
    <xf numFmtId="180" fontId="62" fillId="8" borderId="17" xfId="2" applyNumberFormat="1" applyFont="1" applyFill="1" applyBorder="1" applyAlignment="1" applyProtection="1">
      <alignment horizontal="right" vertical="center" wrapText="1"/>
    </xf>
    <xf numFmtId="180" fontId="62" fillId="8" borderId="17" xfId="2" applyNumberFormat="1" applyFont="1" applyFill="1" applyBorder="1" applyAlignment="1" applyProtection="1">
      <alignment horizontal="center" vertical="center" wrapText="1"/>
    </xf>
    <xf numFmtId="165" fontId="62" fillId="8" borderId="17" xfId="2" applyNumberFormat="1" applyFont="1" applyFill="1" applyBorder="1" applyAlignment="1" applyProtection="1">
      <alignment horizontal="center" vertical="center" wrapText="1"/>
    </xf>
    <xf numFmtId="41" fontId="62" fillId="8" borderId="17" xfId="2" applyNumberFormat="1" applyFont="1" applyFill="1" applyBorder="1" applyAlignment="1" applyProtection="1">
      <alignment horizontal="center" vertical="center" wrapText="1"/>
    </xf>
    <xf numFmtId="179" fontId="62" fillId="8" borderId="17" xfId="2" applyNumberFormat="1" applyFont="1" applyFill="1" applyBorder="1" applyAlignment="1" applyProtection="1">
      <alignment horizontal="center" vertical="center" wrapText="1"/>
    </xf>
    <xf numFmtId="180" fontId="41" fillId="33" borderId="17" xfId="2" applyNumberFormat="1" applyFont="1" applyFill="1" applyBorder="1" applyAlignment="1" applyProtection="1">
      <alignment horizontal="right" vertical="center" wrapText="1"/>
    </xf>
    <xf numFmtId="179" fontId="41" fillId="33" borderId="17" xfId="2" applyNumberFormat="1" applyFont="1" applyFill="1" applyBorder="1" applyAlignment="1" applyProtection="1">
      <alignment horizontal="center" vertical="center" wrapText="1"/>
    </xf>
    <xf numFmtId="180" fontId="42" fillId="33" borderId="7" xfId="2" applyNumberFormat="1" applyFont="1" applyFill="1" applyBorder="1" applyAlignment="1" applyProtection="1">
      <alignment horizontal="center" vertical="center" wrapText="1"/>
    </xf>
    <xf numFmtId="165" fontId="46" fillId="4" borderId="4" xfId="2" applyNumberFormat="1" applyFont="1" applyFill="1" applyBorder="1" applyAlignment="1" applyProtection="1">
      <alignment vertical="center"/>
    </xf>
    <xf numFmtId="165" fontId="46" fillId="4" borderId="5" xfId="2" applyNumberFormat="1" applyFont="1" applyFill="1" applyBorder="1" applyAlignment="1" applyProtection="1">
      <alignment vertical="center"/>
    </xf>
    <xf numFmtId="165" fontId="42" fillId="8" borderId="7" xfId="2" applyNumberFormat="1" applyFont="1" applyFill="1" applyBorder="1" applyAlignment="1" applyProtection="1">
      <alignment horizontal="center" vertical="center" wrapText="1"/>
    </xf>
    <xf numFmtId="180" fontId="42" fillId="8" borderId="4" xfId="2" applyNumberFormat="1" applyFont="1" applyFill="1" applyBorder="1" applyAlignment="1" applyProtection="1">
      <alignment horizontal="center" vertical="center" wrapText="1"/>
    </xf>
    <xf numFmtId="165" fontId="42" fillId="0" borderId="9" xfId="2" applyNumberFormat="1" applyFont="1" applyFill="1" applyBorder="1" applyAlignment="1" applyProtection="1">
      <alignment horizontal="center" vertical="center" wrapText="1"/>
    </xf>
    <xf numFmtId="0" fontId="41" fillId="13" borderId="7" xfId="0" applyFont="1" applyFill="1" applyBorder="1" applyAlignment="1">
      <alignment horizontal="center" vertical="center"/>
    </xf>
    <xf numFmtId="180" fontId="42" fillId="33" borderId="4" xfId="2" applyNumberFormat="1" applyFont="1" applyFill="1" applyBorder="1" applyAlignment="1" applyProtection="1">
      <alignment horizontal="center" vertical="center"/>
    </xf>
    <xf numFmtId="180" fontId="46" fillId="4" borderId="5" xfId="2" applyNumberFormat="1" applyFont="1" applyFill="1" applyBorder="1" applyAlignment="1" applyProtection="1">
      <alignment vertical="center"/>
    </xf>
    <xf numFmtId="0" fontId="107" fillId="0" borderId="0" xfId="0" applyFont="1" applyAlignment="1">
      <alignment horizontal="left" vertical="top"/>
    </xf>
    <xf numFmtId="0" fontId="0" fillId="0" borderId="0" xfId="0"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106" fillId="0" borderId="0" xfId="0" applyFont="1" applyAlignment="1">
      <alignment horizontal="left" vertical="top"/>
    </xf>
    <xf numFmtId="0" fontId="96" fillId="0" borderId="0" xfId="0" applyFont="1" applyAlignment="1">
      <alignment vertical="distributed" wrapText="1"/>
    </xf>
    <xf numFmtId="0" fontId="41" fillId="9" borderId="6" xfId="0" applyFont="1" applyFill="1" applyBorder="1" applyAlignment="1">
      <alignment horizontal="center" vertical="center"/>
    </xf>
    <xf numFmtId="0" fontId="41" fillId="9" borderId="7" xfId="0" applyFont="1" applyFill="1" applyBorder="1" applyAlignment="1">
      <alignment horizontal="center" vertical="center"/>
    </xf>
    <xf numFmtId="0" fontId="41" fillId="9" borderId="7" xfId="0" applyFont="1" applyFill="1" applyBorder="1" applyAlignment="1">
      <alignment horizontal="center" vertical="center" wrapText="1"/>
    </xf>
    <xf numFmtId="0" fontId="43" fillId="0" borderId="0" xfId="0" applyFont="1" applyAlignment="1">
      <alignment horizontal="left" vertical="center" wrapText="1"/>
    </xf>
    <xf numFmtId="180" fontId="43" fillId="0" borderId="17" xfId="0" applyNumberFormat="1" applyFont="1" applyBorder="1" applyAlignment="1">
      <alignment horizontal="center" vertical="center" wrapText="1"/>
    </xf>
    <xf numFmtId="180" fontId="43" fillId="2" borderId="0" xfId="0" applyNumberFormat="1" applyFont="1" applyFill="1" applyAlignment="1">
      <alignment horizontal="center" vertical="center" wrapText="1"/>
    </xf>
    <xf numFmtId="179" fontId="43" fillId="0" borderId="0" xfId="0" applyNumberFormat="1" applyFont="1" applyAlignment="1">
      <alignment horizontal="left" vertical="center"/>
    </xf>
    <xf numFmtId="180" fontId="43" fillId="0" borderId="0" xfId="2" applyNumberFormat="1" applyFont="1" applyFill="1" applyBorder="1" applyAlignment="1" applyProtection="1">
      <alignment horizontal="center" vertical="center"/>
    </xf>
    <xf numFmtId="180" fontId="43" fillId="0" borderId="0" xfId="0" applyNumberFormat="1" applyFont="1" applyAlignment="1">
      <alignment horizontal="center" vertical="center" wrapText="1"/>
    </xf>
    <xf numFmtId="180" fontId="43" fillId="0" borderId="0" xfId="0" applyNumberFormat="1" applyFont="1" applyAlignment="1">
      <alignment horizontal="center" vertical="center"/>
    </xf>
    <xf numFmtId="0" fontId="110" fillId="0" borderId="0" xfId="0" applyFont="1" applyAlignment="1">
      <alignment horizontal="left" vertical="center" wrapText="1"/>
    </xf>
    <xf numFmtId="0" fontId="110" fillId="0" borderId="0" xfId="0" applyFont="1" applyAlignment="1">
      <alignment vertical="center"/>
    </xf>
    <xf numFmtId="0" fontId="41" fillId="0" borderId="0" xfId="0" applyFont="1" applyAlignment="1">
      <alignment horizontal="left" vertical="center"/>
    </xf>
    <xf numFmtId="0" fontId="42" fillId="0" borderId="0" xfId="0" applyFont="1" applyAlignment="1">
      <alignment horizontal="left" vertical="center"/>
    </xf>
    <xf numFmtId="180" fontId="48" fillId="0" borderId="7" xfId="0" applyNumberFormat="1" applyFont="1" applyBorder="1" applyAlignment="1">
      <alignment horizontal="center" vertical="center" wrapText="1"/>
    </xf>
    <xf numFmtId="180" fontId="48" fillId="0" borderId="4" xfId="0" applyNumberFormat="1" applyFont="1" applyBorder="1" applyAlignment="1">
      <alignment horizontal="center" vertical="center" wrapText="1"/>
    </xf>
    <xf numFmtId="180" fontId="43" fillId="13" borderId="7" xfId="0" applyNumberFormat="1" applyFont="1" applyFill="1" applyBorder="1" applyAlignment="1">
      <alignment horizontal="center" vertical="center"/>
    </xf>
    <xf numFmtId="0" fontId="41" fillId="7" borderId="7" xfId="0" applyFont="1" applyFill="1" applyBorder="1" applyAlignment="1" applyProtection="1">
      <alignment vertical="center" wrapText="1"/>
      <protection locked="0"/>
    </xf>
    <xf numFmtId="0" fontId="16" fillId="0" borderId="0" xfId="0" applyFont="1" applyAlignment="1">
      <alignment horizontal="center" vertical="center"/>
    </xf>
    <xf numFmtId="0" fontId="6" fillId="0" borderId="0" xfId="0" applyFont="1" applyAlignment="1">
      <alignment horizontal="center" vertical="center" wrapText="1"/>
    </xf>
    <xf numFmtId="0" fontId="99" fillId="0" borderId="0" xfId="0" applyFont="1" applyAlignment="1">
      <alignment horizontal="left" vertical="center"/>
    </xf>
    <xf numFmtId="0" fontId="9" fillId="6" borderId="7" xfId="0" applyFont="1" applyFill="1" applyBorder="1" applyAlignment="1">
      <alignment horizontal="center" vertical="center" wrapText="1"/>
    </xf>
    <xf numFmtId="171" fontId="2" fillId="6" borderId="7" xfId="0" applyNumberFormat="1" applyFont="1" applyFill="1" applyBorder="1" applyAlignment="1">
      <alignment horizontal="center" vertical="center"/>
    </xf>
    <xf numFmtId="0" fontId="12" fillId="37" borderId="7" xfId="0" applyFont="1" applyFill="1" applyBorder="1" applyAlignment="1">
      <alignment horizontal="center" vertical="center" wrapText="1"/>
    </xf>
    <xf numFmtId="0" fontId="16" fillId="37" borderId="7" xfId="0" applyFont="1" applyFill="1" applyBorder="1" applyAlignment="1">
      <alignment horizontal="center" vertical="center"/>
    </xf>
    <xf numFmtId="0" fontId="42" fillId="5" borderId="7" xfId="0" applyFont="1" applyFill="1" applyBorder="1" applyAlignment="1">
      <alignment vertical="center" wrapText="1"/>
    </xf>
    <xf numFmtId="0" fontId="42" fillId="5" borderId="7" xfId="0" applyFont="1" applyFill="1" applyBorder="1" applyAlignment="1">
      <alignment vertical="center"/>
    </xf>
    <xf numFmtId="0" fontId="2" fillId="32" borderId="7" xfId="0" applyFont="1" applyFill="1" applyBorder="1"/>
    <xf numFmtId="0" fontId="0" fillId="32" borderId="7" xfId="0" applyFill="1" applyBorder="1"/>
    <xf numFmtId="0" fontId="112" fillId="32" borderId="7" xfId="0" applyFont="1" applyFill="1" applyBorder="1"/>
    <xf numFmtId="0" fontId="2" fillId="25" borderId="7" xfId="0" applyFont="1" applyFill="1" applyBorder="1" applyAlignment="1">
      <alignment horizontal="center" vertical="center" wrapText="1"/>
    </xf>
    <xf numFmtId="0" fontId="0" fillId="31" borderId="7" xfId="0" applyFill="1" applyBorder="1"/>
    <xf numFmtId="165" fontId="41" fillId="38" borderId="7" xfId="2" applyNumberFormat="1" applyFont="1" applyFill="1" applyBorder="1" applyAlignment="1" applyProtection="1">
      <alignment horizontal="center" vertical="center"/>
      <protection locked="0"/>
    </xf>
    <xf numFmtId="0" fontId="2" fillId="25" borderId="19" xfId="0" applyFont="1" applyFill="1" applyBorder="1" applyAlignment="1">
      <alignment horizontal="center" vertical="center" wrapText="1"/>
    </xf>
    <xf numFmtId="0" fontId="2" fillId="21" borderId="7" xfId="0" applyFont="1" applyFill="1" applyBorder="1" applyAlignment="1">
      <alignment vertical="center"/>
    </xf>
    <xf numFmtId="2" fontId="106" fillId="0" borderId="7" xfId="0" applyNumberFormat="1" applyFont="1" applyBorder="1"/>
    <xf numFmtId="165" fontId="41" fillId="38" borderId="7" xfId="2" applyNumberFormat="1" applyFont="1" applyFill="1" applyBorder="1" applyAlignment="1" applyProtection="1">
      <alignment horizontal="center"/>
      <protection locked="0"/>
    </xf>
    <xf numFmtId="0" fontId="29" fillId="22" borderId="68" xfId="0" applyFont="1" applyFill="1" applyBorder="1" applyAlignment="1">
      <alignment horizontal="center"/>
    </xf>
    <xf numFmtId="0" fontId="29" fillId="22" borderId="0" xfId="0" applyFont="1" applyFill="1" applyAlignment="1">
      <alignment horizontal="center"/>
    </xf>
    <xf numFmtId="0" fontId="29" fillId="22" borderId="12" xfId="0" applyFont="1" applyFill="1" applyBorder="1" applyAlignment="1">
      <alignment horizontal="center"/>
    </xf>
    <xf numFmtId="0" fontId="29" fillId="22" borderId="18" xfId="0" applyFont="1" applyFill="1" applyBorder="1" applyAlignment="1">
      <alignment horizontal="center"/>
    </xf>
    <xf numFmtId="0" fontId="0" fillId="22" borderId="7" xfId="0" applyFill="1" applyBorder="1"/>
    <xf numFmtId="4" fontId="0" fillId="0" borderId="7" xfId="0" applyNumberFormat="1" applyBorder="1"/>
    <xf numFmtId="0" fontId="41" fillId="13" borderId="0" xfId="0" applyFont="1" applyFill="1" applyAlignment="1">
      <alignment horizontal="center"/>
    </xf>
    <xf numFmtId="0" fontId="41" fillId="13" borderId="0" xfId="0" applyFont="1" applyFill="1" applyAlignment="1">
      <alignment horizontal="left" indent="1"/>
    </xf>
    <xf numFmtId="167" fontId="41" fillId="13" borderId="0" xfId="5" applyNumberFormat="1" applyFont="1" applyFill="1" applyBorder="1" applyAlignment="1" applyProtection="1">
      <alignment horizontal="center"/>
    </xf>
    <xf numFmtId="0" fontId="62" fillId="13" borderId="0" xfId="0" applyFont="1" applyFill="1" applyAlignment="1">
      <alignment horizontal="left" indent="1"/>
    </xf>
    <xf numFmtId="0" fontId="41" fillId="26" borderId="18" xfId="0" applyFont="1" applyFill="1" applyBorder="1" applyAlignment="1">
      <alignment horizontal="center"/>
    </xf>
    <xf numFmtId="0" fontId="41" fillId="26" borderId="18" xfId="0" applyFont="1" applyFill="1" applyBorder="1" applyAlignment="1">
      <alignment horizontal="left" indent="1"/>
    </xf>
    <xf numFmtId="0" fontId="41" fillId="26" borderId="18" xfId="0" applyFont="1" applyFill="1" applyBorder="1"/>
    <xf numFmtId="167" fontId="41" fillId="26" borderId="18" xfId="5" applyNumberFormat="1" applyFont="1" applyFill="1" applyBorder="1" applyAlignment="1" applyProtection="1">
      <alignment horizontal="center"/>
    </xf>
    <xf numFmtId="0" fontId="62" fillId="0" borderId="18" xfId="0" applyFont="1" applyBorder="1" applyAlignment="1">
      <alignment horizontal="left" indent="1"/>
    </xf>
    <xf numFmtId="180" fontId="42" fillId="33" borderId="7" xfId="2" applyNumberFormat="1" applyFont="1" applyFill="1" applyBorder="1" applyAlignment="1" applyProtection="1">
      <alignment horizontal="center" vertical="center"/>
    </xf>
    <xf numFmtId="11" fontId="0" fillId="0" borderId="7" xfId="0" applyNumberFormat="1" applyBorder="1"/>
    <xf numFmtId="179" fontId="41" fillId="42" borderId="7" xfId="2" applyNumberFormat="1" applyFont="1" applyFill="1" applyBorder="1" applyAlignment="1" applyProtection="1">
      <alignment horizontal="center"/>
      <protection locked="0"/>
    </xf>
    <xf numFmtId="179" fontId="41" fillId="42" borderId="7" xfId="2" applyNumberFormat="1" applyFont="1" applyFill="1" applyBorder="1" applyAlignment="1" applyProtection="1">
      <alignment horizontal="center" vertical="center"/>
      <protection locked="0"/>
    </xf>
    <xf numFmtId="181" fontId="41" fillId="41" borderId="7" xfId="2" applyNumberFormat="1" applyFont="1" applyFill="1" applyBorder="1" applyAlignment="1" applyProtection="1">
      <alignment horizontal="center"/>
      <protection locked="0"/>
    </xf>
    <xf numFmtId="181" fontId="41" fillId="41" borderId="7" xfId="2" applyNumberFormat="1" applyFont="1" applyFill="1" applyBorder="1" applyAlignment="1" applyProtection="1">
      <alignment horizontal="center" vertical="center"/>
      <protection locked="0"/>
    </xf>
    <xf numFmtId="0" fontId="13" fillId="29" borderId="0" xfId="0" applyFont="1" applyFill="1"/>
    <xf numFmtId="0" fontId="16" fillId="29" borderId="0" xfId="0" applyFont="1" applyFill="1"/>
    <xf numFmtId="0" fontId="2" fillId="0" borderId="0" xfId="0" applyFont="1" applyAlignment="1">
      <alignment horizontal="right"/>
    </xf>
    <xf numFmtId="0" fontId="2" fillId="22" borderId="7" xfId="0" applyFont="1" applyFill="1" applyBorder="1"/>
    <xf numFmtId="0" fontId="112" fillId="22" borderId="7" xfId="0" applyFont="1" applyFill="1" applyBorder="1"/>
    <xf numFmtId="0" fontId="0" fillId="9" borderId="7" xfId="0" applyFill="1" applyBorder="1"/>
    <xf numFmtId="165" fontId="62" fillId="39" borderId="17" xfId="2" applyNumberFormat="1" applyFont="1" applyFill="1" applyBorder="1" applyAlignment="1" applyProtection="1">
      <alignment horizontal="center" vertical="center" wrapText="1"/>
    </xf>
    <xf numFmtId="0" fontId="70" fillId="13" borderId="0" xfId="0" applyFont="1" applyFill="1" applyAlignment="1">
      <alignment horizontal="left" vertical="top" wrapText="1"/>
    </xf>
    <xf numFmtId="180" fontId="42" fillId="33" borderId="7" xfId="2" applyNumberFormat="1" applyFont="1" applyFill="1" applyBorder="1" applyAlignment="1" applyProtection="1">
      <alignment horizontal="right" vertical="center"/>
    </xf>
    <xf numFmtId="180" fontId="41" fillId="33" borderId="7" xfId="2" applyNumberFormat="1" applyFont="1" applyFill="1" applyBorder="1" applyAlignment="1" applyProtection="1">
      <alignment horizontal="center" vertical="center"/>
    </xf>
    <xf numFmtId="180" fontId="62" fillId="33" borderId="7" xfId="2" applyNumberFormat="1" applyFont="1" applyFill="1" applyBorder="1" applyAlignment="1" applyProtection="1">
      <alignment horizontal="center" vertical="center"/>
    </xf>
    <xf numFmtId="0" fontId="2" fillId="0" borderId="75" xfId="0" applyFont="1" applyBorder="1" applyAlignment="1">
      <alignment horizontal="justify" vertical="center" wrapText="1"/>
    </xf>
    <xf numFmtId="0" fontId="43" fillId="0" borderId="75" xfId="0" applyFont="1" applyBorder="1"/>
    <xf numFmtId="0" fontId="41" fillId="0" borderId="75" xfId="0" applyFont="1" applyBorder="1"/>
    <xf numFmtId="0" fontId="117" fillId="2" borderId="0" xfId="0" applyFont="1" applyFill="1"/>
    <xf numFmtId="0" fontId="46" fillId="43" borderId="76" xfId="0" applyFont="1" applyFill="1" applyBorder="1"/>
    <xf numFmtId="0" fontId="40" fillId="0" borderId="76" xfId="0" applyFont="1" applyBorder="1" applyAlignment="1">
      <alignment horizontal="center"/>
    </xf>
    <xf numFmtId="17" fontId="43" fillId="0" borderId="76" xfId="0" quotePrefix="1" applyNumberFormat="1" applyFont="1" applyBorder="1"/>
    <xf numFmtId="0" fontId="43" fillId="0" borderId="76" xfId="0" applyFont="1" applyBorder="1"/>
    <xf numFmtId="0" fontId="70" fillId="6" borderId="0" xfId="0" applyFont="1" applyFill="1"/>
    <xf numFmtId="0" fontId="118" fillId="6" borderId="0" xfId="0" applyFont="1" applyFill="1"/>
    <xf numFmtId="0" fontId="74" fillId="6" borderId="0" xfId="0" applyFont="1" applyFill="1"/>
    <xf numFmtId="0" fontId="68" fillId="6" borderId="0" xfId="0" applyFont="1" applyFill="1"/>
    <xf numFmtId="0" fontId="75" fillId="6" borderId="0" xfId="3" applyFont="1" applyFill="1" applyAlignment="1">
      <alignment vertical="center"/>
    </xf>
    <xf numFmtId="0" fontId="70" fillId="44" borderId="0" xfId="0" applyFont="1" applyFill="1"/>
    <xf numFmtId="0" fontId="70" fillId="44" borderId="0" xfId="0" applyFont="1" applyFill="1" applyAlignment="1">
      <alignment horizontal="left" vertical="center" wrapText="1"/>
    </xf>
    <xf numFmtId="0" fontId="72" fillId="44" borderId="0" xfId="0" applyFont="1" applyFill="1"/>
    <xf numFmtId="0" fontId="72" fillId="44" borderId="0" xfId="0" applyFont="1" applyFill="1" applyAlignment="1">
      <alignment horizontal="left" vertical="center" wrapText="1"/>
    </xf>
    <xf numFmtId="0" fontId="70" fillId="44" borderId="0" xfId="0" applyFont="1" applyFill="1" applyAlignment="1">
      <alignment vertical="top"/>
    </xf>
    <xf numFmtId="49" fontId="41" fillId="22" borderId="7" xfId="0" applyNumberFormat="1" applyFont="1" applyFill="1" applyBorder="1" applyAlignment="1" applyProtection="1">
      <alignment horizontal="center" vertical="center"/>
      <protection locked="0"/>
    </xf>
    <xf numFmtId="0" fontId="41" fillId="22" borderId="7" xfId="0" applyFont="1" applyFill="1" applyBorder="1" applyAlignment="1" applyProtection="1">
      <alignment horizontal="center" vertical="center" wrapText="1"/>
      <protection locked="0"/>
    </xf>
    <xf numFmtId="179" fontId="41" fillId="22" borderId="7" xfId="2" applyNumberFormat="1" applyFont="1" applyFill="1" applyBorder="1" applyAlignment="1" applyProtection="1">
      <alignment horizontal="center" vertical="center"/>
      <protection locked="0"/>
    </xf>
    <xf numFmtId="179" fontId="41" fillId="22" borderId="7" xfId="2" applyNumberFormat="1" applyFont="1" applyFill="1" applyBorder="1" applyAlignment="1" applyProtection="1">
      <alignment horizontal="left" vertical="center" wrapText="1"/>
      <protection locked="0"/>
    </xf>
    <xf numFmtId="180" fontId="41" fillId="22" borderId="7" xfId="2" applyNumberFormat="1" applyFont="1" applyFill="1" applyBorder="1" applyAlignment="1" applyProtection="1">
      <alignment horizontal="center" vertical="center"/>
      <protection locked="0"/>
    </xf>
    <xf numFmtId="179" fontId="43" fillId="22" borderId="7" xfId="2" applyNumberFormat="1" applyFont="1" applyFill="1" applyBorder="1" applyAlignment="1" applyProtection="1">
      <alignment horizontal="left" vertical="center" wrapText="1"/>
      <protection locked="0"/>
    </xf>
    <xf numFmtId="0" fontId="15" fillId="6" borderId="0" xfId="0" applyFont="1" applyFill="1"/>
    <xf numFmtId="0" fontId="122" fillId="6" borderId="0" xfId="0" applyFont="1" applyFill="1"/>
    <xf numFmtId="165" fontId="41" fillId="22" borderId="7" xfId="2" applyNumberFormat="1" applyFont="1" applyFill="1" applyBorder="1" applyAlignment="1" applyProtection="1">
      <alignment horizontal="left" wrapText="1"/>
      <protection locked="0"/>
    </xf>
    <xf numFmtId="165" fontId="41" fillId="22" borderId="7" xfId="2" applyNumberFormat="1" applyFont="1" applyFill="1" applyBorder="1" applyAlignment="1" applyProtection="1">
      <alignment vertical="center" wrapText="1"/>
      <protection locked="0"/>
    </xf>
    <xf numFmtId="165" fontId="41" fillId="22" borderId="7" xfId="2" applyNumberFormat="1" applyFont="1" applyFill="1" applyBorder="1" applyAlignment="1" applyProtection="1">
      <alignment horizontal="center" vertical="center" wrapText="1"/>
      <protection locked="0"/>
    </xf>
    <xf numFmtId="179" fontId="41" fillId="22" borderId="7" xfId="0" applyNumberFormat="1" applyFont="1" applyFill="1" applyBorder="1" applyAlignment="1" applyProtection="1">
      <alignment vertical="center"/>
      <protection locked="0"/>
    </xf>
    <xf numFmtId="165" fontId="41" fillId="22" borderId="7" xfId="2" applyNumberFormat="1" applyFont="1" applyFill="1" applyBorder="1" applyAlignment="1" applyProtection="1">
      <alignment horizontal="center" vertical="center"/>
      <protection locked="0"/>
    </xf>
    <xf numFmtId="165" fontId="41" fillId="22" borderId="7" xfId="2" applyNumberFormat="1" applyFont="1" applyFill="1" applyBorder="1" applyProtection="1">
      <protection locked="0"/>
    </xf>
    <xf numFmtId="165" fontId="41" fillId="22" borderId="7" xfId="2" applyNumberFormat="1" applyFont="1" applyFill="1" applyBorder="1" applyAlignment="1" applyProtection="1">
      <alignment wrapText="1"/>
      <protection locked="0"/>
    </xf>
    <xf numFmtId="165" fontId="41" fillId="22" borderId="7" xfId="2" applyNumberFormat="1" applyFont="1" applyFill="1" applyBorder="1" applyAlignment="1" applyProtection="1">
      <alignment horizontal="center" wrapText="1"/>
      <protection locked="0"/>
    </xf>
    <xf numFmtId="165" fontId="43" fillId="22" borderId="7" xfId="2" applyNumberFormat="1" applyFont="1" applyFill="1" applyBorder="1" applyAlignment="1" applyProtection="1">
      <alignment vertical="center" wrapText="1"/>
      <protection locked="0"/>
    </xf>
    <xf numFmtId="0" fontId="41" fillId="22" borderId="7" xfId="2" applyNumberFormat="1" applyFont="1" applyFill="1" applyBorder="1" applyAlignment="1" applyProtection="1">
      <alignment horizontal="center"/>
      <protection locked="0"/>
    </xf>
    <xf numFmtId="0" fontId="41" fillId="22" borderId="7" xfId="2" applyNumberFormat="1" applyFont="1" applyFill="1" applyBorder="1" applyAlignment="1" applyProtection="1">
      <alignment horizontal="center" vertical="center"/>
      <protection locked="0"/>
    </xf>
    <xf numFmtId="165" fontId="41" fillId="13" borderId="7" xfId="2" applyNumberFormat="1" applyFont="1" applyFill="1" applyBorder="1" applyAlignment="1" applyProtection="1">
      <alignment horizontal="center" wrapText="1"/>
    </xf>
    <xf numFmtId="165" fontId="41" fillId="13" borderId="7" xfId="2" applyNumberFormat="1" applyFont="1" applyFill="1" applyBorder="1" applyAlignment="1" applyProtection="1">
      <alignment horizontal="center" vertical="center" wrapText="1"/>
    </xf>
    <xf numFmtId="181" fontId="41" fillId="22" borderId="7" xfId="2" applyNumberFormat="1" applyFont="1" applyFill="1" applyBorder="1" applyAlignment="1" applyProtection="1">
      <alignment horizontal="center" wrapText="1"/>
      <protection locked="0"/>
    </xf>
    <xf numFmtId="181" fontId="41" fillId="22" borderId="7" xfId="2" applyNumberFormat="1" applyFont="1" applyFill="1" applyBorder="1" applyAlignment="1" applyProtection="1">
      <alignment horizontal="center" vertical="center"/>
      <protection locked="0"/>
    </xf>
    <xf numFmtId="165" fontId="41" fillId="22" borderId="15" xfId="2" applyNumberFormat="1" applyFont="1" applyFill="1" applyBorder="1" applyAlignment="1" applyProtection="1">
      <alignment horizontal="center" vertical="center"/>
      <protection locked="0"/>
    </xf>
    <xf numFmtId="165" fontId="41" fillId="22" borderId="15" xfId="2" applyNumberFormat="1" applyFont="1" applyFill="1" applyBorder="1" applyProtection="1">
      <protection locked="0"/>
    </xf>
    <xf numFmtId="179" fontId="41" fillId="22" borderId="15" xfId="2" applyNumberFormat="1" applyFont="1" applyFill="1" applyBorder="1" applyAlignment="1" applyProtection="1">
      <alignment horizontal="center" vertical="center"/>
      <protection locked="0"/>
    </xf>
    <xf numFmtId="0" fontId="41" fillId="22" borderId="7" xfId="0" applyFont="1" applyFill="1" applyBorder="1" applyAlignment="1" applyProtection="1">
      <alignment horizontal="left" vertical="center" wrapText="1"/>
      <protection locked="0"/>
    </xf>
    <xf numFmtId="0" fontId="41" fillId="22" borderId="15" xfId="0" applyFont="1" applyFill="1" applyBorder="1" applyAlignment="1" applyProtection="1">
      <alignment horizontal="left" vertical="center" wrapText="1"/>
      <protection locked="0"/>
    </xf>
    <xf numFmtId="0" fontId="41" fillId="22" borderId="7" xfId="0" applyFont="1" applyFill="1" applyBorder="1" applyProtection="1">
      <protection locked="0"/>
    </xf>
    <xf numFmtId="0" fontId="41" fillId="13" borderId="0" xfId="0" applyFont="1" applyFill="1" applyAlignment="1">
      <alignment vertical="center"/>
    </xf>
    <xf numFmtId="49" fontId="41" fillId="13" borderId="7" xfId="0" applyNumberFormat="1" applyFont="1" applyFill="1" applyBorder="1" applyAlignment="1">
      <alignment horizontal="center" vertical="center"/>
    </xf>
    <xf numFmtId="0" fontId="41" fillId="0" borderId="0" xfId="0" applyFont="1" applyAlignment="1">
      <alignment horizontal="left" vertical="center" wrapText="1" indent="1"/>
    </xf>
    <xf numFmtId="0" fontId="41" fillId="0" borderId="12" xfId="0" applyFont="1" applyBorder="1" applyAlignment="1">
      <alignment horizontal="left" vertical="center" wrapText="1" indent="1"/>
    </xf>
    <xf numFmtId="0" fontId="41" fillId="0" borderId="67" xfId="0" applyFont="1" applyBorder="1" applyAlignment="1">
      <alignment horizontal="left" vertical="center" wrapText="1" indent="1"/>
    </xf>
    <xf numFmtId="0" fontId="41" fillId="0" borderId="18" xfId="0" applyFont="1" applyBorder="1" applyAlignment="1">
      <alignment horizontal="left" vertical="center" wrapText="1" indent="1"/>
    </xf>
    <xf numFmtId="0" fontId="41" fillId="0" borderId="7" xfId="0" applyFont="1" applyBorder="1" applyAlignment="1">
      <alignment vertical="center" wrapText="1"/>
    </xf>
    <xf numFmtId="2" fontId="41" fillId="0" borderId="7" xfId="0" applyNumberFormat="1" applyFont="1" applyBorder="1" applyAlignment="1">
      <alignment vertical="center" wrapText="1"/>
    </xf>
    <xf numFmtId="0" fontId="67" fillId="13" borderId="0" xfId="0" applyFont="1" applyFill="1" applyAlignment="1">
      <alignment vertical="center"/>
    </xf>
    <xf numFmtId="0" fontId="43" fillId="0" borderId="80" xfId="0" applyFont="1" applyBorder="1"/>
    <xf numFmtId="0" fontId="101" fillId="13" borderId="0" xfId="0" applyFont="1" applyFill="1" applyAlignment="1">
      <alignment vertical="center"/>
    </xf>
    <xf numFmtId="0" fontId="40" fillId="5" borderId="19" xfId="0" applyFont="1" applyFill="1" applyBorder="1" applyAlignment="1">
      <alignment horizontal="center" vertical="center" wrapText="1"/>
    </xf>
    <xf numFmtId="0" fontId="42" fillId="5" borderId="15" xfId="0" applyFont="1" applyFill="1" applyBorder="1" applyAlignment="1">
      <alignment horizontal="center" vertical="center" wrapText="1"/>
    </xf>
    <xf numFmtId="0" fontId="42" fillId="5" borderId="17" xfId="0" applyFont="1" applyFill="1" applyBorder="1" applyAlignment="1">
      <alignment horizontal="center" vertical="center" wrapText="1"/>
    </xf>
    <xf numFmtId="0" fontId="28" fillId="0" borderId="0" xfId="0" applyFont="1" applyAlignment="1">
      <alignment vertical="center"/>
    </xf>
    <xf numFmtId="0" fontId="70" fillId="0" borderId="0" xfId="0" applyFont="1" applyAlignment="1">
      <alignment horizontal="center" vertical="center"/>
    </xf>
    <xf numFmtId="0" fontId="78" fillId="0" borderId="0" xfId="0" applyFont="1"/>
    <xf numFmtId="0" fontId="107" fillId="0" borderId="0" xfId="0" applyFont="1"/>
    <xf numFmtId="0" fontId="30" fillId="4" borderId="57" xfId="0" applyFont="1" applyFill="1" applyBorder="1" applyAlignment="1">
      <alignment horizontal="center" vertical="center" wrapText="1"/>
    </xf>
    <xf numFmtId="0" fontId="68" fillId="0" borderId="7" xfId="0" quotePrefix="1" applyFont="1" applyBorder="1" applyAlignment="1">
      <alignment horizontal="left" vertical="center" wrapText="1"/>
    </xf>
    <xf numFmtId="0" fontId="76" fillId="13" borderId="7" xfId="0" applyFont="1" applyFill="1" applyBorder="1" applyAlignment="1">
      <alignment horizontal="center" vertical="center" wrapText="1"/>
    </xf>
    <xf numFmtId="0" fontId="68" fillId="0" borderId="7" xfId="0" applyFont="1" applyBorder="1" applyAlignment="1">
      <alignment horizontal="center" vertical="center" wrapText="1"/>
    </xf>
    <xf numFmtId="0" fontId="68" fillId="0" borderId="7" xfId="0" applyFont="1" applyBorder="1" applyAlignment="1">
      <alignment horizontal="left" vertical="center" wrapText="1"/>
    </xf>
    <xf numFmtId="0" fontId="76" fillId="0" borderId="7" xfId="0" applyFont="1" applyBorder="1" applyAlignment="1">
      <alignment horizontal="center" vertical="center" wrapText="1"/>
    </xf>
    <xf numFmtId="0" fontId="15" fillId="0" borderId="0" xfId="0" applyFont="1" applyAlignment="1">
      <alignment horizontal="center" vertical="center"/>
    </xf>
    <xf numFmtId="0" fontId="76" fillId="0" borderId="7" xfId="0" quotePrefix="1" applyFont="1" applyBorder="1" applyAlignment="1">
      <alignment horizontal="left" vertical="center" wrapText="1"/>
    </xf>
    <xf numFmtId="0" fontId="74" fillId="13" borderId="7" xfId="0" applyFont="1" applyFill="1" applyBorder="1" applyAlignment="1">
      <alignment horizontal="left" vertical="center" wrapText="1"/>
    </xf>
    <xf numFmtId="0" fontId="70" fillId="0" borderId="7" xfId="0" applyFont="1" applyBorder="1"/>
    <xf numFmtId="0" fontId="70" fillId="0" borderId="7" xfId="0" applyFont="1" applyBorder="1" applyAlignment="1">
      <alignment horizontal="center" vertical="center" wrapText="1"/>
    </xf>
    <xf numFmtId="0" fontId="79" fillId="0" borderId="7" xfId="0" applyFont="1" applyBorder="1" applyAlignment="1">
      <alignment horizontal="left" vertical="center" wrapText="1"/>
    </xf>
    <xf numFmtId="0" fontId="28" fillId="0" borderId="0" xfId="0" applyFont="1" applyAlignment="1">
      <alignment horizontal="center"/>
    </xf>
    <xf numFmtId="0" fontId="42" fillId="0" borderId="0" xfId="0" applyFont="1"/>
    <xf numFmtId="0" fontId="28" fillId="0" borderId="0" xfId="0" applyFont="1" applyAlignment="1">
      <alignment horizontal="left"/>
    </xf>
    <xf numFmtId="0" fontId="68" fillId="0" borderId="0" xfId="0" applyFont="1" applyAlignment="1">
      <alignment horizontal="left" vertical="center"/>
    </xf>
    <xf numFmtId="0" fontId="81" fillId="0" borderId="0" xfId="0" applyFont="1"/>
    <xf numFmtId="0" fontId="43" fillId="0" borderId="0" xfId="0" quotePrefix="1" applyFont="1" applyAlignment="1">
      <alignment horizontal="left" vertical="center"/>
    </xf>
    <xf numFmtId="0" fontId="47" fillId="0" borderId="0" xfId="0" applyFont="1"/>
    <xf numFmtId="0" fontId="40" fillId="0" borderId="0" xfId="0" applyFont="1" applyAlignment="1">
      <alignment horizontal="left" vertical="center"/>
    </xf>
    <xf numFmtId="0" fontId="43" fillId="0" borderId="0" xfId="0" applyFont="1" applyAlignment="1">
      <alignment horizontal="left" vertical="center"/>
    </xf>
    <xf numFmtId="0" fontId="47" fillId="0" borderId="0" xfId="0" quotePrefix="1" applyFont="1"/>
    <xf numFmtId="0" fontId="42" fillId="0" borderId="0" xfId="0" applyFont="1" applyAlignment="1">
      <alignment horizontal="center"/>
    </xf>
    <xf numFmtId="0" fontId="15" fillId="0" borderId="0" xfId="0" applyFont="1" applyAlignment="1">
      <alignment horizontal="left"/>
    </xf>
    <xf numFmtId="0" fontId="42" fillId="0" borderId="0" xfId="0" applyFont="1" applyAlignment="1">
      <alignment horizontal="left"/>
    </xf>
    <xf numFmtId="0" fontId="42" fillId="44" borderId="0" xfId="0" applyFont="1" applyFill="1" applyAlignment="1">
      <alignment horizontal="left"/>
    </xf>
    <xf numFmtId="0" fontId="41" fillId="44" borderId="0" xfId="0" applyFont="1" applyFill="1"/>
    <xf numFmtId="0" fontId="41" fillId="44" borderId="0" xfId="0" applyFont="1" applyFill="1" applyAlignment="1">
      <alignment horizontal="left"/>
    </xf>
    <xf numFmtId="0" fontId="42" fillId="44" borderId="0" xfId="0" applyFont="1" applyFill="1"/>
    <xf numFmtId="0" fontId="43" fillId="44" borderId="0" xfId="0" applyFont="1" applyFill="1"/>
    <xf numFmtId="0" fontId="45" fillId="0" borderId="0" xfId="3" applyFont="1" applyFill="1" applyProtection="1"/>
    <xf numFmtId="0" fontId="121" fillId="0" borderId="0" xfId="0" applyFont="1"/>
    <xf numFmtId="0" fontId="43" fillId="0" borderId="0" xfId="0" quotePrefix="1" applyFont="1" applyAlignment="1">
      <alignment horizontal="left" wrapText="1"/>
    </xf>
    <xf numFmtId="0" fontId="43" fillId="44" borderId="0" xfId="0" quotePrefix="1" applyFont="1" applyFill="1"/>
    <xf numFmtId="0" fontId="40" fillId="44" borderId="7" xfId="0" quotePrefix="1" applyFont="1" applyFill="1" applyBorder="1"/>
    <xf numFmtId="0" fontId="40" fillId="44" borderId="4" xfId="0" quotePrefix="1" applyFont="1" applyFill="1" applyBorder="1"/>
    <xf numFmtId="0" fontId="41" fillId="44" borderId="6" xfId="0" applyFont="1" applyFill="1" applyBorder="1"/>
    <xf numFmtId="0" fontId="41" fillId="44" borderId="5" xfId="0" applyFont="1" applyFill="1" applyBorder="1"/>
    <xf numFmtId="0" fontId="43" fillId="44" borderId="7" xfId="0" quotePrefix="1" applyFont="1" applyFill="1" applyBorder="1" applyAlignment="1">
      <alignment vertical="center"/>
    </xf>
    <xf numFmtId="0" fontId="41" fillId="44" borderId="5" xfId="0" applyFont="1" applyFill="1" applyBorder="1" applyAlignment="1">
      <alignment vertical="center"/>
    </xf>
    <xf numFmtId="0" fontId="41" fillId="44" borderId="6" xfId="0" applyFont="1" applyFill="1" applyBorder="1" applyAlignment="1">
      <alignment vertical="center"/>
    </xf>
    <xf numFmtId="0" fontId="43" fillId="0" borderId="0" xfId="0" quotePrefix="1" applyFont="1" applyAlignment="1">
      <alignment horizontal="left" vertical="center" wrapText="1"/>
    </xf>
    <xf numFmtId="0" fontId="43" fillId="0" borderId="0" xfId="0" quotePrefix="1" applyFont="1" applyAlignment="1">
      <alignment vertical="center" wrapText="1"/>
    </xf>
    <xf numFmtId="0" fontId="40" fillId="0" borderId="0" xfId="6" applyFont="1" applyFill="1" applyBorder="1" applyAlignment="1" applyProtection="1">
      <alignment horizontal="center" vertical="center"/>
    </xf>
    <xf numFmtId="0" fontId="40" fillId="0" borderId="0" xfId="6" applyFont="1" applyFill="1" applyBorder="1" applyAlignment="1" applyProtection="1">
      <alignment vertical="center"/>
    </xf>
    <xf numFmtId="0" fontId="41" fillId="44" borderId="0" xfId="0" applyFont="1" applyFill="1" applyAlignment="1">
      <alignment vertical="top" wrapText="1"/>
    </xf>
    <xf numFmtId="0" fontId="74" fillId="0" borderId="0" xfId="0" applyFont="1" applyAlignment="1">
      <alignment vertical="center"/>
    </xf>
    <xf numFmtId="0" fontId="30" fillId="24" borderId="0" xfId="0" applyFont="1" applyFill="1" applyAlignment="1">
      <alignment vertical="center"/>
    </xf>
    <xf numFmtId="0" fontId="74" fillId="24" borderId="0" xfId="0" applyFont="1" applyFill="1" applyAlignment="1">
      <alignment vertical="center"/>
    </xf>
    <xf numFmtId="0" fontId="103" fillId="0" borderId="0" xfId="0" applyFont="1" applyAlignment="1">
      <alignment horizontal="center" vertical="center"/>
    </xf>
    <xf numFmtId="0" fontId="45" fillId="44" borderId="0" xfId="3" applyFont="1" applyFill="1" applyProtection="1"/>
    <xf numFmtId="0" fontId="42" fillId="5" borderId="19" xfId="0" applyFont="1" applyFill="1" applyBorder="1" applyAlignment="1">
      <alignment horizontal="center" vertical="center" wrapText="1"/>
    </xf>
    <xf numFmtId="0" fontId="40" fillId="5" borderId="17" xfId="0" applyFont="1" applyFill="1" applyBorder="1" applyAlignment="1">
      <alignment vertical="center" wrapText="1"/>
    </xf>
    <xf numFmtId="0" fontId="41" fillId="5" borderId="17" xfId="0" applyFont="1" applyFill="1" applyBorder="1"/>
    <xf numFmtId="49" fontId="41" fillId="8" borderId="7" xfId="0" applyNumberFormat="1" applyFont="1" applyFill="1" applyBorder="1" applyAlignment="1">
      <alignment horizontal="center" vertical="center"/>
    </xf>
    <xf numFmtId="0" fontId="41" fillId="8" borderId="7" xfId="0" applyFont="1" applyFill="1" applyBorder="1" applyAlignment="1">
      <alignment horizontal="center" vertical="center" wrapText="1"/>
    </xf>
    <xf numFmtId="179" fontId="41" fillId="8" borderId="7" xfId="2" applyNumberFormat="1" applyFont="1" applyFill="1" applyBorder="1" applyAlignment="1" applyProtection="1">
      <alignment horizontal="center" vertical="center"/>
    </xf>
    <xf numFmtId="165" fontId="41" fillId="8" borderId="7" xfId="2" applyNumberFormat="1" applyFont="1" applyFill="1" applyBorder="1" applyAlignment="1" applyProtection="1">
      <alignment horizontal="center" vertical="center"/>
    </xf>
    <xf numFmtId="180" fontId="41" fillId="8" borderId="7" xfId="2" applyNumberFormat="1" applyFont="1" applyFill="1" applyBorder="1" applyAlignment="1" applyProtection="1">
      <alignment horizontal="center" vertical="center"/>
    </xf>
    <xf numFmtId="0" fontId="52" fillId="0" borderId="0" xfId="0" applyFont="1" applyAlignment="1">
      <alignment horizontal="center" vertical="center"/>
    </xf>
    <xf numFmtId="165" fontId="41" fillId="13" borderId="7" xfId="2" applyNumberFormat="1" applyFont="1" applyFill="1" applyBorder="1" applyAlignment="1" applyProtection="1">
      <alignment horizontal="center" vertical="center"/>
    </xf>
    <xf numFmtId="180" fontId="41" fillId="13" borderId="7" xfId="2" applyNumberFormat="1" applyFont="1" applyFill="1" applyBorder="1" applyAlignment="1" applyProtection="1">
      <alignment horizontal="center" vertical="center"/>
    </xf>
    <xf numFmtId="179" fontId="41" fillId="33" borderId="7" xfId="2" applyNumberFormat="1" applyFont="1" applyFill="1" applyBorder="1" applyAlignment="1" applyProtection="1">
      <alignment horizontal="center" vertical="center"/>
    </xf>
    <xf numFmtId="165" fontId="46" fillId="13" borderId="0" xfId="2" applyNumberFormat="1" applyFont="1" applyFill="1" applyBorder="1" applyAlignment="1" applyProtection="1">
      <alignment vertical="center"/>
    </xf>
    <xf numFmtId="167" fontId="53" fillId="0" borderId="0" xfId="8" applyNumberFormat="1" applyFont="1" applyFill="1" applyBorder="1" applyAlignment="1" applyProtection="1">
      <alignment vertical="center"/>
    </xf>
    <xf numFmtId="0" fontId="46" fillId="35" borderId="5" xfId="0" applyFont="1" applyFill="1" applyBorder="1" applyAlignment="1">
      <alignment horizontal="left" vertical="center"/>
    </xf>
    <xf numFmtId="0" fontId="41" fillId="35" borderId="5" xfId="0" applyFont="1" applyFill="1" applyBorder="1"/>
    <xf numFmtId="179" fontId="41" fillId="31" borderId="7" xfId="2" applyNumberFormat="1" applyFont="1" applyFill="1" applyBorder="1" applyAlignment="1" applyProtection="1">
      <alignment vertical="center"/>
    </xf>
    <xf numFmtId="180" fontId="41" fillId="13" borderId="0" xfId="2" applyNumberFormat="1" applyFont="1" applyFill="1" applyBorder="1" applyAlignment="1" applyProtection="1">
      <alignment vertical="center"/>
    </xf>
    <xf numFmtId="49" fontId="42" fillId="8" borderId="7" xfId="0" applyNumberFormat="1" applyFont="1" applyFill="1" applyBorder="1" applyAlignment="1">
      <alignment horizontal="center" vertical="center"/>
    </xf>
    <xf numFmtId="0" fontId="40" fillId="8" borderId="7" xfId="0" applyFont="1" applyFill="1" applyBorder="1" applyAlignment="1">
      <alignment horizontal="center" vertical="center"/>
    </xf>
    <xf numFmtId="179" fontId="42" fillId="8" borderId="7" xfId="2" applyNumberFormat="1" applyFont="1" applyFill="1" applyBorder="1" applyAlignment="1" applyProtection="1">
      <alignment horizontal="center" vertical="center"/>
    </xf>
    <xf numFmtId="165" fontId="42" fillId="8" borderId="7" xfId="2" applyNumberFormat="1" applyFont="1" applyFill="1" applyBorder="1" applyAlignment="1" applyProtection="1">
      <alignment horizontal="center" vertical="center"/>
    </xf>
    <xf numFmtId="0" fontId="52" fillId="13" borderId="0" xfId="0" applyFont="1" applyFill="1" applyAlignment="1">
      <alignment horizontal="center" vertical="center"/>
    </xf>
    <xf numFmtId="165" fontId="40" fillId="0" borderId="0" xfId="2" applyNumberFormat="1" applyFont="1" applyFill="1" applyBorder="1" applyAlignment="1" applyProtection="1">
      <alignment horizontal="right" vertical="center"/>
    </xf>
    <xf numFmtId="0" fontId="41" fillId="35" borderId="6" xfId="0" applyFont="1" applyFill="1" applyBorder="1"/>
    <xf numFmtId="180" fontId="41" fillId="31" borderId="6" xfId="2" applyNumberFormat="1" applyFont="1" applyFill="1" applyBorder="1" applyAlignment="1" applyProtection="1">
      <alignment vertical="center"/>
    </xf>
    <xf numFmtId="180" fontId="41" fillId="31" borderId="7" xfId="2" applyNumberFormat="1" applyFont="1" applyFill="1" applyBorder="1" applyAlignment="1" applyProtection="1">
      <alignment vertical="center"/>
    </xf>
    <xf numFmtId="180" fontId="48" fillId="13" borderId="0" xfId="2" applyNumberFormat="1" applyFont="1" applyFill="1" applyBorder="1" applyAlignment="1" applyProtection="1">
      <alignment vertical="center"/>
    </xf>
    <xf numFmtId="0" fontId="39" fillId="0" borderId="0" xfId="0" applyFont="1" applyAlignment="1">
      <alignment horizontal="right"/>
    </xf>
    <xf numFmtId="0" fontId="46" fillId="36" borderId="15" xfId="0" applyFont="1" applyFill="1" applyBorder="1" applyAlignment="1">
      <alignment horizontal="center" vertical="center"/>
    </xf>
    <xf numFmtId="179" fontId="86" fillId="0" borderId="0" xfId="0" applyNumberFormat="1" applyFont="1"/>
    <xf numFmtId="0" fontId="46" fillId="0" borderId="0" xfId="0" applyFont="1" applyAlignment="1">
      <alignment horizontal="left" vertical="center" indent="3"/>
    </xf>
    <xf numFmtId="179" fontId="41" fillId="0" borderId="0" xfId="2" applyNumberFormat="1" applyFont="1" applyFill="1" applyBorder="1" applyAlignment="1" applyProtection="1">
      <alignment horizontal="center" vertical="center"/>
    </xf>
    <xf numFmtId="0" fontId="15" fillId="0" borderId="0" xfId="0" applyFont="1" applyAlignment="1">
      <alignment horizontal="center"/>
    </xf>
    <xf numFmtId="0" fontId="40" fillId="44" borderId="0" xfId="0" applyFont="1" applyFill="1" applyAlignment="1">
      <alignment vertical="center"/>
    </xf>
    <xf numFmtId="0" fontId="43" fillId="44" borderId="0" xfId="0" applyFont="1" applyFill="1" applyAlignment="1">
      <alignment horizontal="left" vertical="top"/>
    </xf>
    <xf numFmtId="0" fontId="43" fillId="0" borderId="0" xfId="0" applyFont="1" applyAlignment="1">
      <alignment horizontal="left" vertical="top"/>
    </xf>
    <xf numFmtId="0" fontId="43" fillId="44" borderId="0" xfId="0" applyFont="1" applyFill="1" applyAlignment="1">
      <alignment vertical="center"/>
    </xf>
    <xf numFmtId="0" fontId="40" fillId="44" borderId="0" xfId="0" applyFont="1" applyFill="1"/>
    <xf numFmtId="0" fontId="41" fillId="44" borderId="0" xfId="0" applyFont="1" applyFill="1" applyAlignment="1">
      <alignment horizontal="center" vertical="center"/>
    </xf>
    <xf numFmtId="0" fontId="43" fillId="44" borderId="0" xfId="0" quotePrefix="1" applyFont="1" applyFill="1" applyAlignment="1">
      <alignment horizontal="left" vertical="center"/>
    </xf>
    <xf numFmtId="0" fontId="43" fillId="44" borderId="0" xfId="0" quotePrefix="1" applyFont="1" applyFill="1" applyAlignment="1">
      <alignment vertical="center"/>
    </xf>
    <xf numFmtId="0" fontId="61" fillId="0" borderId="0" xfId="0" applyFont="1" applyAlignment="1">
      <alignment horizontal="center" vertical="center" wrapText="1"/>
    </xf>
    <xf numFmtId="0" fontId="62" fillId="8" borderId="7" xfId="0" applyFont="1" applyFill="1" applyBorder="1" applyAlignment="1">
      <alignment horizontal="center" vertical="center" wrapText="1"/>
    </xf>
    <xf numFmtId="179" fontId="62" fillId="8" borderId="7" xfId="0" applyNumberFormat="1" applyFont="1" applyFill="1" applyBorder="1" applyAlignment="1">
      <alignment horizontal="center" vertical="center" wrapText="1"/>
    </xf>
    <xf numFmtId="180" fontId="62" fillId="8" borderId="7" xfId="0" applyNumberFormat="1" applyFont="1" applyFill="1" applyBorder="1" applyAlignment="1">
      <alignment horizontal="center" vertical="center" wrapText="1"/>
    </xf>
    <xf numFmtId="0" fontId="62" fillId="0" borderId="0" xfId="0" applyFont="1" applyAlignment="1">
      <alignment horizontal="center" vertical="center" wrapText="1"/>
    </xf>
    <xf numFmtId="0" fontId="41" fillId="33" borderId="7" xfId="0" applyFont="1" applyFill="1" applyBorder="1" applyAlignment="1">
      <alignment horizontal="center" vertical="center" wrapText="1"/>
    </xf>
    <xf numFmtId="180" fontId="41" fillId="33" borderId="7" xfId="0" applyNumberFormat="1" applyFont="1" applyFill="1" applyBorder="1" applyAlignment="1">
      <alignment horizontal="center" vertical="center" wrapText="1"/>
    </xf>
    <xf numFmtId="180" fontId="42" fillId="33" borderId="7" xfId="0" applyNumberFormat="1" applyFont="1" applyFill="1" applyBorder="1" applyAlignment="1">
      <alignment horizontal="center" vertical="center" wrapText="1"/>
    </xf>
    <xf numFmtId="0" fontId="46" fillId="4" borderId="18" xfId="0" applyFont="1" applyFill="1" applyBorder="1" applyAlignment="1">
      <alignment horizontal="left"/>
    </xf>
    <xf numFmtId="0" fontId="46" fillId="10" borderId="12" xfId="0" applyFont="1" applyFill="1" applyBorder="1" applyAlignment="1">
      <alignment horizontal="center" wrapText="1"/>
    </xf>
    <xf numFmtId="0" fontId="46" fillId="10" borderId="4" xfId="0" applyFont="1" applyFill="1" applyBorder="1" applyAlignment="1">
      <alignment horizontal="left" vertical="center"/>
    </xf>
    <xf numFmtId="0" fontId="46" fillId="10" borderId="5" xfId="0" applyFont="1" applyFill="1" applyBorder="1" applyAlignment="1">
      <alignment horizontal="left" vertical="center"/>
    </xf>
    <xf numFmtId="0" fontId="46" fillId="10" borderId="6" xfId="0" applyFont="1" applyFill="1" applyBorder="1" applyAlignment="1">
      <alignment horizontal="left" vertical="center"/>
    </xf>
    <xf numFmtId="180" fontId="42" fillId="33" borderId="7" xfId="0" applyNumberFormat="1" applyFont="1" applyFill="1" applyBorder="1" applyAlignment="1">
      <alignment horizontal="right"/>
    </xf>
    <xf numFmtId="171" fontId="39" fillId="0" borderId="0" xfId="0" applyNumberFormat="1" applyFont="1" applyAlignment="1">
      <alignment horizontal="right"/>
    </xf>
    <xf numFmtId="171" fontId="62" fillId="13" borderId="0" xfId="0" applyNumberFormat="1" applyFont="1" applyFill="1" applyAlignment="1">
      <alignment horizontal="right"/>
    </xf>
    <xf numFmtId="180" fontId="48" fillId="0" borderId="0" xfId="0" applyNumberFormat="1" applyFont="1"/>
    <xf numFmtId="0" fontId="40" fillId="44" borderId="0" xfId="0" applyFont="1" applyFill="1" applyAlignment="1">
      <alignment horizontal="left" vertical="center"/>
    </xf>
    <xf numFmtId="0" fontId="49" fillId="0" borderId="0" xfId="0" applyFont="1" applyAlignment="1">
      <alignment horizontal="left" vertical="center"/>
    </xf>
    <xf numFmtId="0" fontId="41" fillId="0" borderId="0" xfId="0" applyFont="1" applyAlignment="1">
      <alignment horizontal="left"/>
    </xf>
    <xf numFmtId="0" fontId="43" fillId="44" borderId="0" xfId="0" applyFont="1" applyFill="1" applyAlignment="1">
      <alignment vertical="center" wrapText="1"/>
    </xf>
    <xf numFmtId="0" fontId="42" fillId="8" borderId="7" xfId="0" applyFont="1" applyFill="1" applyBorder="1" applyAlignment="1">
      <alignment horizontal="center" vertical="center"/>
    </xf>
    <xf numFmtId="179" fontId="42" fillId="8" borderId="7" xfId="0" applyNumberFormat="1" applyFont="1" applyFill="1" applyBorder="1" applyAlignment="1">
      <alignment horizontal="center" vertical="center"/>
    </xf>
    <xf numFmtId="180" fontId="42" fillId="8" borderId="7" xfId="0" applyNumberFormat="1" applyFont="1" applyFill="1" applyBorder="1" applyAlignment="1">
      <alignment horizontal="center" vertical="center"/>
    </xf>
    <xf numFmtId="9" fontId="42" fillId="8" borderId="7" xfId="5" applyFont="1" applyFill="1" applyBorder="1" applyAlignment="1" applyProtection="1">
      <alignment horizontal="center" vertical="center"/>
    </xf>
    <xf numFmtId="180" fontId="42" fillId="33" borderId="7" xfId="0" applyNumberFormat="1" applyFont="1" applyFill="1" applyBorder="1" applyAlignment="1">
      <alignment horizontal="center" vertical="center"/>
    </xf>
    <xf numFmtId="165" fontId="46" fillId="4" borderId="9" xfId="2" applyNumberFormat="1" applyFont="1" applyFill="1" applyBorder="1" applyAlignment="1" applyProtection="1">
      <alignment vertical="center" wrapText="1"/>
    </xf>
    <xf numFmtId="180" fontId="43" fillId="33" borderId="7" xfId="2" applyNumberFormat="1" applyFont="1" applyFill="1" applyBorder="1" applyAlignment="1" applyProtection="1">
      <alignment horizontal="center" vertical="center" wrapText="1"/>
    </xf>
    <xf numFmtId="180" fontId="46" fillId="4" borderId="0" xfId="2" applyNumberFormat="1" applyFont="1" applyFill="1" applyBorder="1" applyAlignment="1" applyProtection="1">
      <alignment horizontal="center" vertical="center" wrapText="1"/>
    </xf>
    <xf numFmtId="180" fontId="40" fillId="33" borderId="7" xfId="2" applyNumberFormat="1" applyFont="1" applyFill="1" applyBorder="1" applyAlignment="1" applyProtection="1">
      <alignment horizontal="center" vertical="center" wrapText="1"/>
    </xf>
    <xf numFmtId="0" fontId="43" fillId="44" borderId="0" xfId="0" quotePrefix="1" applyFont="1" applyFill="1" applyAlignment="1">
      <alignment horizontal="left" vertical="top" indent="2"/>
    </xf>
    <xf numFmtId="0" fontId="41" fillId="44" borderId="0" xfId="0" applyFont="1" applyFill="1" applyAlignment="1">
      <alignment horizontal="left" vertical="top" indent="2"/>
    </xf>
    <xf numFmtId="0" fontId="43" fillId="44" borderId="0" xfId="0" applyFont="1" applyFill="1" applyAlignment="1">
      <alignment horizontal="left" vertical="top" indent="2"/>
    </xf>
    <xf numFmtId="0" fontId="43" fillId="13" borderId="0" xfId="0" applyFont="1" applyFill="1" applyAlignment="1">
      <alignment vertical="center" wrapText="1"/>
    </xf>
    <xf numFmtId="0" fontId="40" fillId="0" borderId="0" xfId="0" applyFont="1" applyAlignment="1">
      <alignment vertical="center" wrapText="1"/>
    </xf>
    <xf numFmtId="0" fontId="42" fillId="8" borderId="7" xfId="7" applyNumberFormat="1" applyFont="1" applyFill="1" applyBorder="1" applyAlignment="1">
      <alignment horizontal="center" vertical="center" wrapText="1"/>
    </xf>
    <xf numFmtId="180" fontId="42" fillId="8" borderId="7" xfId="7" applyNumberFormat="1" applyFont="1" applyFill="1" applyBorder="1" applyAlignment="1">
      <alignment horizontal="center" vertical="center"/>
    </xf>
    <xf numFmtId="165" fontId="46" fillId="4" borderId="4" xfId="2" applyNumberFormat="1" applyFont="1" applyFill="1" applyBorder="1" applyAlignment="1" applyProtection="1">
      <alignment vertical="center" wrapText="1"/>
    </xf>
    <xf numFmtId="180" fontId="43" fillId="4" borderId="7" xfId="2" applyNumberFormat="1" applyFont="1" applyFill="1" applyBorder="1" applyAlignment="1" applyProtection="1">
      <alignment horizontal="center" vertical="center" wrapText="1"/>
    </xf>
    <xf numFmtId="165" fontId="43" fillId="4" borderId="7" xfId="2" applyNumberFormat="1" applyFont="1" applyFill="1" applyBorder="1" applyAlignment="1" applyProtection="1">
      <alignment horizontal="center" vertical="center" wrapText="1"/>
    </xf>
    <xf numFmtId="0" fontId="46" fillId="36" borderId="0" xfId="0" applyFont="1" applyFill="1" applyAlignment="1">
      <alignment horizontal="center"/>
    </xf>
    <xf numFmtId="179" fontId="42" fillId="33" borderId="7" xfId="2" applyNumberFormat="1" applyFont="1" applyFill="1" applyBorder="1" applyAlignment="1" applyProtection="1">
      <alignment horizontal="center" vertical="center"/>
    </xf>
    <xf numFmtId="43" fontId="41" fillId="0" borderId="0" xfId="0" applyNumberFormat="1" applyFont="1" applyAlignment="1">
      <alignment vertical="center"/>
    </xf>
    <xf numFmtId="182" fontId="41" fillId="0" borderId="0" xfId="2" applyNumberFormat="1" applyFont="1" applyFill="1" applyBorder="1" applyAlignment="1" applyProtection="1">
      <alignment horizontal="center" vertical="center"/>
    </xf>
    <xf numFmtId="180" fontId="41" fillId="7" borderId="7" xfId="0" applyNumberFormat="1" applyFont="1" applyFill="1" applyBorder="1" applyAlignment="1" applyProtection="1">
      <alignment horizontal="center" vertical="center"/>
      <protection locked="0"/>
    </xf>
    <xf numFmtId="9" fontId="41" fillId="7" borderId="7" xfId="5" applyFont="1" applyFill="1" applyBorder="1" applyAlignment="1" applyProtection="1">
      <alignment horizontal="center" vertical="center"/>
      <protection locked="0"/>
    </xf>
    <xf numFmtId="0" fontId="124" fillId="0" borderId="0" xfId="0" applyFont="1" applyAlignment="1">
      <alignment horizontal="left"/>
    </xf>
    <xf numFmtId="0" fontId="42" fillId="44" borderId="0" xfId="0" applyFont="1" applyFill="1" applyAlignment="1">
      <alignment horizontal="center"/>
    </xf>
    <xf numFmtId="0" fontId="43" fillId="13" borderId="0" xfId="0" applyFont="1" applyFill="1" applyAlignment="1">
      <alignment horizontal="left" vertical="top" wrapText="1"/>
    </xf>
    <xf numFmtId="0" fontId="41" fillId="44" borderId="0" xfId="0" applyFont="1" applyFill="1" applyAlignment="1">
      <alignment wrapText="1"/>
    </xf>
    <xf numFmtId="0" fontId="74" fillId="13" borderId="0" xfId="0" applyFont="1" applyFill="1" applyAlignment="1">
      <alignment vertical="center"/>
    </xf>
    <xf numFmtId="0" fontId="41" fillId="44" borderId="0" xfId="0" quotePrefix="1" applyFont="1" applyFill="1"/>
    <xf numFmtId="0" fontId="42" fillId="13" borderId="0" xfId="0" applyFont="1" applyFill="1"/>
    <xf numFmtId="0" fontId="41" fillId="0" borderId="0" xfId="0" applyFont="1" applyAlignment="1">
      <alignment vertical="top"/>
    </xf>
    <xf numFmtId="0" fontId="41" fillId="44" borderId="0" xfId="0" quotePrefix="1" applyFont="1" applyFill="1" applyAlignment="1">
      <alignment vertical="top"/>
    </xf>
    <xf numFmtId="0" fontId="41" fillId="44" borderId="0" xfId="0" applyFont="1" applyFill="1" applyAlignment="1">
      <alignment vertical="top"/>
    </xf>
    <xf numFmtId="0" fontId="42" fillId="44" borderId="0" xfId="0" applyFont="1" applyFill="1" applyAlignment="1">
      <alignment vertical="top"/>
    </xf>
    <xf numFmtId="0" fontId="42" fillId="13" borderId="0" xfId="0" applyFont="1" applyFill="1" applyAlignment="1">
      <alignment vertical="top"/>
    </xf>
    <xf numFmtId="0" fontId="42" fillId="0" borderId="0" xfId="0" applyFont="1" applyAlignment="1">
      <alignment vertical="top"/>
    </xf>
    <xf numFmtId="0" fontId="40" fillId="5" borderId="17" xfId="0" applyFont="1" applyFill="1" applyBorder="1" applyAlignment="1">
      <alignment horizontal="center" vertical="center"/>
    </xf>
    <xf numFmtId="0" fontId="41" fillId="44" borderId="0" xfId="0" applyFont="1" applyFill="1" applyAlignment="1">
      <alignment vertical="center"/>
    </xf>
    <xf numFmtId="0" fontId="41" fillId="44" borderId="0" xfId="0" quotePrefix="1" applyFont="1" applyFill="1" applyAlignment="1">
      <alignment vertical="center"/>
    </xf>
    <xf numFmtId="0" fontId="41" fillId="13" borderId="0" xfId="0" applyFont="1" applyFill="1" applyAlignment="1">
      <alignment horizontal="left" vertical="center" wrapText="1"/>
    </xf>
    <xf numFmtId="0" fontId="41" fillId="0" borderId="0" xfId="0" quotePrefix="1" applyFont="1"/>
    <xf numFmtId="180" fontId="41" fillId="8" borderId="7" xfId="0" applyNumberFormat="1" applyFont="1" applyFill="1" applyBorder="1" applyAlignment="1">
      <alignment horizontal="center" vertical="center" wrapText="1"/>
    </xf>
    <xf numFmtId="0" fontId="41" fillId="8" borderId="7" xfId="0" applyFont="1" applyFill="1" applyBorder="1" applyAlignment="1">
      <alignment wrapText="1"/>
    </xf>
    <xf numFmtId="0" fontId="41" fillId="33" borderId="7" xfId="0" applyFont="1" applyFill="1" applyBorder="1" applyAlignment="1">
      <alignment horizontal="center" vertical="center"/>
    </xf>
    <xf numFmtId="0" fontId="46" fillId="13" borderId="0" xfId="0" applyFont="1" applyFill="1" applyAlignment="1">
      <alignment horizontal="center" vertical="center"/>
    </xf>
    <xf numFmtId="0" fontId="65" fillId="10" borderId="4" xfId="0" applyFont="1" applyFill="1" applyBorder="1" applyAlignment="1">
      <alignment horizontal="left" vertical="center"/>
    </xf>
    <xf numFmtId="0" fontId="65" fillId="10" borderId="5" xfId="0" applyFont="1" applyFill="1" applyBorder="1" applyAlignment="1">
      <alignment horizontal="left" vertical="center"/>
    </xf>
    <xf numFmtId="0" fontId="65" fillId="10" borderId="6" xfId="0" applyFont="1" applyFill="1" applyBorder="1" applyAlignment="1">
      <alignment horizontal="left" vertical="center"/>
    </xf>
    <xf numFmtId="0" fontId="40" fillId="2" borderId="0" xfId="0" applyFont="1" applyFill="1" applyAlignment="1">
      <alignment vertical="center"/>
    </xf>
    <xf numFmtId="0" fontId="43" fillId="2" borderId="0" xfId="0" applyFont="1" applyFill="1" applyAlignment="1">
      <alignment vertical="center"/>
    </xf>
    <xf numFmtId="0" fontId="43" fillId="2" borderId="0" xfId="0" quotePrefix="1" applyFont="1" applyFill="1" applyAlignment="1">
      <alignment vertical="center"/>
    </xf>
    <xf numFmtId="43" fontId="82" fillId="0" borderId="0" xfId="0" applyNumberFormat="1" applyFont="1"/>
    <xf numFmtId="0" fontId="41" fillId="13" borderId="7" xfId="0" applyFont="1" applyFill="1" applyBorder="1" applyAlignment="1" applyProtection="1">
      <alignment horizontal="center" vertical="center"/>
      <protection locked="0"/>
    </xf>
    <xf numFmtId="180" fontId="41" fillId="13" borderId="7" xfId="0" applyNumberFormat="1" applyFont="1" applyFill="1" applyBorder="1" applyAlignment="1" applyProtection="1">
      <alignment horizontal="center" vertical="center"/>
      <protection locked="0"/>
    </xf>
    <xf numFmtId="180" fontId="41" fillId="22" borderId="7" xfId="0" applyNumberFormat="1" applyFont="1" applyFill="1" applyBorder="1" applyAlignment="1" applyProtection="1">
      <alignment horizontal="center" vertical="center" wrapText="1"/>
      <protection locked="0"/>
    </xf>
    <xf numFmtId="180" fontId="41" fillId="22" borderId="7" xfId="0" applyNumberFormat="1" applyFont="1" applyFill="1" applyBorder="1" applyAlignment="1" applyProtection="1">
      <alignment horizontal="center" vertical="center"/>
      <protection locked="0"/>
    </xf>
    <xf numFmtId="0" fontId="107" fillId="0" borderId="0" xfId="0" applyFont="1" applyAlignment="1">
      <alignment horizontal="left"/>
    </xf>
    <xf numFmtId="0" fontId="125" fillId="0" borderId="0" xfId="0" applyFont="1" applyAlignment="1">
      <alignment horizontal="left" vertical="center" wrapText="1"/>
    </xf>
    <xf numFmtId="0" fontId="41" fillId="13" borderId="0" xfId="0" applyFont="1" applyFill="1" applyAlignment="1">
      <alignment vertical="center" wrapText="1"/>
    </xf>
    <xf numFmtId="0" fontId="41" fillId="13" borderId="0" xfId="0" applyFont="1" applyFill="1" applyAlignment="1">
      <alignment vertical="top" wrapText="1"/>
    </xf>
    <xf numFmtId="0" fontId="41" fillId="44" borderId="0" xfId="0" applyFont="1" applyFill="1" applyAlignment="1">
      <alignment vertical="center" wrapText="1"/>
    </xf>
    <xf numFmtId="0" fontId="41" fillId="13" borderId="0" xfId="0" applyFont="1" applyFill="1" applyAlignment="1">
      <alignment horizontal="left" vertical="top" wrapText="1"/>
    </xf>
    <xf numFmtId="0" fontId="41" fillId="13" borderId="0" xfId="0" applyFont="1" applyFill="1" applyAlignment="1">
      <alignment horizontal="left" vertical="top"/>
    </xf>
    <xf numFmtId="165" fontId="62" fillId="8" borderId="7" xfId="2" applyNumberFormat="1" applyFont="1" applyFill="1" applyBorder="1" applyAlignment="1" applyProtection="1">
      <alignment horizontal="center" vertical="center"/>
    </xf>
    <xf numFmtId="179" fontId="62" fillId="8" borderId="17" xfId="2" applyNumberFormat="1" applyFont="1" applyFill="1" applyBorder="1" applyAlignment="1" applyProtection="1">
      <alignment horizontal="center" vertical="center"/>
    </xf>
    <xf numFmtId="165" fontId="62" fillId="8" borderId="17" xfId="2" applyNumberFormat="1" applyFont="1" applyFill="1" applyBorder="1" applyAlignment="1" applyProtection="1">
      <alignment horizontal="center" vertical="center"/>
    </xf>
    <xf numFmtId="180" fontId="39" fillId="8" borderId="7" xfId="2" applyNumberFormat="1" applyFont="1" applyFill="1" applyBorder="1" applyAlignment="1" applyProtection="1">
      <alignment horizontal="center" vertical="center"/>
    </xf>
    <xf numFmtId="165" fontId="41" fillId="33" borderId="7" xfId="2" applyNumberFormat="1" applyFont="1" applyFill="1" applyBorder="1" applyAlignment="1" applyProtection="1">
      <alignment horizontal="center" vertical="center" wrapText="1"/>
    </xf>
    <xf numFmtId="165" fontId="41" fillId="33" borderId="15" xfId="2" applyNumberFormat="1" applyFont="1" applyFill="1" applyBorder="1" applyAlignment="1" applyProtection="1">
      <alignment horizontal="center" vertical="center" wrapText="1"/>
    </xf>
    <xf numFmtId="165" fontId="46" fillId="4" borderId="4" xfId="2" applyNumberFormat="1" applyFont="1" applyFill="1" applyBorder="1" applyAlignment="1" applyProtection="1">
      <alignment horizontal="left" vertical="center"/>
    </xf>
    <xf numFmtId="165" fontId="46" fillId="4" borderId="5" xfId="2" applyNumberFormat="1" applyFont="1" applyFill="1" applyBorder="1" applyAlignment="1" applyProtection="1">
      <alignment horizontal="left" vertical="center"/>
    </xf>
    <xf numFmtId="179" fontId="46" fillId="4" borderId="5" xfId="2" applyNumberFormat="1" applyFont="1" applyFill="1" applyBorder="1" applyAlignment="1" applyProtection="1">
      <alignment horizontal="left" vertical="center"/>
    </xf>
    <xf numFmtId="0" fontId="41" fillId="4" borderId="7" xfId="0" applyFont="1" applyFill="1" applyBorder="1"/>
    <xf numFmtId="180" fontId="42" fillId="33" borderId="7" xfId="2" applyNumberFormat="1" applyFont="1" applyFill="1" applyBorder="1" applyProtection="1"/>
    <xf numFmtId="165" fontId="40" fillId="13" borderId="0" xfId="2" applyNumberFormat="1" applyFont="1" applyFill="1" applyBorder="1" applyAlignment="1" applyProtection="1">
      <alignment horizontal="left" vertical="center"/>
    </xf>
    <xf numFmtId="165" fontId="46" fillId="13" borderId="0" xfId="2" applyNumberFormat="1" applyFont="1" applyFill="1" applyBorder="1" applyAlignment="1" applyProtection="1">
      <alignment horizontal="left" vertical="center"/>
    </xf>
    <xf numFmtId="165" fontId="41" fillId="13" borderId="0" xfId="2" applyNumberFormat="1" applyFont="1" applyFill="1" applyBorder="1" applyProtection="1"/>
    <xf numFmtId="180" fontId="74" fillId="13" borderId="0" xfId="0" applyNumberFormat="1" applyFont="1" applyFill="1" applyAlignment="1">
      <alignment vertical="center"/>
    </xf>
    <xf numFmtId="180" fontId="30" fillId="10" borderId="0" xfId="0" applyNumberFormat="1" applyFont="1" applyFill="1" applyAlignment="1">
      <alignment vertical="center"/>
    </xf>
    <xf numFmtId="180" fontId="74" fillId="10" borderId="0" xfId="0" applyNumberFormat="1" applyFont="1" applyFill="1" applyAlignment="1">
      <alignment vertical="center"/>
    </xf>
    <xf numFmtId="11" fontId="42" fillId="33" borderId="7" xfId="2" applyNumberFormat="1" applyFont="1" applyFill="1" applyBorder="1" applyAlignment="1" applyProtection="1">
      <alignment horizontal="center" vertical="center"/>
    </xf>
    <xf numFmtId="0" fontId="30" fillId="13" borderId="0" xfId="0" applyFont="1" applyFill="1" applyAlignment="1">
      <alignment vertical="center"/>
    </xf>
    <xf numFmtId="0" fontId="42" fillId="44" borderId="0" xfId="0" applyFont="1" applyFill="1" applyAlignment="1">
      <alignment horizontal="left" vertical="top" wrapText="1"/>
    </xf>
    <xf numFmtId="0" fontId="41" fillId="44" borderId="0" xfId="0" applyFont="1" applyFill="1" applyAlignment="1">
      <alignment horizontal="left" vertical="top"/>
    </xf>
    <xf numFmtId="0" fontId="63" fillId="0" borderId="0" xfId="0" applyFont="1"/>
    <xf numFmtId="0" fontId="40" fillId="5" borderId="6" xfId="0" applyFont="1" applyFill="1" applyBorder="1" applyAlignment="1">
      <alignment horizontal="center" vertical="center" wrapText="1"/>
    </xf>
    <xf numFmtId="0" fontId="42"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wrapText="1"/>
    </xf>
    <xf numFmtId="0" fontId="61" fillId="0" borderId="0" xfId="0" applyFont="1" applyAlignment="1">
      <alignment horizontal="center" vertical="center"/>
    </xf>
    <xf numFmtId="165" fontId="62" fillId="8" borderId="7" xfId="2" applyNumberFormat="1" applyFont="1" applyFill="1" applyBorder="1" applyAlignment="1" applyProtection="1">
      <alignment horizontal="left" vertical="center" wrapText="1"/>
    </xf>
    <xf numFmtId="179" fontId="62" fillId="8" borderId="7" xfId="2" applyNumberFormat="1" applyFont="1" applyFill="1" applyBorder="1" applyAlignment="1" applyProtection="1">
      <alignment vertical="center"/>
    </xf>
    <xf numFmtId="179" fontId="62" fillId="8" borderId="7" xfId="2" applyNumberFormat="1" applyFont="1" applyFill="1" applyBorder="1" applyAlignment="1" applyProtection="1">
      <alignment horizontal="center" vertical="center"/>
    </xf>
    <xf numFmtId="180" fontId="62" fillId="8" borderId="7" xfId="2" applyNumberFormat="1" applyFont="1" applyFill="1" applyBorder="1" applyAlignment="1" applyProtection="1">
      <alignment horizontal="center" vertical="center"/>
    </xf>
    <xf numFmtId="43" fontId="62" fillId="0" borderId="0" xfId="2" applyFont="1" applyFill="1" applyBorder="1" applyAlignment="1" applyProtection="1">
      <alignment horizontal="center" vertical="center" wrapText="1"/>
    </xf>
    <xf numFmtId="165" fontId="62" fillId="0" borderId="0" xfId="2" applyNumberFormat="1" applyFont="1" applyFill="1" applyBorder="1" applyAlignment="1" applyProtection="1">
      <alignment horizontal="center" vertical="center"/>
    </xf>
    <xf numFmtId="0" fontId="62" fillId="0" borderId="0" xfId="0" applyFont="1" applyAlignment="1">
      <alignment vertical="center"/>
    </xf>
    <xf numFmtId="43" fontId="62" fillId="0" borderId="0" xfId="2" applyFont="1" applyFill="1" applyBorder="1" applyAlignment="1" applyProtection="1">
      <alignment horizontal="center" vertical="center"/>
    </xf>
    <xf numFmtId="177" fontId="62" fillId="0" borderId="0" xfId="2" applyNumberFormat="1" applyFont="1" applyFill="1" applyBorder="1" applyAlignment="1" applyProtection="1">
      <alignment horizontal="center" vertical="center"/>
    </xf>
    <xf numFmtId="180" fontId="41" fillId="33" borderId="7" xfId="0" applyNumberFormat="1" applyFont="1" applyFill="1" applyBorder="1" applyAlignment="1">
      <alignment vertical="center"/>
    </xf>
    <xf numFmtId="181" fontId="41" fillId="0" borderId="0" xfId="2" applyNumberFormat="1" applyFont="1" applyFill="1" applyBorder="1" applyAlignment="1" applyProtection="1">
      <alignment horizontal="center" vertical="center"/>
    </xf>
    <xf numFmtId="165" fontId="41" fillId="0" borderId="0" xfId="2" applyNumberFormat="1" applyFont="1" applyFill="1" applyBorder="1" applyAlignment="1" applyProtection="1">
      <alignment horizontal="center" vertical="center"/>
    </xf>
    <xf numFmtId="165" fontId="41" fillId="0" borderId="0" xfId="2" applyNumberFormat="1" applyFont="1" applyFill="1" applyBorder="1" applyAlignment="1" applyProtection="1">
      <alignment horizontal="left" vertical="center" wrapText="1"/>
    </xf>
    <xf numFmtId="178" fontId="41" fillId="0" borderId="0" xfId="2" applyNumberFormat="1" applyFont="1" applyFill="1" applyBorder="1" applyAlignment="1" applyProtection="1">
      <alignment horizontal="center" vertical="center"/>
    </xf>
    <xf numFmtId="177" fontId="42" fillId="0" borderId="0" xfId="2" applyNumberFormat="1" applyFont="1" applyFill="1" applyBorder="1" applyAlignment="1" applyProtection="1">
      <alignment horizontal="center" vertical="center"/>
    </xf>
    <xf numFmtId="43" fontId="41" fillId="0" borderId="0" xfId="2" applyFont="1" applyFill="1" applyBorder="1" applyAlignment="1" applyProtection="1">
      <alignment horizontal="center" vertical="center"/>
    </xf>
    <xf numFmtId="165" fontId="46" fillId="4" borderId="5" xfId="2" applyNumberFormat="1" applyFont="1" applyFill="1" applyBorder="1" applyAlignment="1" applyProtection="1">
      <alignment vertical="center" wrapText="1"/>
    </xf>
    <xf numFmtId="179" fontId="41" fillId="0" borderId="7" xfId="0" applyNumberFormat="1" applyFont="1" applyBorder="1"/>
    <xf numFmtId="180" fontId="41" fillId="33" borderId="7" xfId="0" applyNumberFormat="1" applyFont="1" applyFill="1" applyBorder="1"/>
    <xf numFmtId="180" fontId="42" fillId="33" borderId="7" xfId="0" applyNumberFormat="1" applyFont="1" applyFill="1" applyBorder="1"/>
    <xf numFmtId="180" fontId="42" fillId="33" borderId="7" xfId="0" applyNumberFormat="1" applyFont="1" applyFill="1" applyBorder="1" applyAlignment="1">
      <alignment vertical="center"/>
    </xf>
    <xf numFmtId="165" fontId="48" fillId="13" borderId="7" xfId="2" applyNumberFormat="1" applyFont="1" applyFill="1" applyBorder="1" applyAlignment="1" applyProtection="1">
      <alignment horizontal="left" wrapText="1"/>
    </xf>
    <xf numFmtId="11" fontId="41" fillId="0" borderId="7" xfId="0" applyNumberFormat="1" applyFont="1" applyBorder="1"/>
    <xf numFmtId="177" fontId="41" fillId="0" borderId="7" xfId="0" applyNumberFormat="1" applyFont="1" applyBorder="1" applyAlignment="1">
      <alignment horizontal="center"/>
    </xf>
    <xf numFmtId="180" fontId="63" fillId="0" borderId="0" xfId="0" applyNumberFormat="1" applyFont="1" applyAlignment="1">
      <alignment horizontal="left" vertical="center" wrapText="1"/>
    </xf>
    <xf numFmtId="165" fontId="48" fillId="13" borderId="7" xfId="2" applyNumberFormat="1" applyFont="1" applyFill="1" applyBorder="1" applyAlignment="1" applyProtection="1">
      <alignment horizontal="left" vertical="center" wrapText="1"/>
    </xf>
    <xf numFmtId="179" fontId="46" fillId="4" borderId="5" xfId="2" applyNumberFormat="1" applyFont="1" applyFill="1" applyBorder="1" applyAlignment="1" applyProtection="1">
      <alignment vertical="center"/>
    </xf>
    <xf numFmtId="0" fontId="46" fillId="4" borderId="5" xfId="2" applyNumberFormat="1" applyFont="1" applyFill="1" applyBorder="1" applyAlignment="1" applyProtection="1">
      <alignment vertical="center"/>
    </xf>
    <xf numFmtId="0" fontId="41" fillId="4" borderId="0" xfId="0" applyFont="1" applyFill="1"/>
    <xf numFmtId="11" fontId="41" fillId="4" borderId="0" xfId="0" applyNumberFormat="1" applyFont="1" applyFill="1"/>
    <xf numFmtId="11" fontId="42" fillId="49" borderId="7" xfId="0" applyNumberFormat="1" applyFont="1" applyFill="1" applyBorder="1" applyAlignment="1">
      <alignment horizontal="center" vertical="center"/>
    </xf>
    <xf numFmtId="180" fontId="42" fillId="13" borderId="0" xfId="2" applyNumberFormat="1" applyFont="1" applyFill="1" applyBorder="1" applyAlignment="1" applyProtection="1">
      <alignment horizontal="center" vertical="center"/>
    </xf>
    <xf numFmtId="49" fontId="40" fillId="13" borderId="18" xfId="2" quotePrefix="1" applyNumberFormat="1" applyFont="1" applyFill="1" applyBorder="1" applyAlignment="1" applyProtection="1">
      <alignment vertical="center"/>
    </xf>
    <xf numFmtId="165" fontId="40" fillId="13" borderId="18" xfId="2" quotePrefix="1" applyNumberFormat="1" applyFont="1" applyFill="1" applyBorder="1" applyAlignment="1" applyProtection="1">
      <alignment vertical="center"/>
    </xf>
    <xf numFmtId="165" fontId="40" fillId="13" borderId="0" xfId="2" quotePrefix="1" applyNumberFormat="1" applyFont="1" applyFill="1" applyBorder="1" applyAlignment="1" applyProtection="1">
      <alignment vertical="center"/>
    </xf>
    <xf numFmtId="0" fontId="42" fillId="13" borderId="0" xfId="0" applyFont="1" applyFill="1" applyAlignment="1">
      <alignment horizontal="left" vertical="top" wrapText="1"/>
    </xf>
    <xf numFmtId="165" fontId="43" fillId="26" borderId="7" xfId="2" applyNumberFormat="1" applyFont="1" applyFill="1" applyBorder="1" applyAlignment="1" applyProtection="1">
      <alignment horizontal="left" vertical="center" wrapText="1"/>
    </xf>
    <xf numFmtId="165" fontId="43" fillId="26" borderId="17" xfId="2" applyNumberFormat="1" applyFont="1" applyFill="1" applyBorder="1" applyAlignment="1" applyProtection="1">
      <alignment horizontal="left" vertical="center"/>
    </xf>
    <xf numFmtId="43" fontId="43" fillId="26" borderId="7" xfId="2" applyFont="1" applyFill="1" applyBorder="1" applyAlignment="1" applyProtection="1">
      <alignment horizontal="left" vertical="center"/>
    </xf>
    <xf numFmtId="165" fontId="43" fillId="26" borderId="17" xfId="2" applyNumberFormat="1" applyFont="1" applyFill="1" applyBorder="1" applyProtection="1"/>
    <xf numFmtId="165" fontId="43" fillId="13" borderId="17" xfId="2" applyNumberFormat="1" applyFont="1" applyFill="1" applyBorder="1" applyProtection="1"/>
    <xf numFmtId="165" fontId="43" fillId="13" borderId="19" xfId="2" applyNumberFormat="1" applyFont="1" applyFill="1" applyBorder="1" applyProtection="1"/>
    <xf numFmtId="165" fontId="46" fillId="4" borderId="6" xfId="2" applyNumberFormat="1" applyFont="1" applyFill="1" applyBorder="1" applyAlignment="1" applyProtection="1">
      <alignment horizontal="left" vertical="center"/>
    </xf>
    <xf numFmtId="0" fontId="46" fillId="10" borderId="4" xfId="0" applyFont="1" applyFill="1" applyBorder="1" applyAlignment="1">
      <alignment horizontal="center" vertical="center" wrapText="1"/>
    </xf>
    <xf numFmtId="11" fontId="42" fillId="34" borderId="7" xfId="2" applyNumberFormat="1" applyFont="1" applyFill="1" applyBorder="1" applyAlignment="1" applyProtection="1">
      <alignment horizontal="center" vertical="center"/>
    </xf>
    <xf numFmtId="11" fontId="62" fillId="33" borderId="7" xfId="2" applyNumberFormat="1" applyFont="1" applyFill="1" applyBorder="1" applyAlignment="1" applyProtection="1">
      <alignment horizontal="center" vertical="center"/>
    </xf>
    <xf numFmtId="179" fontId="48" fillId="0" borderId="0" xfId="0" applyNumberFormat="1" applyFont="1"/>
    <xf numFmtId="179" fontId="41" fillId="0" borderId="0" xfId="0" applyNumberFormat="1" applyFont="1"/>
    <xf numFmtId="0" fontId="41" fillId="22" borderId="7" xfId="0" applyFont="1" applyFill="1" applyBorder="1" applyAlignment="1" applyProtection="1">
      <alignment horizontal="center"/>
      <protection locked="0"/>
    </xf>
    <xf numFmtId="0" fontId="41" fillId="22" borderId="7" xfId="0" applyFont="1" applyFill="1" applyBorder="1" applyAlignment="1" applyProtection="1">
      <alignment horizontal="center" vertical="center"/>
      <protection locked="0"/>
    </xf>
    <xf numFmtId="165" fontId="43" fillId="22" borderId="17" xfId="2" applyNumberFormat="1" applyFont="1" applyFill="1" applyBorder="1" applyAlignment="1" applyProtection="1">
      <alignment horizontal="left" vertical="center" wrapText="1"/>
      <protection locked="0"/>
    </xf>
    <xf numFmtId="165" fontId="43" fillId="22" borderId="17" xfId="2" applyNumberFormat="1" applyFont="1" applyFill="1" applyBorder="1" applyAlignment="1" applyProtection="1">
      <alignment horizontal="left" vertical="center"/>
      <protection locked="0"/>
    </xf>
    <xf numFmtId="165" fontId="43" fillId="22" borderId="7" xfId="2" applyNumberFormat="1" applyFont="1" applyFill="1" applyBorder="1" applyAlignment="1" applyProtection="1">
      <alignment horizontal="left" vertical="center" wrapText="1"/>
      <protection locked="0"/>
    </xf>
    <xf numFmtId="43" fontId="43" fillId="22" borderId="7" xfId="2" applyFont="1" applyFill="1" applyBorder="1" applyAlignment="1" applyProtection="1">
      <alignment horizontal="left" vertical="center"/>
      <protection locked="0"/>
    </xf>
    <xf numFmtId="165" fontId="43" fillId="22" borderId="17" xfId="2" applyNumberFormat="1" applyFont="1" applyFill="1" applyBorder="1" applyProtection="1">
      <protection locked="0"/>
    </xf>
    <xf numFmtId="165" fontId="43" fillId="22" borderId="19" xfId="2" applyNumberFormat="1" applyFont="1" applyFill="1" applyBorder="1" applyAlignment="1" applyProtection="1">
      <alignment horizontal="left" vertical="center" wrapText="1"/>
      <protection locked="0"/>
    </xf>
    <xf numFmtId="165" fontId="43" fillId="22" borderId="19" xfId="2" applyNumberFormat="1" applyFont="1" applyFill="1" applyBorder="1" applyAlignment="1" applyProtection="1">
      <alignment horizontal="left" vertical="center"/>
      <protection locked="0"/>
    </xf>
    <xf numFmtId="165" fontId="43" fillId="22" borderId="15" xfId="2" applyNumberFormat="1" applyFont="1" applyFill="1" applyBorder="1" applyAlignment="1" applyProtection="1">
      <alignment horizontal="left" vertical="center" wrapText="1"/>
      <protection locked="0"/>
    </xf>
    <xf numFmtId="43" fontId="43" fillId="22" borderId="15" xfId="2" applyFont="1" applyFill="1" applyBorder="1" applyAlignment="1" applyProtection="1">
      <alignment horizontal="left" vertical="center"/>
      <protection locked="0"/>
    </xf>
    <xf numFmtId="165" fontId="43" fillId="22" borderId="19" xfId="2" applyNumberFormat="1" applyFont="1" applyFill="1" applyBorder="1" applyProtection="1">
      <protection locked="0"/>
    </xf>
    <xf numFmtId="171" fontId="41" fillId="33" borderId="7" xfId="0" applyNumberFormat="1" applyFont="1" applyFill="1" applyBorder="1" applyAlignment="1">
      <alignment horizontal="center" vertical="center" wrapText="1"/>
    </xf>
    <xf numFmtId="179" fontId="41" fillId="7" borderId="7" xfId="0" applyNumberFormat="1" applyFont="1" applyFill="1" applyBorder="1" applyAlignment="1" applyProtection="1">
      <alignment horizontal="center" wrapText="1"/>
      <protection locked="0"/>
    </xf>
    <xf numFmtId="165" fontId="46" fillId="4" borderId="4" xfId="2" applyNumberFormat="1" applyFont="1" applyFill="1" applyBorder="1" applyAlignment="1">
      <alignment vertical="center" wrapText="1"/>
    </xf>
    <xf numFmtId="165" fontId="46" fillId="4" borderId="5" xfId="2" applyNumberFormat="1" applyFont="1" applyFill="1" applyBorder="1" applyAlignment="1">
      <alignment vertical="center" wrapText="1"/>
    </xf>
    <xf numFmtId="165" fontId="46" fillId="4" borderId="6" xfId="2" applyNumberFormat="1" applyFont="1" applyFill="1" applyBorder="1" applyAlignment="1">
      <alignment vertical="center" wrapText="1"/>
    </xf>
    <xf numFmtId="180" fontId="41" fillId="33" borderId="7" xfId="0" applyNumberFormat="1" applyFont="1" applyFill="1" applyBorder="1" applyAlignment="1">
      <alignment horizontal="center" vertical="center"/>
    </xf>
    <xf numFmtId="0" fontId="0" fillId="37" borderId="0" xfId="0" applyFill="1"/>
    <xf numFmtId="0" fontId="2" fillId="37" borderId="0" xfId="0" applyFont="1" applyFill="1"/>
    <xf numFmtId="0" fontId="62" fillId="8" borderId="7" xfId="0" applyFont="1" applyFill="1" applyBorder="1" applyAlignment="1">
      <alignment horizontal="center" vertical="center"/>
    </xf>
    <xf numFmtId="179" fontId="62" fillId="8" borderId="7" xfId="0" applyNumberFormat="1" applyFont="1" applyFill="1" applyBorder="1" applyAlignment="1">
      <alignment horizontal="center" vertical="center"/>
    </xf>
    <xf numFmtId="180" fontId="62" fillId="8" borderId="7" xfId="0" applyNumberFormat="1" applyFont="1" applyFill="1" applyBorder="1" applyAlignment="1">
      <alignment horizontal="center" vertical="center"/>
    </xf>
    <xf numFmtId="0" fontId="70" fillId="44" borderId="0" xfId="0" applyFont="1" applyFill="1" applyAlignment="1">
      <alignment horizontal="left" vertical="top" wrapText="1"/>
    </xf>
    <xf numFmtId="0" fontId="72" fillId="44" borderId="0" xfId="0" applyFont="1" applyFill="1" applyAlignment="1">
      <alignment horizontal="left" vertical="top" wrapText="1"/>
    </xf>
    <xf numFmtId="0" fontId="46" fillId="40" borderId="17" xfId="0" applyFont="1" applyFill="1" applyBorder="1" applyAlignment="1">
      <alignment horizontal="center" vertical="center" wrapText="1"/>
    </xf>
    <xf numFmtId="0" fontId="62" fillId="0" borderId="0" xfId="0" applyFont="1" applyAlignment="1">
      <alignment horizontal="center" vertical="center"/>
    </xf>
    <xf numFmtId="0" fontId="62" fillId="45" borderId="17" xfId="0" applyFont="1" applyFill="1" applyBorder="1" applyAlignment="1">
      <alignment horizontal="center" vertical="center" wrapText="1"/>
    </xf>
    <xf numFmtId="0" fontId="62" fillId="46" borderId="17" xfId="0" applyFont="1" applyFill="1" applyBorder="1" applyAlignment="1">
      <alignment horizontal="center" vertical="center" wrapText="1"/>
    </xf>
    <xf numFmtId="0" fontId="62" fillId="47" borderId="17" xfId="0" applyFont="1" applyFill="1" applyBorder="1" applyAlignment="1">
      <alignment vertical="center" wrapText="1"/>
    </xf>
    <xf numFmtId="0" fontId="62" fillId="45" borderId="17" xfId="0" applyFont="1" applyFill="1" applyBorder="1" applyAlignment="1">
      <alignment vertical="center" wrapText="1"/>
    </xf>
    <xf numFmtId="0" fontId="62" fillId="48" borderId="7" xfId="0" applyFont="1" applyFill="1" applyBorder="1" applyAlignment="1">
      <alignment vertical="center"/>
    </xf>
    <xf numFmtId="0" fontId="62" fillId="45" borderId="7" xfId="0" applyFont="1" applyFill="1" applyBorder="1" applyAlignment="1">
      <alignment horizontal="center" vertical="center" wrapText="1"/>
    </xf>
    <xf numFmtId="0" fontId="62" fillId="46" borderId="7" xfId="0" applyFont="1" applyFill="1" applyBorder="1" applyAlignment="1">
      <alignment horizontal="center" vertical="center"/>
    </xf>
    <xf numFmtId="0" fontId="62" fillId="46" borderId="7" xfId="0" applyFont="1" applyFill="1" applyBorder="1" applyAlignment="1">
      <alignment horizontal="center" vertical="center" wrapText="1"/>
    </xf>
    <xf numFmtId="0" fontId="62" fillId="45" borderId="7" xfId="0" applyFont="1" applyFill="1" applyBorder="1" applyAlignment="1">
      <alignment horizontal="center" vertical="center"/>
    </xf>
    <xf numFmtId="0" fontId="112" fillId="5" borderId="17" xfId="0" applyFont="1" applyFill="1" applyBorder="1" applyAlignment="1">
      <alignment horizontal="center"/>
    </xf>
    <xf numFmtId="0" fontId="112" fillId="5" borderId="11" xfId="0" applyFont="1" applyFill="1" applyBorder="1" applyAlignment="1">
      <alignment horizontal="center"/>
    </xf>
    <xf numFmtId="0" fontId="39" fillId="0" borderId="0" xfId="0" applyFont="1" applyAlignment="1">
      <alignment horizontal="center" vertical="center"/>
    </xf>
    <xf numFmtId="0" fontId="41" fillId="13" borderId="7" xfId="0" applyFont="1" applyFill="1" applyBorder="1" applyAlignment="1">
      <alignment horizontal="center" vertical="center" wrapText="1"/>
    </xf>
    <xf numFmtId="0" fontId="62" fillId="0" borderId="7" xfId="0" applyFont="1" applyBorder="1" applyAlignment="1">
      <alignment horizontal="center" vertical="center"/>
    </xf>
    <xf numFmtId="0" fontId="41" fillId="2" borderId="7" xfId="0" applyFont="1" applyFill="1" applyBorder="1" applyAlignment="1">
      <alignment horizontal="center" vertical="center" wrapText="1"/>
    </xf>
    <xf numFmtId="180" fontId="41" fillId="0" borderId="7" xfId="0" applyNumberFormat="1" applyFont="1" applyBorder="1" applyAlignment="1">
      <alignment horizontal="center" vertical="center" wrapText="1"/>
    </xf>
    <xf numFmtId="0" fontId="41" fillId="0" borderId="7" xfId="0" applyFont="1" applyBorder="1" applyAlignment="1">
      <alignment horizontal="left" vertical="center" wrapText="1"/>
    </xf>
    <xf numFmtId="179" fontId="41" fillId="0" borderId="7" xfId="0" applyNumberFormat="1" applyFont="1" applyBorder="1" applyAlignment="1">
      <alignment horizontal="left" vertical="center"/>
    </xf>
    <xf numFmtId="180" fontId="41" fillId="0" borderId="7" xfId="2" applyNumberFormat="1" applyFont="1" applyFill="1" applyBorder="1" applyAlignment="1" applyProtection="1">
      <alignment horizontal="center" vertical="center"/>
    </xf>
    <xf numFmtId="180" fontId="41" fillId="0" borderId="4" xfId="0" applyNumberFormat="1" applyFont="1" applyBorder="1" applyAlignment="1">
      <alignment horizontal="center" vertical="center" wrapText="1"/>
    </xf>
    <xf numFmtId="180" fontId="41" fillId="0" borderId="7" xfId="0" applyNumberFormat="1" applyFont="1" applyBorder="1" applyAlignment="1">
      <alignment horizontal="center" vertical="center"/>
    </xf>
    <xf numFmtId="0" fontId="41" fillId="0" borderId="7" xfId="0" quotePrefix="1" applyFont="1" applyBorder="1" applyAlignment="1">
      <alignment horizontal="center" vertical="center" wrapText="1"/>
    </xf>
    <xf numFmtId="180" fontId="41" fillId="13" borderId="7" xfId="0" applyNumberFormat="1" applyFont="1" applyFill="1" applyBorder="1" applyAlignment="1">
      <alignment horizontal="center" vertical="center"/>
    </xf>
    <xf numFmtId="0" fontId="41" fillId="13" borderId="5" xfId="0" applyFont="1" applyFill="1" applyBorder="1" applyAlignment="1">
      <alignment horizontal="center" vertical="center"/>
    </xf>
    <xf numFmtId="0" fontId="41" fillId="13" borderId="5" xfId="0" applyFont="1" applyFill="1" applyBorder="1" applyAlignment="1">
      <alignment horizontal="left" vertical="center"/>
    </xf>
    <xf numFmtId="0" fontId="41" fillId="13" borderId="5" xfId="0" applyFont="1" applyFill="1" applyBorder="1" applyAlignment="1">
      <alignment vertical="center"/>
    </xf>
    <xf numFmtId="2" fontId="41" fillId="13" borderId="5" xfId="5" applyNumberFormat="1" applyFont="1" applyFill="1" applyBorder="1" applyAlignment="1" applyProtection="1">
      <alignment horizontal="center" vertical="center"/>
    </xf>
    <xf numFmtId="0" fontId="41" fillId="13" borderId="5" xfId="0" applyFont="1" applyFill="1" applyBorder="1" applyAlignment="1">
      <alignment horizontal="left" vertical="center" wrapText="1"/>
    </xf>
    <xf numFmtId="0" fontId="62" fillId="13" borderId="5" xfId="0" applyFont="1" applyFill="1" applyBorder="1" applyAlignment="1">
      <alignment horizontal="left" vertical="center"/>
    </xf>
    <xf numFmtId="0" fontId="41" fillId="13" borderId="18" xfId="0" applyFont="1" applyFill="1" applyBorder="1" applyAlignment="1">
      <alignment horizontal="center" vertical="center"/>
    </xf>
    <xf numFmtId="0" fontId="41" fillId="13" borderId="18" xfId="0" applyFont="1" applyFill="1" applyBorder="1" applyAlignment="1">
      <alignment horizontal="left" vertical="center"/>
    </xf>
    <xf numFmtId="0" fontId="41" fillId="13" borderId="18" xfId="0" applyFont="1" applyFill="1" applyBorder="1" applyAlignment="1">
      <alignment vertical="center"/>
    </xf>
    <xf numFmtId="171" fontId="41" fillId="13" borderId="18" xfId="5" applyNumberFormat="1" applyFont="1" applyFill="1" applyBorder="1" applyAlignment="1" applyProtection="1">
      <alignment horizontal="center" vertical="center"/>
    </xf>
    <xf numFmtId="0" fontId="41" fillId="13" borderId="18" xfId="0" applyFont="1" applyFill="1" applyBorder="1" applyAlignment="1">
      <alignment horizontal="left" vertical="center" wrapText="1"/>
    </xf>
    <xf numFmtId="171" fontId="41" fillId="13" borderId="5" xfId="5" applyNumberFormat="1" applyFont="1" applyFill="1" applyBorder="1" applyAlignment="1" applyProtection="1">
      <alignment horizontal="center" vertical="center"/>
    </xf>
    <xf numFmtId="0" fontId="41" fillId="13" borderId="0" xfId="0" applyFont="1" applyFill="1" applyAlignment="1">
      <alignment horizontal="center" vertical="center"/>
    </xf>
    <xf numFmtId="0" fontId="41" fillId="13" borderId="0" xfId="0" applyFont="1" applyFill="1" applyAlignment="1">
      <alignment horizontal="left" vertical="center"/>
    </xf>
    <xf numFmtId="2" fontId="41" fillId="13" borderId="0" xfId="5" applyNumberFormat="1" applyFont="1" applyFill="1" applyBorder="1" applyAlignment="1" applyProtection="1">
      <alignment horizontal="center" vertical="center"/>
    </xf>
    <xf numFmtId="0" fontId="41" fillId="13" borderId="12" xfId="0" applyFont="1" applyFill="1" applyBorder="1" applyAlignment="1">
      <alignment horizontal="center" vertical="center"/>
    </xf>
    <xf numFmtId="0" fontId="41" fillId="13" borderId="12" xfId="0" applyFont="1" applyFill="1" applyBorder="1" applyAlignment="1">
      <alignment horizontal="left" vertical="center"/>
    </xf>
    <xf numFmtId="0" fontId="41" fillId="13" borderId="12" xfId="0" applyFont="1" applyFill="1" applyBorder="1" applyAlignment="1">
      <alignment vertical="center"/>
    </xf>
    <xf numFmtId="171" fontId="41" fillId="13" borderId="12" xfId="5" applyNumberFormat="1" applyFont="1" applyFill="1" applyBorder="1" applyAlignment="1" applyProtection="1">
      <alignment horizontal="center" vertical="center"/>
    </xf>
    <xf numFmtId="0" fontId="41" fillId="13" borderId="12" xfId="0" applyFont="1" applyFill="1" applyBorder="1" applyAlignment="1">
      <alignment horizontal="left" vertical="center" wrapText="1"/>
    </xf>
    <xf numFmtId="0" fontId="40" fillId="5" borderId="17" xfId="0" applyFont="1" applyFill="1" applyBorder="1" applyAlignment="1">
      <alignment horizontal="center" vertical="center" wrapText="1"/>
    </xf>
    <xf numFmtId="0" fontId="40" fillId="0" borderId="9" xfId="0" applyFont="1" applyBorder="1" applyAlignment="1">
      <alignment horizontal="center" vertical="center"/>
    </xf>
    <xf numFmtId="0" fontId="42" fillId="5" borderId="15" xfId="0" applyFont="1" applyFill="1" applyBorder="1" applyAlignment="1">
      <alignment horizontal="center" vertical="center"/>
    </xf>
    <xf numFmtId="178" fontId="41" fillId="22" borderId="7" xfId="2" applyNumberFormat="1" applyFont="1" applyFill="1" applyBorder="1" applyAlignment="1" applyProtection="1">
      <alignment horizontal="center" vertical="center"/>
      <protection locked="0"/>
    </xf>
    <xf numFmtId="0" fontId="48" fillId="0" borderId="0" xfId="0" applyFont="1" applyAlignment="1">
      <alignment vertical="center" wrapText="1"/>
    </xf>
    <xf numFmtId="0" fontId="48" fillId="56" borderId="0" xfId="0" applyFont="1" applyFill="1" applyAlignment="1">
      <alignment horizontal="center" vertical="center"/>
    </xf>
    <xf numFmtId="0" fontId="63" fillId="56" borderId="7" xfId="0" applyFont="1" applyFill="1" applyBorder="1" applyAlignment="1">
      <alignment horizontal="center" vertical="center" wrapText="1"/>
    </xf>
    <xf numFmtId="0" fontId="41" fillId="56" borderId="7" xfId="0" applyFont="1" applyFill="1" applyBorder="1" applyAlignment="1">
      <alignment horizontal="center" vertical="center"/>
    </xf>
    <xf numFmtId="172" fontId="43" fillId="56" borderId="7" xfId="0" applyNumberFormat="1" applyFont="1" applyFill="1" applyBorder="1" applyAlignment="1">
      <alignment horizontal="center" vertical="center"/>
    </xf>
    <xf numFmtId="171" fontId="41" fillId="56" borderId="7" xfId="0" applyNumberFormat="1" applyFont="1" applyFill="1" applyBorder="1" applyAlignment="1">
      <alignment horizontal="center" vertical="center"/>
    </xf>
    <xf numFmtId="43" fontId="43" fillId="56" borderId="7" xfId="2" applyFont="1" applyFill="1" applyBorder="1" applyAlignment="1">
      <alignment horizontal="center" vertical="center"/>
    </xf>
    <xf numFmtId="2" fontId="41" fillId="56" borderId="7" xfId="0" applyNumberFormat="1" applyFont="1" applyFill="1" applyBorder="1" applyAlignment="1">
      <alignment horizontal="center" vertical="center"/>
    </xf>
    <xf numFmtId="2" fontId="41" fillId="56" borderId="7" xfId="2" applyNumberFormat="1" applyFont="1" applyFill="1" applyBorder="1" applyAlignment="1">
      <alignment horizontal="center" vertical="center"/>
    </xf>
    <xf numFmtId="0" fontId="41" fillId="56" borderId="0" xfId="0" applyFont="1" applyFill="1" applyAlignment="1">
      <alignment horizontal="center" vertical="center"/>
    </xf>
    <xf numFmtId="0" fontId="43" fillId="56" borderId="7" xfId="0" applyFont="1" applyFill="1" applyBorder="1" applyAlignment="1">
      <alignment horizontal="center" vertical="center" wrapText="1"/>
    </xf>
    <xf numFmtId="179" fontId="42" fillId="8" borderId="7" xfId="2" applyNumberFormat="1" applyFont="1" applyFill="1" applyBorder="1" applyAlignment="1" applyProtection="1">
      <alignment horizontal="left" vertical="center"/>
    </xf>
    <xf numFmtId="0" fontId="41" fillId="8" borderId="4" xfId="0" applyFont="1" applyFill="1" applyBorder="1" applyAlignment="1">
      <alignment horizontal="center" vertical="center" wrapText="1"/>
    </xf>
    <xf numFmtId="0" fontId="48" fillId="0" borderId="9" xfId="0" applyFont="1" applyBorder="1" applyAlignment="1">
      <alignment vertical="center" wrapText="1"/>
    </xf>
    <xf numFmtId="180" fontId="41" fillId="8" borderId="17" xfId="0" applyNumberFormat="1" applyFont="1" applyFill="1" applyBorder="1" applyAlignment="1">
      <alignment horizontal="center" vertical="center" wrapText="1"/>
    </xf>
    <xf numFmtId="0" fontId="41" fillId="7" borderId="4" xfId="0" applyFont="1" applyFill="1" applyBorder="1" applyAlignment="1">
      <alignment horizontal="center" vertical="center" wrapText="1"/>
    </xf>
    <xf numFmtId="179" fontId="62" fillId="8" borderId="17" xfId="0" applyNumberFormat="1" applyFont="1" applyFill="1" applyBorder="1" applyAlignment="1">
      <alignment horizontal="center" vertical="center"/>
    </xf>
    <xf numFmtId="180" fontId="41" fillId="7" borderId="7" xfId="0" applyNumberFormat="1" applyFont="1" applyFill="1" applyBorder="1" applyAlignment="1">
      <alignment horizontal="center" vertical="center"/>
    </xf>
    <xf numFmtId="179" fontId="62" fillId="8" borderId="17" xfId="0" applyNumberFormat="1" applyFont="1" applyFill="1" applyBorder="1" applyAlignment="1">
      <alignment horizontal="center" vertical="center" wrapText="1"/>
    </xf>
    <xf numFmtId="180" fontId="42" fillId="8" borderId="17" xfId="7" applyNumberFormat="1" applyFont="1" applyFill="1" applyBorder="1" applyAlignment="1">
      <alignment horizontal="center" vertical="center"/>
    </xf>
    <xf numFmtId="0" fontId="41" fillId="44" borderId="0" xfId="0" applyFont="1" applyFill="1" applyAlignment="1">
      <alignment horizontal="right" wrapText="1"/>
    </xf>
    <xf numFmtId="179" fontId="41" fillId="8" borderId="7" xfId="2" applyNumberFormat="1" applyFont="1" applyFill="1" applyBorder="1" applyAlignment="1" applyProtection="1">
      <alignment horizontal="left" vertical="center"/>
    </xf>
    <xf numFmtId="179" fontId="41" fillId="8" borderId="7" xfId="2" applyNumberFormat="1" applyFont="1" applyFill="1" applyBorder="1" applyAlignment="1" applyProtection="1">
      <alignment horizontal="center" vertical="center" wrapText="1"/>
    </xf>
    <xf numFmtId="0" fontId="46" fillId="36" borderId="15" xfId="0" applyFont="1" applyFill="1" applyBorder="1" applyAlignment="1">
      <alignment horizontal="center" vertical="center" wrapText="1"/>
    </xf>
    <xf numFmtId="0" fontId="43" fillId="7" borderId="7" xfId="0" applyFont="1" applyFill="1" applyBorder="1" applyAlignment="1" applyProtection="1">
      <alignment horizontal="center" vertical="center" wrapText="1"/>
      <protection locked="0"/>
    </xf>
    <xf numFmtId="0" fontId="46" fillId="50" borderId="0" xfId="0" applyFont="1" applyFill="1" applyAlignment="1">
      <alignment vertical="center"/>
    </xf>
    <xf numFmtId="0" fontId="126" fillId="0" borderId="0" xfId="0" applyFont="1" applyAlignment="1">
      <alignment vertical="center"/>
    </xf>
    <xf numFmtId="180" fontId="41" fillId="0" borderId="0" xfId="0" applyNumberFormat="1" applyFont="1" applyAlignment="1">
      <alignment vertical="center"/>
    </xf>
    <xf numFmtId="0" fontId="127" fillId="0" borderId="0" xfId="0" applyFont="1" applyAlignment="1">
      <alignment vertical="center"/>
    </xf>
    <xf numFmtId="180" fontId="130" fillId="6" borderId="0" xfId="0" applyNumberFormat="1" applyFont="1" applyFill="1" applyAlignment="1">
      <alignment vertical="center"/>
    </xf>
    <xf numFmtId="0" fontId="107" fillId="6" borderId="0" xfId="0" applyFont="1" applyFill="1" applyAlignment="1">
      <alignment vertical="center"/>
    </xf>
    <xf numFmtId="0" fontId="118" fillId="0" borderId="0" xfId="0" applyFont="1" applyAlignment="1">
      <alignment vertical="center"/>
    </xf>
    <xf numFmtId="0" fontId="118" fillId="0" borderId="0" xfId="0" applyFont="1" applyAlignment="1">
      <alignment horizontal="center" vertical="center"/>
    </xf>
    <xf numFmtId="0" fontId="42" fillId="37" borderId="0" xfId="0" applyFont="1" applyFill="1" applyAlignment="1">
      <alignment vertical="center"/>
    </xf>
    <xf numFmtId="11" fontId="42" fillId="37" borderId="0" xfId="0" applyNumberFormat="1" applyFont="1" applyFill="1" applyAlignment="1">
      <alignment horizontal="center" vertical="center"/>
    </xf>
    <xf numFmtId="9" fontId="42" fillId="37" borderId="0" xfId="5" applyFont="1" applyFill="1" applyAlignment="1" applyProtection="1">
      <alignment horizontal="center" vertical="center"/>
    </xf>
    <xf numFmtId="0" fontId="42" fillId="55" borderId="0" xfId="0" applyFont="1" applyFill="1" applyAlignment="1">
      <alignment vertical="center"/>
    </xf>
    <xf numFmtId="11" fontId="42" fillId="55" borderId="0" xfId="0" applyNumberFormat="1" applyFont="1" applyFill="1" applyAlignment="1">
      <alignment horizontal="center" vertical="center"/>
    </xf>
    <xf numFmtId="9" fontId="42" fillId="55" borderId="0" xfId="5" applyFont="1" applyFill="1" applyAlignment="1" applyProtection="1">
      <alignment horizontal="center" vertical="center"/>
    </xf>
    <xf numFmtId="0" fontId="42" fillId="24" borderId="0" xfId="0" applyFont="1" applyFill="1" applyAlignment="1">
      <alignment vertical="center"/>
    </xf>
    <xf numFmtId="11" fontId="42" fillId="24" borderId="0" xfId="0" applyNumberFormat="1" applyFont="1" applyFill="1" applyAlignment="1">
      <alignment horizontal="center" vertical="center"/>
    </xf>
    <xf numFmtId="9" fontId="42" fillId="24" borderId="0" xfId="5" applyFont="1" applyFill="1" applyAlignment="1" applyProtection="1">
      <alignment horizontal="center" vertical="center"/>
    </xf>
    <xf numFmtId="0" fontId="42" fillId="25" borderId="0" xfId="0" applyFont="1" applyFill="1" applyAlignment="1">
      <alignment vertical="center"/>
    </xf>
    <xf numFmtId="11" fontId="42" fillId="25" borderId="0" xfId="0" applyNumberFormat="1" applyFont="1" applyFill="1" applyAlignment="1">
      <alignment horizontal="center" vertical="center"/>
    </xf>
    <xf numFmtId="9" fontId="42" fillId="25" borderId="0" xfId="5" applyFont="1" applyFill="1" applyAlignment="1" applyProtection="1">
      <alignment horizontal="center" vertical="center"/>
    </xf>
    <xf numFmtId="0" fontId="46" fillId="51" borderId="0" xfId="0" applyFont="1" applyFill="1" applyAlignment="1">
      <alignment vertical="center"/>
    </xf>
    <xf numFmtId="0" fontId="41" fillId="51" borderId="0" xfId="0" applyFont="1" applyFill="1" applyAlignment="1">
      <alignment vertical="center"/>
    </xf>
    <xf numFmtId="0" fontId="42" fillId="52" borderId="77" xfId="0" applyFont="1" applyFill="1" applyBorder="1" applyAlignment="1">
      <alignment vertical="center"/>
    </xf>
    <xf numFmtId="0" fontId="42" fillId="52" borderId="77" xfId="0" quotePrefix="1" applyFont="1" applyFill="1" applyBorder="1" applyAlignment="1">
      <alignment vertical="center"/>
    </xf>
    <xf numFmtId="11" fontId="42" fillId="53" borderId="77" xfId="0" applyNumberFormat="1" applyFont="1" applyFill="1" applyBorder="1" applyAlignment="1">
      <alignment vertical="center"/>
    </xf>
    <xf numFmtId="0" fontId="41" fillId="52" borderId="77" xfId="0" applyFont="1" applyFill="1" applyBorder="1" applyAlignment="1">
      <alignment vertical="center" wrapText="1"/>
    </xf>
    <xf numFmtId="0" fontId="62" fillId="6" borderId="78" xfId="0" applyFont="1" applyFill="1" applyBorder="1" applyAlignment="1">
      <alignment vertical="center"/>
    </xf>
    <xf numFmtId="0" fontId="62" fillId="6" borderId="78" xfId="0" applyFont="1" applyFill="1" applyBorder="1" applyAlignment="1">
      <alignment horizontal="right" vertical="center"/>
    </xf>
    <xf numFmtId="0" fontId="62" fillId="6" borderId="78" xfId="0" applyFont="1" applyFill="1" applyBorder="1" applyAlignment="1">
      <alignment horizontal="left" vertical="center"/>
    </xf>
    <xf numFmtId="11" fontId="62" fillId="44" borderId="78" xfId="0" applyNumberFormat="1" applyFont="1" applyFill="1" applyBorder="1" applyAlignment="1">
      <alignment vertical="center"/>
    </xf>
    <xf numFmtId="0" fontId="62" fillId="6" borderId="78" xfId="0" applyFont="1" applyFill="1" applyBorder="1" applyAlignment="1">
      <alignment vertical="center" wrapText="1"/>
    </xf>
    <xf numFmtId="0" fontId="62" fillId="6" borderId="78" xfId="0" quotePrefix="1" applyFont="1" applyFill="1" applyBorder="1" applyAlignment="1">
      <alignment vertical="center"/>
    </xf>
    <xf numFmtId="0" fontId="42" fillId="52" borderId="78" xfId="0" applyFont="1" applyFill="1" applyBorder="1" applyAlignment="1">
      <alignment vertical="center"/>
    </xf>
    <xf numFmtId="0" fontId="42" fillId="52" borderId="78" xfId="0" applyFont="1" applyFill="1" applyBorder="1" applyAlignment="1">
      <alignment horizontal="left" vertical="center"/>
    </xf>
    <xf numFmtId="11" fontId="42" fillId="53" borderId="78" xfId="0" applyNumberFormat="1" applyFont="1" applyFill="1" applyBorder="1" applyAlignment="1">
      <alignment vertical="center"/>
    </xf>
    <xf numFmtId="0" fontId="49" fillId="52" borderId="78" xfId="0" applyFont="1" applyFill="1" applyBorder="1" applyAlignment="1">
      <alignment horizontal="left" vertical="center" wrapText="1"/>
    </xf>
    <xf numFmtId="0" fontId="42" fillId="52" borderId="78" xfId="0" quotePrefix="1" applyFont="1" applyFill="1" applyBorder="1" applyAlignment="1">
      <alignment vertical="center"/>
    </xf>
    <xf numFmtId="0" fontId="41" fillId="52" borderId="78" xfId="0" applyFont="1" applyFill="1" applyBorder="1" applyAlignment="1">
      <alignment vertical="center" wrapText="1"/>
    </xf>
    <xf numFmtId="0" fontId="62" fillId="6" borderId="78" xfId="0" quotePrefix="1" applyFont="1" applyFill="1" applyBorder="1" applyAlignment="1">
      <alignment horizontal="left" vertical="center"/>
    </xf>
    <xf numFmtId="0" fontId="42" fillId="52" borderId="78" xfId="0" applyFont="1" applyFill="1" applyBorder="1" applyAlignment="1">
      <alignment vertical="center" wrapText="1"/>
    </xf>
    <xf numFmtId="0" fontId="42" fillId="52" borderId="79" xfId="0" applyFont="1" applyFill="1" applyBorder="1" applyAlignment="1">
      <alignment vertical="center"/>
    </xf>
    <xf numFmtId="11" fontId="42" fillId="53" borderId="79" xfId="0" applyNumberFormat="1" applyFont="1" applyFill="1" applyBorder="1" applyAlignment="1">
      <alignment vertical="center"/>
    </xf>
    <xf numFmtId="0" fontId="42" fillId="52" borderId="79" xfId="0" applyFont="1" applyFill="1" applyBorder="1" applyAlignment="1">
      <alignment vertical="center" wrapText="1"/>
    </xf>
    <xf numFmtId="180" fontId="46" fillId="54" borderId="0" xfId="0" applyNumberFormat="1" applyFont="1" applyFill="1" applyAlignment="1">
      <alignment vertical="center"/>
    </xf>
    <xf numFmtId="0" fontId="49" fillId="52" borderId="77" xfId="0" applyFont="1" applyFill="1" applyBorder="1" applyAlignment="1" applyProtection="1">
      <alignment horizontal="left" vertical="center" wrapText="1"/>
      <protection hidden="1"/>
    </xf>
    <xf numFmtId="0" fontId="109" fillId="6" borderId="78" xfId="0" applyFont="1" applyFill="1" applyBorder="1" applyAlignment="1" applyProtection="1">
      <alignment horizontal="left" vertical="center" wrapText="1"/>
      <protection hidden="1"/>
    </xf>
    <xf numFmtId="0" fontId="49" fillId="52" borderId="78" xfId="0" applyFont="1" applyFill="1" applyBorder="1" applyAlignment="1" applyProtection="1">
      <alignment horizontal="left" vertical="center" wrapText="1"/>
      <protection hidden="1"/>
    </xf>
    <xf numFmtId="0" fontId="41" fillId="52" borderId="78" xfId="0" applyFont="1" applyFill="1" applyBorder="1" applyAlignment="1" applyProtection="1">
      <alignment vertical="center" wrapText="1"/>
      <protection hidden="1"/>
    </xf>
    <xf numFmtId="0" fontId="63" fillId="52" borderId="78" xfId="0" applyFont="1" applyFill="1" applyBorder="1" applyAlignment="1" applyProtection="1">
      <alignment vertical="center" wrapText="1"/>
      <protection hidden="1"/>
    </xf>
    <xf numFmtId="9" fontId="42" fillId="52" borderId="77" xfId="5" applyFont="1" applyFill="1" applyBorder="1" applyAlignment="1" applyProtection="1">
      <alignment vertical="center"/>
      <protection hidden="1"/>
    </xf>
    <xf numFmtId="9" fontId="62" fillId="6" borderId="78" xfId="5" applyFont="1" applyFill="1" applyBorder="1" applyAlignment="1" applyProtection="1">
      <alignment vertical="center"/>
      <protection hidden="1"/>
    </xf>
    <xf numFmtId="9" fontId="42" fillId="52" borderId="78" xfId="5" applyFont="1" applyFill="1" applyBorder="1" applyAlignment="1" applyProtection="1">
      <alignment vertical="center"/>
      <protection hidden="1"/>
    </xf>
    <xf numFmtId="0" fontId="46" fillId="50" borderId="0" xfId="0" applyFont="1" applyFill="1" applyAlignment="1" applyProtection="1">
      <alignment vertical="center"/>
      <protection hidden="1"/>
    </xf>
    <xf numFmtId="14" fontId="43" fillId="0" borderId="76" xfId="0" quotePrefix="1" applyNumberFormat="1" applyFont="1" applyBorder="1"/>
    <xf numFmtId="0" fontId="45" fillId="13" borderId="0" xfId="3" applyFont="1" applyFill="1" applyBorder="1" applyProtection="1"/>
    <xf numFmtId="0" fontId="70" fillId="13" borderId="0" xfId="0" applyFont="1" applyFill="1" applyAlignment="1">
      <alignment vertical="top" wrapText="1"/>
    </xf>
    <xf numFmtId="0" fontId="70" fillId="13" borderId="0" xfId="0" applyFont="1" applyFill="1" applyAlignment="1">
      <alignment horizontal="left" vertical="top" wrapText="1"/>
    </xf>
    <xf numFmtId="0" fontId="15" fillId="13" borderId="0" xfId="0" applyFont="1" applyFill="1" applyAlignment="1">
      <alignment horizontal="left" vertical="top" wrapText="1"/>
    </xf>
    <xf numFmtId="0" fontId="76" fillId="13" borderId="0" xfId="0" applyFont="1" applyFill="1" applyAlignment="1">
      <alignment horizontal="left" vertical="top" wrapText="1"/>
    </xf>
    <xf numFmtId="0" fontId="72" fillId="44" borderId="0" xfId="0" applyFont="1" applyFill="1" applyAlignment="1">
      <alignment horizontal="left" vertical="center" wrapText="1"/>
    </xf>
    <xf numFmtId="0" fontId="70" fillId="44" borderId="0" xfId="0" applyFont="1" applyFill="1" applyAlignment="1">
      <alignment horizontal="left" vertical="top" wrapText="1"/>
    </xf>
    <xf numFmtId="0" fontId="72" fillId="44" borderId="0" xfId="0" applyFont="1" applyFill="1" applyAlignment="1">
      <alignment horizontal="left" vertical="top" wrapText="1"/>
    </xf>
    <xf numFmtId="0" fontId="70" fillId="44" borderId="0" xfId="0" applyFont="1" applyFill="1" applyAlignment="1">
      <alignment horizontal="left" vertical="center" wrapText="1"/>
    </xf>
    <xf numFmtId="0" fontId="70" fillId="44" borderId="0" xfId="0" applyFont="1" applyFill="1" applyAlignment="1">
      <alignment wrapText="1"/>
    </xf>
    <xf numFmtId="0" fontId="70" fillId="44" borderId="0" xfId="0" applyFont="1" applyFill="1"/>
    <xf numFmtId="0" fontId="28" fillId="0" borderId="0" xfId="0" applyFont="1" applyAlignment="1">
      <alignment horizontal="center" vertical="center" wrapText="1"/>
    </xf>
    <xf numFmtId="0" fontId="80" fillId="44" borderId="0" xfId="0" applyFont="1" applyFill="1" applyAlignment="1">
      <alignment vertical="center"/>
    </xf>
    <xf numFmtId="0" fontId="76" fillId="44" borderId="0" xfId="0" applyFont="1" applyFill="1" applyAlignment="1">
      <alignment vertical="center" wrapText="1"/>
    </xf>
    <xf numFmtId="0" fontId="76" fillId="44" borderId="0" xfId="0" applyFont="1" applyFill="1" applyAlignment="1">
      <alignment vertical="top" wrapText="1"/>
    </xf>
    <xf numFmtId="0" fontId="28" fillId="0" borderId="0" xfId="0"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horizontal="left" vertical="center" wrapText="1" indent="5"/>
    </xf>
    <xf numFmtId="0" fontId="76" fillId="44" borderId="0" xfId="0" applyFont="1" applyFill="1" applyAlignment="1">
      <alignment horizontal="left" vertical="center" wrapText="1" indent="7"/>
    </xf>
    <xf numFmtId="0" fontId="15" fillId="22" borderId="1" xfId="0" applyFont="1" applyFill="1" applyBorder="1" applyAlignment="1" applyProtection="1">
      <alignment horizontal="left" vertical="center" wrapText="1"/>
      <protection locked="0"/>
    </xf>
    <xf numFmtId="0" fontId="15" fillId="22" borderId="2" xfId="0" applyFont="1" applyFill="1" applyBorder="1" applyAlignment="1" applyProtection="1">
      <alignment horizontal="left" vertical="center" wrapText="1"/>
      <protection locked="0"/>
    </xf>
    <xf numFmtId="0" fontId="15" fillId="22" borderId="3" xfId="0" applyFont="1" applyFill="1" applyBorder="1" applyAlignment="1" applyProtection="1">
      <alignment horizontal="left" vertical="center" wrapText="1"/>
      <protection locked="0"/>
    </xf>
    <xf numFmtId="0" fontId="41" fillId="13" borderId="0" xfId="0" applyFont="1" applyFill="1" applyAlignment="1">
      <alignment horizontal="center" vertical="center"/>
    </xf>
    <xf numFmtId="0" fontId="43" fillId="44" borderId="0" xfId="0" quotePrefix="1" applyFont="1" applyFill="1" applyAlignment="1">
      <alignment horizontal="left" vertical="top" wrapText="1"/>
    </xf>
    <xf numFmtId="0" fontId="43" fillId="13" borderId="0" xfId="0" applyFont="1" applyFill="1" applyAlignment="1">
      <alignment horizontal="center" vertical="center" wrapText="1"/>
    </xf>
    <xf numFmtId="0" fontId="40" fillId="5" borderId="15" xfId="0" applyFont="1" applyFill="1" applyBorder="1" applyAlignment="1">
      <alignment horizontal="center" vertical="center" wrapText="1"/>
    </xf>
    <xf numFmtId="0" fontId="40" fillId="5" borderId="19" xfId="0" applyFont="1" applyFill="1" applyBorder="1" applyAlignment="1">
      <alignment horizontal="center" vertical="center" wrapText="1"/>
    </xf>
    <xf numFmtId="0" fontId="40" fillId="5" borderId="17" xfId="0" applyFont="1" applyFill="1" applyBorder="1" applyAlignment="1">
      <alignment horizontal="center" vertical="center" wrapText="1"/>
    </xf>
    <xf numFmtId="0" fontId="46" fillId="4" borderId="4" xfId="0" applyFont="1" applyFill="1" applyBorder="1" applyAlignment="1">
      <alignment horizontal="center" vertical="center"/>
    </xf>
    <xf numFmtId="0" fontId="46" fillId="4" borderId="6" xfId="0" applyFont="1" applyFill="1" applyBorder="1" applyAlignment="1">
      <alignment horizontal="center" vertical="center"/>
    </xf>
    <xf numFmtId="0" fontId="46" fillId="35" borderId="5" xfId="0" applyFont="1" applyFill="1" applyBorder="1" applyAlignment="1">
      <alignment horizontal="left" vertical="center"/>
    </xf>
    <xf numFmtId="0" fontId="40" fillId="5" borderId="9"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1" fillId="44" borderId="14" xfId="0" applyFont="1" applyFill="1" applyBorder="1" applyAlignment="1">
      <alignment horizontal="center" vertical="center" wrapText="1"/>
    </xf>
    <xf numFmtId="0" fontId="41" fillId="44" borderId="18" xfId="0" applyFont="1" applyFill="1" applyBorder="1" applyAlignment="1">
      <alignment horizontal="center" vertical="center" wrapText="1"/>
    </xf>
    <xf numFmtId="0" fontId="41" fillId="44" borderId="16" xfId="0" applyFont="1" applyFill="1" applyBorder="1" applyAlignment="1">
      <alignment horizontal="center" vertical="center" wrapText="1"/>
    </xf>
    <xf numFmtId="0" fontId="41" fillId="44" borderId="9" xfId="0" applyFont="1" applyFill="1" applyBorder="1" applyAlignment="1">
      <alignment horizontal="center" vertical="center" wrapText="1"/>
    </xf>
    <xf numFmtId="0" fontId="41" fillId="44" borderId="0" xfId="0" applyFont="1" applyFill="1" applyAlignment="1">
      <alignment horizontal="center" vertical="center" wrapText="1"/>
    </xf>
    <xf numFmtId="0" fontId="41" fillId="44" borderId="10" xfId="0" applyFont="1" applyFill="1" applyBorder="1" applyAlignment="1">
      <alignment horizontal="center" vertical="center" wrapText="1"/>
    </xf>
    <xf numFmtId="0" fontId="41" fillId="44" borderId="11" xfId="0" applyFont="1" applyFill="1" applyBorder="1" applyAlignment="1">
      <alignment horizontal="center" vertical="center" wrapText="1"/>
    </xf>
    <xf numFmtId="0" fontId="41" fillId="44" borderId="12" xfId="0" applyFont="1" applyFill="1" applyBorder="1" applyAlignment="1">
      <alignment horizontal="center" vertical="center" wrapText="1"/>
    </xf>
    <xf numFmtId="0" fontId="41" fillId="44" borderId="13" xfId="0" applyFont="1" applyFill="1" applyBorder="1" applyAlignment="1">
      <alignment horizontal="center" vertical="center" wrapText="1"/>
    </xf>
    <xf numFmtId="0" fontId="41" fillId="22" borderId="4" xfId="0" applyFont="1" applyFill="1" applyBorder="1" applyAlignment="1" applyProtection="1">
      <alignment horizontal="center" vertical="center"/>
      <protection locked="0"/>
    </xf>
    <xf numFmtId="0" fontId="41" fillId="22" borderId="5" xfId="0" applyFont="1" applyFill="1" applyBorder="1" applyAlignment="1" applyProtection="1">
      <alignment horizontal="center" vertical="center"/>
      <protection locked="0"/>
    </xf>
    <xf numFmtId="0" fontId="41" fillId="22" borderId="6" xfId="0" applyFont="1" applyFill="1" applyBorder="1" applyAlignment="1" applyProtection="1">
      <alignment horizontal="center" vertical="center"/>
      <protection locked="0"/>
    </xf>
    <xf numFmtId="0" fontId="42" fillId="5" borderId="15"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17" xfId="0" applyFont="1" applyFill="1" applyBorder="1" applyAlignment="1">
      <alignment horizontal="center" vertical="center" wrapText="1"/>
    </xf>
    <xf numFmtId="0" fontId="40" fillId="44" borderId="4" xfId="0" quotePrefix="1" applyFont="1" applyFill="1" applyBorder="1"/>
    <xf numFmtId="0" fontId="40" fillId="44" borderId="5" xfId="0" quotePrefix="1" applyFont="1" applyFill="1" applyBorder="1"/>
    <xf numFmtId="0" fontId="41" fillId="44" borderId="0" xfId="0" applyFont="1" applyFill="1" applyAlignment="1">
      <alignment vertical="top" wrapText="1"/>
    </xf>
    <xf numFmtId="0" fontId="43" fillId="44" borderId="4" xfId="0" quotePrefix="1" applyFont="1" applyFill="1" applyBorder="1" applyAlignment="1">
      <alignment horizontal="left" vertical="center" wrapText="1"/>
    </xf>
    <xf numFmtId="0" fontId="43" fillId="44" borderId="6" xfId="0" quotePrefix="1" applyFont="1" applyFill="1" applyBorder="1" applyAlignment="1">
      <alignment horizontal="left" vertical="center" wrapText="1"/>
    </xf>
    <xf numFmtId="0" fontId="40" fillId="22" borderId="4" xfId="6" applyFont="1" applyFill="1" applyBorder="1" applyAlignment="1">
      <alignment horizontal="center" vertical="center"/>
      <protection locked="0"/>
    </xf>
    <xf numFmtId="0" fontId="40" fillId="22" borderId="5" xfId="6" applyFont="1" applyFill="1" applyBorder="1" applyAlignment="1">
      <alignment horizontal="center" vertical="center"/>
      <protection locked="0"/>
    </xf>
    <xf numFmtId="0" fontId="40" fillId="22" borderId="6" xfId="6" applyFont="1" applyFill="1" applyBorder="1" applyAlignment="1">
      <alignment horizontal="center" vertical="center"/>
      <protection locked="0"/>
    </xf>
    <xf numFmtId="0" fontId="43" fillId="44" borderId="5" xfId="0" quotePrefix="1" applyFont="1" applyFill="1" applyBorder="1" applyAlignment="1">
      <alignment horizontal="left" vertical="center" wrapText="1"/>
    </xf>
    <xf numFmtId="0" fontId="43" fillId="44" borderId="4" xfId="0" quotePrefix="1" applyFont="1" applyFill="1" applyBorder="1" applyAlignment="1">
      <alignment vertical="center"/>
    </xf>
    <xf numFmtId="0" fontId="43" fillId="44" borderId="5" xfId="0" quotePrefix="1" applyFont="1" applyFill="1" applyBorder="1" applyAlignment="1">
      <alignment vertical="center"/>
    </xf>
    <xf numFmtId="0" fontId="42" fillId="5" borderId="7" xfId="0" applyFont="1" applyFill="1" applyBorder="1" applyAlignment="1">
      <alignment horizontal="center" vertical="center" wrapText="1"/>
    </xf>
    <xf numFmtId="0" fontId="46" fillId="35" borderId="7" xfId="0" applyFont="1" applyFill="1" applyBorder="1" applyAlignment="1">
      <alignment vertical="center"/>
    </xf>
    <xf numFmtId="0" fontId="46" fillId="35" borderId="7" xfId="0" applyFont="1" applyFill="1" applyBorder="1" applyAlignment="1">
      <alignment vertical="center" wrapText="1"/>
    </xf>
    <xf numFmtId="0" fontId="46" fillId="35" borderId="7" xfId="0" applyFont="1" applyFill="1" applyBorder="1" applyAlignment="1">
      <alignment horizontal="left" vertical="center"/>
    </xf>
    <xf numFmtId="0" fontId="46" fillId="35" borderId="4" xfId="0" applyFont="1" applyFill="1" applyBorder="1" applyAlignment="1">
      <alignment horizontal="left" vertical="center"/>
    </xf>
    <xf numFmtId="0" fontId="38" fillId="0" borderId="18" xfId="0" applyFont="1" applyBorder="1" applyAlignment="1">
      <alignment horizontal="left" vertical="center" wrapText="1"/>
    </xf>
    <xf numFmtId="0" fontId="40" fillId="5" borderId="6" xfId="0" applyFont="1" applyFill="1" applyBorder="1" applyAlignment="1">
      <alignment horizontal="center" vertical="center" wrapText="1"/>
    </xf>
    <xf numFmtId="0" fontId="40" fillId="0" borderId="0" xfId="0" applyFont="1" applyAlignment="1">
      <alignment horizontal="center" vertical="center" wrapText="1"/>
    </xf>
    <xf numFmtId="0" fontId="96" fillId="0" borderId="0" xfId="0" applyFont="1" applyAlignment="1">
      <alignment vertical="distributed" wrapText="1"/>
    </xf>
    <xf numFmtId="0" fontId="46" fillId="4" borderId="15" xfId="0" applyFont="1" applyFill="1" applyBorder="1" applyAlignment="1">
      <alignment horizontal="center" vertical="center" wrapText="1"/>
    </xf>
    <xf numFmtId="0" fontId="46" fillId="4" borderId="19" xfId="0" applyFont="1" applyFill="1" applyBorder="1" applyAlignment="1">
      <alignment horizontal="center" vertical="center" wrapText="1"/>
    </xf>
    <xf numFmtId="0" fontId="46" fillId="4" borderId="17" xfId="0" applyFont="1" applyFill="1" applyBorder="1" applyAlignment="1">
      <alignment horizontal="center" vertical="center" wrapText="1"/>
    </xf>
    <xf numFmtId="0" fontId="46" fillId="4" borderId="15" xfId="0" applyFont="1" applyFill="1" applyBorder="1" applyAlignment="1">
      <alignment horizontal="center" vertical="center"/>
    </xf>
    <xf numFmtId="0" fontId="46" fillId="4" borderId="19" xfId="0" applyFont="1" applyFill="1" applyBorder="1" applyAlignment="1">
      <alignment horizontal="center" vertical="center"/>
    </xf>
    <xf numFmtId="0" fontId="46" fillId="4" borderId="17" xfId="0" applyFont="1" applyFill="1" applyBorder="1" applyAlignment="1">
      <alignment horizontal="center" vertical="center"/>
    </xf>
    <xf numFmtId="0" fontId="40" fillId="5" borderId="14" xfId="0" applyFont="1" applyFill="1" applyBorder="1" applyAlignment="1">
      <alignment horizontal="center" vertical="center" wrapText="1"/>
    </xf>
    <xf numFmtId="0" fontId="40" fillId="5" borderId="18" xfId="0" applyFont="1" applyFill="1" applyBorder="1" applyAlignment="1">
      <alignment horizontal="center" vertical="center" wrapText="1"/>
    </xf>
    <xf numFmtId="0" fontId="40" fillId="5" borderId="16" xfId="0" applyFont="1" applyFill="1" applyBorder="1" applyAlignment="1">
      <alignment horizontal="center" vertical="center" wrapText="1"/>
    </xf>
    <xf numFmtId="0" fontId="40" fillId="5" borderId="12"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6" fillId="10" borderId="4" xfId="0" applyFont="1" applyFill="1" applyBorder="1" applyAlignment="1">
      <alignment horizontal="left" vertical="center"/>
    </xf>
    <xf numFmtId="0" fontId="46" fillId="10" borderId="5" xfId="0" applyFont="1" applyFill="1" applyBorder="1" applyAlignment="1">
      <alignment horizontal="left" vertical="center"/>
    </xf>
    <xf numFmtId="0" fontId="46" fillId="10" borderId="6" xfId="0" applyFont="1" applyFill="1" applyBorder="1" applyAlignment="1">
      <alignment horizontal="left" vertical="center"/>
    </xf>
    <xf numFmtId="0" fontId="43" fillId="44" borderId="0" xfId="0" applyFont="1" applyFill="1" applyAlignment="1">
      <alignment horizontal="left" vertical="top" wrapText="1"/>
    </xf>
    <xf numFmtId="0" fontId="40" fillId="5" borderId="4" xfId="0" applyFont="1" applyFill="1" applyBorder="1" applyAlignment="1">
      <alignment horizontal="center" vertical="center" wrapText="1"/>
    </xf>
    <xf numFmtId="0" fontId="16" fillId="10" borderId="26" xfId="0" applyFont="1" applyFill="1" applyBorder="1" applyAlignment="1">
      <alignment horizontal="center" vertical="center"/>
    </xf>
    <xf numFmtId="0" fontId="16" fillId="10" borderId="28" xfId="0" applyFont="1" applyFill="1" applyBorder="1" applyAlignment="1">
      <alignment horizontal="center" vertical="center"/>
    </xf>
    <xf numFmtId="0" fontId="16" fillId="10" borderId="30" xfId="0" applyFont="1" applyFill="1" applyBorder="1" applyAlignment="1">
      <alignment horizontal="center" vertical="center"/>
    </xf>
    <xf numFmtId="0" fontId="16" fillId="10" borderId="34" xfId="0" applyFont="1" applyFill="1" applyBorder="1" applyAlignment="1">
      <alignment horizontal="center" vertical="center"/>
    </xf>
    <xf numFmtId="0" fontId="16" fillId="10" borderId="55" xfId="0" applyFont="1" applyFill="1" applyBorder="1" applyAlignment="1">
      <alignment horizontal="center" vertical="center"/>
    </xf>
    <xf numFmtId="0" fontId="16" fillId="10" borderId="56" xfId="0" applyFont="1" applyFill="1" applyBorder="1" applyAlignment="1">
      <alignment horizontal="center" vertical="center"/>
    </xf>
    <xf numFmtId="0" fontId="16" fillId="10" borderId="20" xfId="0" applyFont="1" applyFill="1" applyBorder="1" applyAlignment="1">
      <alignment horizontal="center" vertical="center"/>
    </xf>
    <xf numFmtId="0" fontId="16" fillId="10" borderId="21" xfId="0" applyFont="1" applyFill="1" applyBorder="1" applyAlignment="1">
      <alignment horizontal="center" vertical="center"/>
    </xf>
    <xf numFmtId="0" fontId="16" fillId="10" borderId="22" xfId="0" applyFont="1" applyFill="1" applyBorder="1" applyAlignment="1">
      <alignment horizontal="center" vertical="center"/>
    </xf>
    <xf numFmtId="0" fontId="16" fillId="10" borderId="26" xfId="0" applyFont="1" applyFill="1" applyBorder="1" applyAlignment="1">
      <alignment horizontal="center" vertical="center" wrapText="1"/>
    </xf>
    <xf numFmtId="0" fontId="16" fillId="10" borderId="28" xfId="0" applyFont="1" applyFill="1" applyBorder="1" applyAlignment="1">
      <alignment horizontal="center" vertical="center" wrapText="1"/>
    </xf>
    <xf numFmtId="0" fontId="16" fillId="10" borderId="30"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97" fillId="0" borderId="7" xfId="0" applyFont="1" applyBorder="1" applyAlignment="1">
      <alignment horizontal="center" vertical="center" wrapText="1"/>
    </xf>
    <xf numFmtId="0" fontId="97" fillId="0" borderId="15" xfId="0" applyFont="1" applyBorder="1" applyAlignment="1">
      <alignment horizontal="center" vertical="center" wrapText="1"/>
    </xf>
    <xf numFmtId="0" fontId="16" fillId="10" borderId="4" xfId="0" applyFont="1" applyFill="1" applyBorder="1" applyAlignment="1">
      <alignment horizontal="center" vertical="center"/>
    </xf>
    <xf numFmtId="0" fontId="16" fillId="10" borderId="5" xfId="0" applyFont="1" applyFill="1" applyBorder="1" applyAlignment="1">
      <alignment horizontal="center" vertical="center"/>
    </xf>
    <xf numFmtId="0" fontId="16" fillId="10" borderId="6"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5" xfId="0" applyFont="1" applyBorder="1" applyAlignment="1">
      <alignment horizontal="center" vertical="center" wrapText="1"/>
    </xf>
    <xf numFmtId="0" fontId="43" fillId="44" borderId="0" xfId="0" quotePrefix="1" applyFont="1" applyFill="1" applyAlignment="1">
      <alignment horizontal="left" vertical="top" wrapText="1" indent="2"/>
    </xf>
    <xf numFmtId="0" fontId="43" fillId="44" borderId="0" xfId="0" quotePrefix="1" applyFont="1" applyFill="1" applyAlignment="1">
      <alignment horizontal="left" vertical="center"/>
    </xf>
    <xf numFmtId="0" fontId="46" fillId="10" borderId="7" xfId="0" applyFont="1" applyFill="1" applyBorder="1" applyAlignment="1">
      <alignment horizontal="left" vertical="center"/>
    </xf>
    <xf numFmtId="0" fontId="43" fillId="44" borderId="0" xfId="0" quotePrefix="1" applyFont="1" applyFill="1" applyAlignment="1">
      <alignment horizontal="left" vertical="center" wrapText="1"/>
    </xf>
    <xf numFmtId="0" fontId="43" fillId="44" borderId="0" xfId="0" applyFont="1" applyFill="1" applyAlignment="1">
      <alignment horizontal="left" vertical="top" wrapText="1" indent="2"/>
    </xf>
    <xf numFmtId="0" fontId="10" fillId="0" borderId="0" xfId="0" applyFont="1" applyAlignment="1">
      <alignment horizontal="center" vertical="center"/>
    </xf>
    <xf numFmtId="0" fontId="7" fillId="10" borderId="7" xfId="0" applyFont="1" applyFill="1" applyBorder="1" applyAlignment="1">
      <alignment horizontal="center" vertical="center"/>
    </xf>
    <xf numFmtId="0" fontId="7" fillId="10" borderId="4" xfId="0" applyFont="1" applyFill="1" applyBorder="1" applyAlignment="1">
      <alignment horizontal="center" vertical="center"/>
    </xf>
    <xf numFmtId="0" fontId="7" fillId="10" borderId="5" xfId="0" applyFont="1" applyFill="1" applyBorder="1" applyAlignment="1">
      <alignment horizontal="center" vertical="center"/>
    </xf>
    <xf numFmtId="0" fontId="40" fillId="5" borderId="15" xfId="0" applyFont="1" applyFill="1" applyBorder="1" applyAlignment="1">
      <alignment horizontal="center" vertical="center"/>
    </xf>
    <xf numFmtId="0" fontId="40" fillId="5" borderId="19" xfId="0" applyFont="1" applyFill="1" applyBorder="1" applyAlignment="1">
      <alignment horizontal="center" vertical="center"/>
    </xf>
    <xf numFmtId="0" fontId="40" fillId="5" borderId="17" xfId="0" applyFont="1" applyFill="1" applyBorder="1" applyAlignment="1">
      <alignment horizontal="center" vertical="center"/>
    </xf>
    <xf numFmtId="0" fontId="42" fillId="5" borderId="14" xfId="0" applyFont="1" applyFill="1" applyBorder="1" applyAlignment="1">
      <alignment horizontal="center" vertical="center" wrapText="1"/>
    </xf>
    <xf numFmtId="0" fontId="42" fillId="5" borderId="16" xfId="0" applyFont="1" applyFill="1" applyBorder="1" applyAlignment="1">
      <alignment horizontal="center" vertical="center" wrapText="1"/>
    </xf>
    <xf numFmtId="0" fontId="42" fillId="5" borderId="9"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5" xfId="0" applyFont="1" applyFill="1" applyBorder="1" applyAlignment="1">
      <alignment horizontal="center" vertical="center" wrapText="1"/>
    </xf>
    <xf numFmtId="0" fontId="42" fillId="5" borderId="6" xfId="0" applyFont="1" applyFill="1" applyBorder="1" applyAlignment="1">
      <alignment horizontal="center" vertical="center" wrapText="1"/>
    </xf>
    <xf numFmtId="0" fontId="42" fillId="5" borderId="15" xfId="0" applyFont="1" applyFill="1" applyBorder="1" applyAlignment="1">
      <alignment horizontal="center" vertical="center"/>
    </xf>
    <xf numFmtId="0" fontId="42" fillId="5" borderId="17" xfId="0" applyFont="1" applyFill="1" applyBorder="1" applyAlignment="1">
      <alignment horizontal="center" vertical="center"/>
    </xf>
    <xf numFmtId="0" fontId="40" fillId="0" borderId="9" xfId="0" applyFont="1" applyBorder="1" applyAlignment="1">
      <alignment horizontal="center" vertical="center"/>
    </xf>
    <xf numFmtId="0" fontId="41" fillId="44" borderId="0" xfId="0" applyFont="1" applyFill="1" applyAlignment="1">
      <alignment horizontal="left" vertical="center" wrapText="1"/>
    </xf>
    <xf numFmtId="0" fontId="42" fillId="5" borderId="4" xfId="0" applyFont="1" applyFill="1" applyBorder="1" applyAlignment="1">
      <alignment horizontal="center" vertical="center"/>
    </xf>
    <xf numFmtId="0" fontId="42" fillId="5" borderId="5" xfId="0" applyFont="1" applyFill="1" applyBorder="1" applyAlignment="1">
      <alignment horizontal="center" vertical="center"/>
    </xf>
    <xf numFmtId="0" fontId="42" fillId="5" borderId="6" xfId="0" applyFont="1" applyFill="1" applyBorder="1" applyAlignment="1">
      <alignment horizontal="center" vertical="center"/>
    </xf>
    <xf numFmtId="0" fontId="42" fillId="5" borderId="14" xfId="0" applyFont="1" applyFill="1" applyBorder="1" applyAlignment="1">
      <alignment horizontal="center" vertical="center"/>
    </xf>
    <xf numFmtId="0" fontId="41" fillId="44" borderId="0" xfId="0" applyFont="1" applyFill="1" applyAlignment="1">
      <alignment horizontal="left" vertical="top" wrapText="1"/>
    </xf>
    <xf numFmtId="0" fontId="41" fillId="44" borderId="0" xfId="0" applyFont="1" applyFill="1" applyAlignment="1">
      <alignment vertical="center" wrapText="1"/>
    </xf>
    <xf numFmtId="0" fontId="41" fillId="44" borderId="0" xfId="0" applyFont="1" applyFill="1"/>
    <xf numFmtId="0" fontId="43" fillId="44" borderId="0" xfId="0" applyFont="1" applyFill="1" applyAlignment="1">
      <alignment horizontal="left" vertical="top"/>
    </xf>
    <xf numFmtId="0" fontId="7" fillId="10" borderId="6" xfId="0" applyFont="1" applyFill="1" applyBorder="1" applyAlignment="1">
      <alignment horizontal="center" vertical="center"/>
    </xf>
    <xf numFmtId="0" fontId="42" fillId="5" borderId="7" xfId="0" applyFont="1" applyFill="1" applyBorder="1" applyAlignment="1">
      <alignment horizontal="center"/>
    </xf>
    <xf numFmtId="0" fontId="40" fillId="5" borderId="7" xfId="0" applyFont="1" applyFill="1" applyBorder="1" applyAlignment="1">
      <alignment horizontal="center" vertical="center" wrapText="1"/>
    </xf>
    <xf numFmtId="0" fontId="42" fillId="5" borderId="7" xfId="0" applyFont="1" applyFill="1" applyBorder="1" applyAlignment="1">
      <alignment horizontal="center" vertical="center"/>
    </xf>
    <xf numFmtId="0" fontId="41" fillId="44" borderId="0" xfId="0" applyFont="1" applyFill="1" applyAlignment="1">
      <alignment horizontal="left" vertical="center" wrapText="1" indent="5"/>
    </xf>
    <xf numFmtId="0" fontId="42" fillId="5" borderId="4" xfId="0" applyFont="1" applyFill="1" applyBorder="1" applyAlignment="1">
      <alignment horizontal="center"/>
    </xf>
    <xf numFmtId="0" fontId="42" fillId="5" borderId="6" xfId="0" applyFont="1" applyFill="1" applyBorder="1" applyAlignment="1">
      <alignment horizontal="center"/>
    </xf>
    <xf numFmtId="0" fontId="42" fillId="44" borderId="0" xfId="0" applyFont="1" applyFill="1" applyAlignment="1">
      <alignment horizontal="left" vertical="top" wrapText="1"/>
    </xf>
    <xf numFmtId="0" fontId="55" fillId="44" borderId="0" xfId="0" applyFont="1" applyFill="1" applyAlignment="1">
      <alignment horizontal="left" vertical="center" wrapText="1" indent="3"/>
    </xf>
    <xf numFmtId="0" fontId="41" fillId="44" borderId="0" xfId="0" applyFont="1" applyFill="1" applyAlignment="1">
      <alignment horizontal="left" vertical="center" wrapText="1" indent="7"/>
    </xf>
    <xf numFmtId="0" fontId="41" fillId="0" borderId="0" xfId="0" applyFont="1" applyAlignment="1">
      <alignment horizontal="left" vertical="center" wrapText="1" indent="5"/>
    </xf>
    <xf numFmtId="0" fontId="42" fillId="5" borderId="19" xfId="0" applyFont="1" applyFill="1" applyBorder="1" applyAlignment="1">
      <alignment horizontal="center" vertical="center"/>
    </xf>
    <xf numFmtId="0" fontId="2" fillId="5" borderId="15"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2" fillId="5" borderId="15" xfId="0" applyFont="1" applyFill="1" applyBorder="1" applyAlignment="1">
      <alignment horizontal="center" vertical="center"/>
    </xf>
    <xf numFmtId="0" fontId="2" fillId="5" borderId="19" xfId="0" applyFont="1" applyFill="1" applyBorder="1" applyAlignment="1">
      <alignment horizontal="center" vertical="center"/>
    </xf>
    <xf numFmtId="0" fontId="2" fillId="5" borderId="17" xfId="0" applyFont="1" applyFill="1" applyBorder="1" applyAlignment="1">
      <alignment horizontal="center" vertical="center"/>
    </xf>
    <xf numFmtId="0" fontId="46" fillId="4" borderId="14" xfId="0" applyFont="1" applyFill="1" applyBorder="1" applyAlignment="1">
      <alignment horizontal="center" vertical="center" wrapText="1"/>
    </xf>
    <xf numFmtId="0" fontId="46" fillId="4" borderId="9" xfId="0" applyFont="1" applyFill="1" applyBorder="1" applyAlignment="1">
      <alignment horizontal="center" vertical="center" wrapText="1"/>
    </xf>
    <xf numFmtId="0" fontId="46" fillId="4" borderId="11" xfId="0" applyFont="1" applyFill="1" applyBorder="1" applyAlignment="1">
      <alignment horizontal="center" vertical="center" wrapText="1"/>
    </xf>
    <xf numFmtId="0" fontId="46" fillId="4" borderId="16" xfId="0" applyFont="1" applyFill="1" applyBorder="1" applyAlignment="1">
      <alignment horizontal="center" vertical="center" wrapText="1"/>
    </xf>
    <xf numFmtId="0" fontId="46" fillId="4" borderId="13" xfId="0" applyFont="1" applyFill="1" applyBorder="1" applyAlignment="1">
      <alignment horizontal="center" vertical="center" wrapText="1"/>
    </xf>
    <xf numFmtId="0" fontId="46" fillId="28" borderId="15" xfId="0" applyFont="1" applyFill="1" applyBorder="1" applyAlignment="1">
      <alignment horizontal="center" vertical="center" wrapText="1"/>
    </xf>
    <xf numFmtId="0" fontId="46" fillId="28" borderId="19" xfId="0" applyFont="1" applyFill="1" applyBorder="1" applyAlignment="1">
      <alignment horizontal="center" vertical="center" wrapText="1"/>
    </xf>
    <xf numFmtId="0" fontId="46" fillId="28" borderId="17" xfId="0" applyFont="1" applyFill="1" applyBorder="1" applyAlignment="1">
      <alignment horizontal="center" vertical="center" wrapText="1"/>
    </xf>
    <xf numFmtId="0" fontId="46" fillId="28" borderId="4" xfId="0" applyFont="1" applyFill="1" applyBorder="1" applyAlignment="1">
      <alignment horizontal="center" wrapText="1" readingOrder="1"/>
    </xf>
    <xf numFmtId="0" fontId="46" fillId="28" borderId="6" xfId="0" applyFont="1" applyFill="1" applyBorder="1" applyAlignment="1">
      <alignment horizontal="center" wrapText="1" readingOrder="1"/>
    </xf>
    <xf numFmtId="0" fontId="85" fillId="4" borderId="4" xfId="0" applyFont="1" applyFill="1" applyBorder="1" applyAlignment="1">
      <alignment horizontal="center" vertical="center" wrapText="1"/>
    </xf>
    <xf numFmtId="0" fontId="85" fillId="4" borderId="5" xfId="0" applyFont="1" applyFill="1" applyBorder="1" applyAlignment="1">
      <alignment horizontal="center" vertical="center" wrapText="1"/>
    </xf>
    <xf numFmtId="0" fontId="85" fillId="4" borderId="6" xfId="0" applyFont="1" applyFill="1" applyBorder="1" applyAlignment="1">
      <alignment horizontal="center" vertical="center" wrapText="1"/>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43" fillId="0" borderId="17" xfId="0" applyFont="1" applyBorder="1" applyAlignment="1">
      <alignment horizontal="center" vertical="center"/>
    </xf>
    <xf numFmtId="0" fontId="43" fillId="0" borderId="15" xfId="0" applyFont="1" applyBorder="1" applyAlignment="1">
      <alignment horizontal="center" vertical="center"/>
    </xf>
    <xf numFmtId="0" fontId="85" fillId="4" borderId="15" xfId="0" applyFont="1" applyFill="1" applyBorder="1" applyAlignment="1">
      <alignment horizontal="center" vertical="center" wrapText="1"/>
    </xf>
    <xf numFmtId="0" fontId="85" fillId="4" borderId="19" xfId="0" applyFont="1" applyFill="1" applyBorder="1" applyAlignment="1">
      <alignment horizontal="center" vertical="center" wrapText="1"/>
    </xf>
    <xf numFmtId="0" fontId="85" fillId="4" borderId="17" xfId="0" applyFont="1" applyFill="1" applyBorder="1" applyAlignment="1">
      <alignment horizontal="center" vertical="center" wrapText="1"/>
    </xf>
    <xf numFmtId="0" fontId="85" fillId="4" borderId="15" xfId="0" applyFont="1" applyFill="1" applyBorder="1" applyAlignment="1">
      <alignment horizontal="center" vertical="center"/>
    </xf>
    <xf numFmtId="0" fontId="85" fillId="4" borderId="19" xfId="0" applyFont="1" applyFill="1" applyBorder="1" applyAlignment="1">
      <alignment horizontal="center" vertical="center"/>
    </xf>
    <xf numFmtId="0" fontId="85" fillId="4" borderId="17" xfId="0" applyFont="1" applyFill="1" applyBorder="1" applyAlignment="1">
      <alignment horizontal="center" vertical="center"/>
    </xf>
    <xf numFmtId="0" fontId="43" fillId="13" borderId="15" xfId="0" applyFont="1" applyFill="1" applyBorder="1" applyAlignment="1">
      <alignment horizontal="center" vertical="center"/>
    </xf>
    <xf numFmtId="0" fontId="43" fillId="13" borderId="19" xfId="0" applyFont="1" applyFill="1" applyBorder="1" applyAlignment="1">
      <alignment horizontal="center" vertical="center"/>
    </xf>
    <xf numFmtId="0" fontId="43" fillId="13" borderId="17" xfId="0" applyFont="1" applyFill="1" applyBorder="1" applyAlignment="1">
      <alignment horizontal="center" vertical="center"/>
    </xf>
    <xf numFmtId="0" fontId="46" fillId="4" borderId="5" xfId="0" applyFont="1" applyFill="1" applyBorder="1" applyAlignment="1">
      <alignment horizontal="center" vertical="center"/>
    </xf>
    <xf numFmtId="0" fontId="43" fillId="2" borderId="15" xfId="0" applyFont="1" applyFill="1" applyBorder="1" applyAlignment="1">
      <alignment horizontal="center" vertical="center" wrapText="1"/>
    </xf>
    <xf numFmtId="0" fontId="43" fillId="2" borderId="19" xfId="0" applyFont="1" applyFill="1" applyBorder="1" applyAlignment="1">
      <alignment horizontal="center" vertical="center" wrapText="1"/>
    </xf>
    <xf numFmtId="0" fontId="43" fillId="2" borderId="17" xfId="0" applyFont="1" applyFill="1" applyBorder="1" applyAlignment="1">
      <alignment horizontal="center" vertical="center" wrapText="1"/>
    </xf>
    <xf numFmtId="0" fontId="46" fillId="4" borderId="4" xfId="0" applyFont="1" applyFill="1" applyBorder="1" applyAlignment="1">
      <alignment horizontal="left" vertical="center" indent="1"/>
    </xf>
    <xf numFmtId="0" fontId="46" fillId="4" borderId="5" xfId="0" applyFont="1" applyFill="1" applyBorder="1" applyAlignment="1">
      <alignment horizontal="left" vertical="center" indent="1"/>
    </xf>
    <xf numFmtId="0" fontId="46" fillId="4" borderId="6" xfId="0" applyFont="1" applyFill="1" applyBorder="1" applyAlignment="1">
      <alignment horizontal="left" vertical="center" indent="1"/>
    </xf>
    <xf numFmtId="0" fontId="43" fillId="0" borderId="76" xfId="0" quotePrefix="1" applyFont="1" applyBorder="1" applyAlignment="1">
      <alignment horizontal="left"/>
    </xf>
    <xf numFmtId="0" fontId="43" fillId="0" borderId="76" xfId="0" applyFont="1" applyBorder="1" applyAlignment="1">
      <alignment horizontal="left"/>
    </xf>
    <xf numFmtId="0" fontId="46" fillId="43" borderId="76" xfId="0" applyFont="1" applyFill="1" applyBorder="1" applyAlignment="1">
      <alignment horizontal="left"/>
    </xf>
    <xf numFmtId="0" fontId="0" fillId="0" borderId="75" xfId="0" applyBorder="1" applyAlignment="1">
      <alignment horizontal="left" vertical="center" wrapText="1"/>
    </xf>
    <xf numFmtId="0" fontId="2" fillId="31" borderId="7" xfId="0" applyFont="1" applyFill="1" applyBorder="1" applyAlignment="1">
      <alignment horizontal="center" vertical="center"/>
    </xf>
    <xf numFmtId="0" fontId="2" fillId="21" borderId="7" xfId="0" applyFont="1" applyFill="1" applyBorder="1" applyAlignment="1">
      <alignment horizontal="center" vertical="center"/>
    </xf>
    <xf numFmtId="0" fontId="2" fillId="21" borderId="15" xfId="0" applyFont="1" applyFill="1" applyBorder="1" applyAlignment="1">
      <alignment horizontal="center" vertical="center"/>
    </xf>
    <xf numFmtId="0" fontId="2" fillId="21" borderId="19" xfId="0" applyFont="1" applyFill="1" applyBorder="1" applyAlignment="1">
      <alignment horizontal="center" vertical="center"/>
    </xf>
    <xf numFmtId="0" fontId="2" fillId="21" borderId="17" xfId="0" applyFont="1" applyFill="1" applyBorder="1" applyAlignment="1">
      <alignment horizontal="center" vertical="center"/>
    </xf>
    <xf numFmtId="0" fontId="2" fillId="25" borderId="7" xfId="0" applyFont="1" applyFill="1" applyBorder="1" applyAlignment="1">
      <alignment horizontal="center" vertical="center" wrapText="1"/>
    </xf>
    <xf numFmtId="0" fontId="2" fillId="25" borderId="7" xfId="0" applyFont="1" applyFill="1" applyBorder="1" applyAlignment="1">
      <alignment horizontal="center" vertical="center"/>
    </xf>
    <xf numFmtId="0" fontId="42" fillId="8" borderId="4" xfId="0" applyFont="1" applyFill="1" applyBorder="1" applyAlignment="1">
      <alignment horizontal="center" vertical="center" wrapText="1"/>
    </xf>
    <xf numFmtId="0" fontId="42" fillId="8" borderId="5"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42" fillId="8" borderId="0" xfId="0" applyFont="1" applyFill="1" applyAlignment="1">
      <alignment horizontal="center" vertical="center"/>
    </xf>
    <xf numFmtId="0" fontId="42" fillId="5" borderId="9" xfId="0" applyFont="1" applyFill="1" applyBorder="1" applyAlignment="1">
      <alignment horizontal="center" vertical="center"/>
    </xf>
    <xf numFmtId="0" fontId="42" fillId="5" borderId="11" xfId="0" applyFont="1" applyFill="1" applyBorder="1" applyAlignment="1">
      <alignment horizontal="center" vertical="center"/>
    </xf>
    <xf numFmtId="0" fontId="42" fillId="5" borderId="0" xfId="0" applyFont="1" applyFill="1" applyAlignment="1">
      <alignment horizontal="center" vertical="center"/>
    </xf>
    <xf numFmtId="0" fontId="42" fillId="5" borderId="12" xfId="0" applyFont="1" applyFill="1" applyBorder="1" applyAlignment="1">
      <alignment horizontal="center" vertical="center"/>
    </xf>
    <xf numFmtId="0" fontId="42" fillId="5" borderId="0" xfId="0" applyFont="1" applyFill="1" applyAlignment="1">
      <alignment horizontal="center" vertical="center" wrapText="1"/>
    </xf>
    <xf numFmtId="0" fontId="42" fillId="5" borderId="12" xfId="0" applyFont="1" applyFill="1" applyBorder="1" applyAlignment="1">
      <alignment horizontal="center" vertical="center" wrapText="1"/>
    </xf>
    <xf numFmtId="0" fontId="2" fillId="22" borderId="4" xfId="0" applyFont="1" applyFill="1" applyBorder="1" applyAlignment="1">
      <alignment horizontal="center"/>
    </xf>
    <xf numFmtId="0" fontId="2" fillId="22" borderId="6" xfId="0" applyFont="1" applyFill="1" applyBorder="1" applyAlignment="1">
      <alignment horizontal="center"/>
    </xf>
    <xf numFmtId="0" fontId="2" fillId="22" borderId="4" xfId="0" applyFont="1" applyFill="1" applyBorder="1" applyAlignment="1">
      <alignment horizontal="left"/>
    </xf>
    <xf numFmtId="0" fontId="2" fillId="22" borderId="6" xfId="0" applyFont="1" applyFill="1" applyBorder="1" applyAlignment="1">
      <alignment horizontal="left"/>
    </xf>
    <xf numFmtId="0" fontId="2" fillId="6" borderId="0" xfId="0" applyFont="1" applyFill="1" applyAlignment="1">
      <alignment horizontal="center"/>
    </xf>
    <xf numFmtId="0" fontId="57" fillId="0" borderId="15" xfId="0" applyFont="1" applyBorder="1" applyAlignment="1">
      <alignment horizontal="center" vertical="center"/>
    </xf>
    <xf numFmtId="0" fontId="57" fillId="0" borderId="19" xfId="0" applyFont="1" applyBorder="1" applyAlignment="1">
      <alignment horizontal="center" vertical="center"/>
    </xf>
    <xf numFmtId="0" fontId="57" fillId="0" borderId="17" xfId="0" applyFont="1" applyBorder="1" applyAlignment="1">
      <alignment horizontal="center" vertical="center"/>
    </xf>
    <xf numFmtId="0" fontId="0" fillId="0" borderId="15"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25" fillId="37" borderId="7" xfId="0" applyFont="1" applyFill="1" applyBorder="1" applyAlignment="1">
      <alignment horizontal="center" vertical="center"/>
    </xf>
    <xf numFmtId="0" fontId="16" fillId="19" borderId="4" xfId="0" applyFont="1" applyFill="1" applyBorder="1" applyAlignment="1">
      <alignment horizontal="center" vertical="center"/>
    </xf>
    <xf numFmtId="0" fontId="16" fillId="19" borderId="5" xfId="0" applyFont="1" applyFill="1" applyBorder="1" applyAlignment="1">
      <alignment horizontal="center" vertical="center"/>
    </xf>
    <xf numFmtId="0" fontId="16" fillId="19" borderId="6" xfId="0" applyFont="1" applyFill="1" applyBorder="1" applyAlignment="1">
      <alignment horizontal="center" vertical="center"/>
    </xf>
    <xf numFmtId="0" fontId="25" fillId="19" borderId="18" xfId="0" applyFont="1" applyFill="1" applyBorder="1" applyAlignment="1">
      <alignment horizontal="center" vertical="center"/>
    </xf>
    <xf numFmtId="0" fontId="25" fillId="19" borderId="16" xfId="0" applyFont="1" applyFill="1" applyBorder="1" applyAlignment="1">
      <alignment horizontal="center" vertical="center"/>
    </xf>
    <xf numFmtId="0" fontId="25" fillId="19" borderId="0" xfId="0" applyFont="1" applyFill="1" applyAlignment="1">
      <alignment horizontal="center" vertical="center"/>
    </xf>
    <xf numFmtId="0" fontId="25" fillId="19" borderId="10" xfId="0" applyFont="1" applyFill="1" applyBorder="1" applyAlignment="1">
      <alignment horizontal="center" vertical="center"/>
    </xf>
    <xf numFmtId="0" fontId="25" fillId="19" borderId="12" xfId="0" applyFont="1" applyFill="1" applyBorder="1" applyAlignment="1">
      <alignment horizontal="center" vertical="center"/>
    </xf>
    <xf numFmtId="0" fontId="25" fillId="19" borderId="13" xfId="0" applyFont="1" applyFill="1" applyBorder="1" applyAlignment="1">
      <alignment horizontal="center" vertical="center"/>
    </xf>
    <xf numFmtId="0" fontId="16" fillId="10" borderId="4"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6" fillId="10" borderId="15" xfId="0" applyFont="1" applyFill="1" applyBorder="1" applyAlignment="1">
      <alignment horizontal="center" vertical="center"/>
    </xf>
    <xf numFmtId="0" fontId="16" fillId="10" borderId="17" xfId="0" applyFont="1" applyFill="1" applyBorder="1" applyAlignment="1">
      <alignment horizontal="center" vertical="center"/>
    </xf>
    <xf numFmtId="0" fontId="0" fillId="0" borderId="10" xfId="0"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16" fillId="37" borderId="4" xfId="0" applyFont="1" applyFill="1" applyBorder="1" applyAlignment="1">
      <alignment horizontal="center" vertical="center"/>
    </xf>
    <xf numFmtId="0" fontId="16" fillId="37" borderId="6" xfId="0" applyFont="1" applyFill="1" applyBorder="1" applyAlignment="1">
      <alignment horizontal="center" vertical="center"/>
    </xf>
    <xf numFmtId="0" fontId="2" fillId="5" borderId="15" xfId="0" applyFont="1" applyFill="1" applyBorder="1" applyAlignment="1">
      <alignment horizontal="center" vertical="top"/>
    </xf>
    <xf numFmtId="0" fontId="2" fillId="5" borderId="19" xfId="0" applyFont="1" applyFill="1" applyBorder="1" applyAlignment="1">
      <alignment horizontal="center" vertical="top"/>
    </xf>
    <xf numFmtId="0" fontId="2" fillId="5" borderId="17" xfId="0" applyFont="1" applyFill="1" applyBorder="1" applyAlignment="1">
      <alignment horizontal="center" vertical="top"/>
    </xf>
    <xf numFmtId="0" fontId="115" fillId="5" borderId="15" xfId="0" applyFont="1" applyFill="1" applyBorder="1" applyAlignment="1">
      <alignment horizontal="center" vertical="top"/>
    </xf>
    <xf numFmtId="0" fontId="115" fillId="5" borderId="19" xfId="0" applyFont="1" applyFill="1" applyBorder="1" applyAlignment="1">
      <alignment horizontal="center" vertical="top"/>
    </xf>
    <xf numFmtId="0" fontId="115" fillId="5" borderId="17" xfId="0" applyFont="1" applyFill="1" applyBorder="1" applyAlignment="1">
      <alignment horizontal="center" vertical="top"/>
    </xf>
    <xf numFmtId="0" fontId="6" fillId="5" borderId="17" xfId="0" applyFont="1" applyFill="1" applyBorder="1" applyAlignment="1">
      <alignment horizontal="center" vertical="center" wrapText="1"/>
    </xf>
    <xf numFmtId="0" fontId="6" fillId="5" borderId="7" xfId="0" applyFont="1" applyFill="1" applyBorder="1" applyAlignment="1">
      <alignment horizontal="center" vertical="top" wrapText="1"/>
    </xf>
    <xf numFmtId="0" fontId="2" fillId="5" borderId="7" xfId="0" applyFont="1" applyFill="1" applyBorder="1" applyAlignment="1">
      <alignment horizontal="center"/>
    </xf>
    <xf numFmtId="0" fontId="2" fillId="5" borderId="4" xfId="0" applyFont="1" applyFill="1" applyBorder="1" applyAlignment="1">
      <alignment horizontal="center"/>
    </xf>
    <xf numFmtId="0" fontId="0" fillId="5" borderId="7" xfId="0" applyFill="1" applyBorder="1" applyAlignment="1">
      <alignment horizontal="center"/>
    </xf>
    <xf numFmtId="0" fontId="116" fillId="5" borderId="7" xfId="0" applyFont="1" applyFill="1" applyBorder="1" applyAlignment="1">
      <alignment horizontal="center" vertical="top" wrapText="1"/>
    </xf>
    <xf numFmtId="0" fontId="6" fillId="5" borderId="15"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17" xfId="0" applyFont="1" applyFill="1" applyBorder="1" applyAlignment="1">
      <alignment horizontal="center" vertical="center"/>
    </xf>
    <xf numFmtId="0" fontId="0" fillId="25" borderId="64" xfId="0" applyFill="1" applyBorder="1" applyAlignment="1">
      <alignment horizontal="center" vertical="top"/>
    </xf>
    <xf numFmtId="0" fontId="0" fillId="25" borderId="65" xfId="0" applyFill="1" applyBorder="1" applyAlignment="1">
      <alignment horizontal="center" vertical="top"/>
    </xf>
    <xf numFmtId="0" fontId="0" fillId="25" borderId="66" xfId="0" applyFill="1" applyBorder="1" applyAlignment="1">
      <alignment horizontal="center" vertical="top"/>
    </xf>
    <xf numFmtId="0" fontId="6" fillId="5" borderId="14"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21" fillId="17" borderId="69" xfId="0" applyFont="1" applyFill="1" applyBorder="1" applyAlignment="1">
      <alignment horizontal="center" vertical="center" wrapText="1" readingOrder="1"/>
    </xf>
    <xf numFmtId="0" fontId="21" fillId="17" borderId="70" xfId="0" applyFont="1" applyFill="1" applyBorder="1" applyAlignment="1">
      <alignment horizontal="center" vertical="center" wrapText="1" readingOrder="1"/>
    </xf>
    <xf numFmtId="0" fontId="46" fillId="10" borderId="4" xfId="0" applyFont="1" applyFill="1" applyBorder="1" applyAlignment="1">
      <alignment horizontal="left" vertical="center" wrapText="1"/>
    </xf>
    <xf numFmtId="0" fontId="46" fillId="10" borderId="5" xfId="0" applyFont="1" applyFill="1" applyBorder="1" applyAlignment="1">
      <alignment horizontal="left" vertical="center" wrapText="1"/>
    </xf>
    <xf numFmtId="165" fontId="46" fillId="4" borderId="4" xfId="2" applyNumberFormat="1" applyFont="1" applyFill="1" applyBorder="1" applyAlignment="1">
      <alignment horizontal="center" vertical="center"/>
    </xf>
    <xf numFmtId="165" fontId="46" fillId="4" borderId="5" xfId="2" applyNumberFormat="1" applyFont="1" applyFill="1" applyBorder="1" applyAlignment="1">
      <alignment horizontal="center" vertical="center"/>
    </xf>
    <xf numFmtId="165" fontId="46" fillId="4" borderId="6" xfId="2" applyNumberFormat="1" applyFont="1" applyFill="1" applyBorder="1" applyAlignment="1">
      <alignment horizontal="center" vertical="center"/>
    </xf>
    <xf numFmtId="0" fontId="43" fillId="22" borderId="0" xfId="0" applyFont="1" applyFill="1" applyAlignment="1">
      <alignment horizontal="left" vertical="top" wrapText="1"/>
    </xf>
    <xf numFmtId="0" fontId="43" fillId="22" borderId="0" xfId="0" quotePrefix="1" applyFont="1" applyFill="1" applyAlignment="1">
      <alignment horizontal="left" vertical="top" wrapText="1"/>
    </xf>
    <xf numFmtId="0" fontId="68" fillId="0" borderId="0" xfId="0" applyFont="1" applyAlignment="1">
      <alignment horizontal="center"/>
    </xf>
    <xf numFmtId="0" fontId="46" fillId="10" borderId="4" xfId="0" applyFont="1" applyFill="1" applyBorder="1" applyAlignment="1">
      <alignment horizontal="center" vertical="center"/>
    </xf>
    <xf numFmtId="0" fontId="46" fillId="10" borderId="5" xfId="0" applyFont="1" applyFill="1" applyBorder="1" applyAlignment="1">
      <alignment horizontal="center" vertical="center"/>
    </xf>
    <xf numFmtId="0" fontId="46" fillId="10" borderId="6" xfId="0" applyFont="1" applyFill="1" applyBorder="1" applyAlignment="1">
      <alignment horizontal="center" vertical="center"/>
    </xf>
    <xf numFmtId="0" fontId="46" fillId="10" borderId="6" xfId="0" applyFont="1" applyFill="1" applyBorder="1" applyAlignment="1">
      <alignment horizontal="left" vertical="center" wrapText="1"/>
    </xf>
    <xf numFmtId="0" fontId="41" fillId="22" borderId="0" xfId="0" applyFont="1" applyFill="1" applyAlignment="1">
      <alignment horizontal="left" vertical="top" wrapText="1"/>
    </xf>
    <xf numFmtId="0" fontId="43" fillId="0" borderId="0" xfId="0" applyFont="1" applyAlignment="1">
      <alignment horizontal="left" vertical="center" wrapText="1"/>
    </xf>
    <xf numFmtId="0" fontId="42" fillId="32" borderId="7" xfId="0" applyFont="1" applyFill="1" applyBorder="1" applyAlignment="1">
      <alignment horizontal="left" vertical="top" wrapText="1"/>
    </xf>
    <xf numFmtId="0" fontId="41" fillId="22" borderId="7" xfId="0" applyFont="1" applyFill="1" applyBorder="1" applyAlignment="1">
      <alignment horizontal="left" vertical="top" wrapText="1"/>
    </xf>
  </cellXfs>
  <cellStyles count="10">
    <cellStyle name="60% - Cor2" xfId="8" builtinId="36"/>
    <cellStyle name="Editáveis" xfId="6" xr:uid="{856D5C0E-25B2-4826-B462-8DA17CEB6D0B}"/>
    <cellStyle name="Escopo 1" xfId="4" xr:uid="{B2B1E8A3-5DBC-4D29-9C1A-B8D64674982F}"/>
    <cellStyle name="Exemplo" xfId="7" xr:uid="{08CE30BC-C49F-40E1-98CA-557D1E131386}"/>
    <cellStyle name="Hiperligação" xfId="3" builtinId="8"/>
    <cellStyle name="Normal" xfId="0" builtinId="0"/>
    <cellStyle name="Normal 2" xfId="9" xr:uid="{E3E1C142-F8F6-4840-B6F3-9FC42CE5509A}"/>
    <cellStyle name="Percentagem" xfId="5" builtinId="5"/>
    <cellStyle name="Vírgula" xfId="2" builtinId="3"/>
    <cellStyle name="Vírgula 3" xfId="1" xr:uid="{9CC4C78A-8A05-4757-A08C-FA03EE1B7983}"/>
  </cellStyles>
  <dxfs count="82">
    <dxf>
      <font>
        <color theme="0"/>
      </font>
    </dxf>
    <dxf>
      <font>
        <color rgb="FFFF0000"/>
      </font>
      <fill>
        <patternFill patternType="darkUp">
          <fgColor auto="1"/>
          <bgColor auto="1"/>
        </patternFill>
      </fill>
    </dxf>
    <dxf>
      <font>
        <color auto="1"/>
      </font>
      <fill>
        <patternFill>
          <bgColor theme="8" tint="0.59996337778862885"/>
        </patternFill>
      </fill>
    </dxf>
    <dxf>
      <font>
        <color rgb="FFC00000"/>
      </font>
    </dxf>
    <dxf>
      <font>
        <color rgb="FFC00000"/>
      </font>
    </dxf>
    <dxf>
      <font>
        <color rgb="FFC00000"/>
      </font>
    </dxf>
    <dxf>
      <font>
        <b/>
        <i val="0"/>
        <color rgb="FFFF0000"/>
      </font>
    </dxf>
    <dxf>
      <fill>
        <patternFill patternType="darkUp">
          <fgColor auto="1"/>
          <bgColor auto="1"/>
        </patternFill>
      </fill>
    </dxf>
    <dxf>
      <fill>
        <patternFill patternType="darkUp">
          <fgColor auto="1"/>
          <bgColor auto="1"/>
        </patternFill>
      </fill>
    </dxf>
    <dxf>
      <fill>
        <patternFill patternType="darkUp">
          <fgColor auto="1"/>
          <bgColor theme="0"/>
        </patternFill>
      </fill>
    </dxf>
    <dxf>
      <fill>
        <patternFill patternType="darkUp">
          <fgColor auto="1"/>
          <bgColor theme="0"/>
        </patternFill>
      </fill>
    </dxf>
    <dxf>
      <fill>
        <patternFill patternType="darkUp">
          <fgColor theme="1"/>
        </patternFill>
      </fill>
    </dxf>
    <dxf>
      <font>
        <color theme="0"/>
      </font>
    </dxf>
    <dxf>
      <font>
        <color theme="0"/>
      </font>
      <fill>
        <patternFill patternType="darkUp">
          <fgColor auto="1"/>
          <bgColor auto="1"/>
        </patternFill>
      </fill>
    </dxf>
    <dxf>
      <fill>
        <patternFill patternType="darkUp">
          <fgColor auto="1"/>
          <bgColor auto="1"/>
        </patternFill>
      </fill>
    </dxf>
    <dxf>
      <fill>
        <patternFill patternType="darkUp">
          <fgColor auto="1"/>
        </patternFill>
      </fill>
    </dxf>
    <dxf>
      <fill>
        <patternFill patternType="solid">
          <fgColor theme="0"/>
          <bgColor theme="5" tint="0.79998168889431442"/>
        </patternFill>
      </fill>
    </dxf>
    <dxf>
      <fill>
        <patternFill patternType="solid">
          <fgColor theme="0"/>
          <bgColor theme="5" tint="0.79998168889431442"/>
        </patternFill>
      </fill>
    </dxf>
    <dxf>
      <fill>
        <patternFill patternType="solid">
          <fgColor theme="0"/>
          <bgColor theme="5" tint="0.79998168889431442"/>
        </patternFill>
      </fill>
    </dxf>
    <dxf>
      <fill>
        <patternFill patternType="darkUp">
          <fgColor auto="1"/>
          <bgColor auto="1"/>
        </patternFill>
      </fill>
    </dxf>
    <dxf>
      <font>
        <color auto="1"/>
      </font>
    </dxf>
    <dxf>
      <font>
        <color auto="1"/>
      </font>
    </dxf>
    <dxf>
      <font>
        <color theme="1"/>
      </font>
    </dxf>
    <dxf>
      <font>
        <color theme="1"/>
      </font>
    </dxf>
    <dxf>
      <font>
        <color theme="1"/>
      </font>
      <fill>
        <patternFill>
          <bgColor theme="0"/>
        </patternFill>
      </fill>
    </dxf>
    <dxf>
      <fill>
        <patternFill patternType="solid">
          <fgColor theme="0"/>
          <bgColor theme="5" tint="0.79998168889431442"/>
        </patternFill>
      </fill>
    </dxf>
    <dxf>
      <fill>
        <patternFill patternType="solid">
          <fgColor theme="0"/>
          <bgColor theme="5" tint="0.79998168889431442"/>
        </patternFill>
      </fill>
    </dxf>
    <dxf>
      <fill>
        <patternFill patternType="solid">
          <fgColor theme="0"/>
          <bgColor theme="5" tint="0.79998168889431442"/>
        </patternFill>
      </fill>
    </dxf>
    <dxf>
      <fill>
        <patternFill patternType="solid">
          <bgColor theme="5" tint="0.79998168889431442"/>
        </patternFill>
      </fill>
    </dxf>
    <dxf>
      <fill>
        <patternFill patternType="solid">
          <bgColor theme="5" tint="0.79998168889431442"/>
        </patternFill>
      </fill>
    </dxf>
    <dxf>
      <font>
        <color auto="1"/>
      </font>
      <fill>
        <patternFill patternType="solid">
          <bgColor theme="5" tint="0.79998168889431442"/>
        </patternFill>
      </fill>
    </dxf>
    <dxf>
      <fill>
        <patternFill patternType="darkUp">
          <fgColor auto="1"/>
          <bgColor auto="1"/>
        </patternFill>
      </fill>
    </dxf>
    <dxf>
      <fill>
        <patternFill patternType="darkUp">
          <bgColor theme="0"/>
        </patternFill>
      </fill>
    </dxf>
    <dxf>
      <fill>
        <patternFill patternType="darkUp">
          <fgColor auto="1"/>
          <bgColor auto="1"/>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darkUp">
          <fgColor auto="1"/>
          <bgColor auto="1"/>
        </patternFill>
      </fill>
    </dxf>
    <dxf>
      <font>
        <strike val="0"/>
        <u/>
        <color rgb="FFC00000"/>
      </font>
      <fill>
        <patternFill>
          <bgColor theme="7" tint="0.59996337778862885"/>
        </patternFill>
      </fill>
    </dxf>
    <dxf>
      <font>
        <b/>
        <i val="0"/>
        <strike val="0"/>
        <color rgb="FFC00000"/>
      </font>
    </dxf>
    <dxf>
      <font>
        <color rgb="FFFF0000"/>
      </font>
      <fill>
        <patternFill patternType="darkUp">
          <fgColor auto="1"/>
          <bgColor theme="0"/>
        </patternFill>
      </fill>
    </dxf>
    <dxf>
      <fill>
        <patternFill>
          <bgColor theme="5" tint="0.79998168889431442"/>
        </patternFill>
      </fill>
    </dxf>
    <dxf>
      <font>
        <b/>
        <i val="0"/>
        <color rgb="FFC00000"/>
      </font>
    </dxf>
    <dxf>
      <font>
        <color auto="1"/>
      </font>
      <fill>
        <patternFill>
          <bgColor theme="5" tint="0.79998168889431442"/>
        </patternFill>
      </fill>
    </dxf>
    <dxf>
      <font>
        <strike val="0"/>
        <u/>
        <color rgb="FFC00000"/>
      </font>
      <fill>
        <patternFill>
          <bgColor theme="7" tint="0.59996337778862885"/>
        </patternFill>
      </fill>
    </dxf>
    <dxf>
      <font>
        <b/>
        <i val="0"/>
        <strike val="0"/>
        <color rgb="FFC00000"/>
      </font>
    </dxf>
    <dxf>
      <fill>
        <patternFill patternType="darkUp">
          <fgColor auto="1"/>
          <bgColor theme="0"/>
        </patternFill>
      </fill>
    </dxf>
    <dxf>
      <font>
        <b/>
        <i val="0"/>
        <color rgb="FFC00000"/>
      </font>
    </dxf>
    <dxf>
      <fill>
        <patternFill patternType="darkUp">
          <bgColor theme="0"/>
        </patternFill>
      </fill>
    </dxf>
    <dxf>
      <fill>
        <patternFill>
          <bgColor theme="5" tint="0.79998168889431442"/>
        </patternFill>
      </fill>
    </dxf>
    <dxf>
      <fill>
        <patternFill>
          <bgColor theme="5" tint="0.79998168889431442"/>
        </patternFill>
      </fill>
    </dxf>
    <dxf>
      <font>
        <b/>
        <i val="0"/>
        <u val="double"/>
        <color rgb="FFFF0000"/>
      </font>
      <fill>
        <patternFill>
          <bgColor theme="7" tint="0.79998168889431442"/>
        </patternFill>
      </fill>
    </dxf>
    <dxf>
      <font>
        <color theme="2" tint="-0.499984740745262"/>
      </font>
    </dxf>
    <dxf>
      <font>
        <b/>
        <i val="0"/>
        <strike val="0"/>
        <color rgb="FFC00000"/>
      </font>
    </dxf>
    <dxf>
      <font>
        <b/>
        <i val="0"/>
        <strike val="0"/>
        <color rgb="FFC00000"/>
      </font>
    </dxf>
    <dxf>
      <font>
        <b/>
        <i val="0"/>
        <color rgb="FFC00000"/>
      </font>
    </dxf>
    <dxf>
      <font>
        <b/>
        <i val="0"/>
        <color rgb="FFC00000"/>
      </font>
    </dxf>
    <dxf>
      <font>
        <color rgb="FFFF0000"/>
      </font>
      <fill>
        <patternFill>
          <bgColor theme="7" tint="0.79998168889431442"/>
        </patternFill>
      </fill>
    </dxf>
    <dxf>
      <font>
        <b/>
        <i val="0"/>
        <strike val="0"/>
        <color rgb="FFC00000"/>
      </font>
    </dxf>
    <dxf>
      <font>
        <b/>
        <i val="0"/>
        <strike val="0"/>
        <color rgb="FFC00000"/>
      </font>
    </dxf>
    <dxf>
      <font>
        <b/>
        <i val="0"/>
        <strike val="0"/>
        <color rgb="FFC00000"/>
      </font>
    </dxf>
    <dxf>
      <font>
        <b/>
        <i val="0"/>
        <color rgb="FFC00000"/>
      </font>
    </dxf>
    <dxf>
      <fill>
        <patternFill patternType="darkUp"/>
      </fill>
    </dxf>
    <dxf>
      <font>
        <b/>
        <i val="0"/>
        <color rgb="FFC00000"/>
      </font>
    </dxf>
    <dxf>
      <font>
        <b/>
        <i val="0"/>
        <color rgb="FFC00000"/>
      </font>
    </dxf>
    <dxf>
      <font>
        <b/>
        <i val="0"/>
        <u val="double"/>
        <color rgb="FFFF0000"/>
      </font>
      <fill>
        <patternFill>
          <bgColor theme="7" tint="0.79998168889431442"/>
        </patternFill>
      </fill>
    </dxf>
    <dxf>
      <font>
        <color theme="2" tint="-0.499984740745262"/>
      </font>
    </dxf>
    <dxf>
      <font>
        <b/>
        <i val="0"/>
        <strike val="0"/>
        <color rgb="FFC00000"/>
      </font>
    </dxf>
    <dxf>
      <font>
        <b/>
        <i val="0"/>
        <strike val="0"/>
        <color rgb="FFC00000"/>
      </font>
    </dxf>
    <dxf>
      <fill>
        <patternFill patternType="darkUp">
          <bgColor theme="0"/>
        </patternFill>
      </fill>
    </dxf>
    <dxf>
      <fill>
        <patternFill patternType="darkUp">
          <bgColor theme="0"/>
        </patternFill>
      </fill>
    </dxf>
    <dxf>
      <fill>
        <patternFill patternType="darkUp">
          <bgColor theme="0"/>
        </patternFill>
      </fill>
    </dxf>
    <dxf>
      <fill>
        <patternFill patternType="darkUp">
          <bgColor theme="0"/>
        </patternFill>
      </fill>
    </dxf>
    <dxf>
      <fill>
        <patternFill patternType="darkUp">
          <bgColor theme="0"/>
        </patternFill>
      </fill>
    </dxf>
    <dxf>
      <font>
        <b/>
        <i val="0"/>
        <color rgb="FFC00000"/>
      </font>
    </dxf>
    <dxf>
      <font>
        <b/>
        <i val="0"/>
        <color rgb="FFC00000"/>
      </font>
    </dxf>
    <dxf>
      <font>
        <b/>
        <i val="0"/>
        <u val="double"/>
        <color rgb="FFFF0000"/>
      </font>
      <fill>
        <patternFill>
          <bgColor theme="7" tint="0.59996337778862885"/>
        </patternFill>
      </fill>
    </dxf>
    <dxf>
      <font>
        <b val="0"/>
        <i val="0"/>
        <color rgb="FFFF0000"/>
      </font>
    </dxf>
    <dxf>
      <font>
        <b/>
        <i val="0"/>
        <strike val="0"/>
      </font>
    </dxf>
    <dxf>
      <fill>
        <patternFill>
          <bgColor theme="0" tint="-0.14996795556505021"/>
        </patternFill>
      </fill>
    </dxf>
    <dxf>
      <font>
        <color rgb="FFFF0000"/>
      </font>
    </dxf>
    <dxf>
      <fill>
        <patternFill>
          <bgColor theme="0" tint="-0.14996795556505021"/>
        </patternFill>
      </fill>
    </dxf>
  </dxfs>
  <tableStyles count="0" defaultTableStyle="TableStyleMedium2" defaultPivotStyle="PivotStyleLight16"/>
  <colors>
    <mruColors>
      <color rgb="FFA3D9FF"/>
      <color rgb="FFFFC000"/>
      <color rgb="FFFFCC66"/>
      <color rgb="FFFF9900"/>
      <color rgb="FFA3D961"/>
      <color rgb="FF02A39C"/>
      <color rgb="FF005480"/>
      <color rgb="FF58D4CC"/>
      <color rgb="FF4472C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3E47-4692-8D05-111684E7E3E9}"/>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4-3E47-4692-8D05-111684E7E3E9}"/>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3-3E47-4692-8D05-111684E7E3E9}"/>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2-3E47-4692-8D05-111684E7E3E9}"/>
              </c:ext>
            </c:extLst>
          </c:dPt>
          <c:dLbls>
            <c:dLbl>
              <c:idx val="0"/>
              <c:layout>
                <c:manualLayout>
                  <c:x val="0.13333333333333344"/>
                  <c:y val="-0.115740740740740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47-4692-8D05-111684E7E3E9}"/>
                </c:ext>
              </c:extLst>
            </c:dLbl>
            <c:dLbl>
              <c:idx val="1"/>
              <c:layout>
                <c:manualLayout>
                  <c:x val="0.33055555555555566"/>
                  <c:y val="4.62962962962964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E47-4692-8D05-111684E7E3E9}"/>
                </c:ext>
              </c:extLst>
            </c:dLbl>
            <c:dLbl>
              <c:idx val="2"/>
              <c:layout>
                <c:manualLayout>
                  <c:x val="-0.21666666666666673"/>
                  <c:y val="3.24074074074073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47-4692-8D05-111684E7E3E9}"/>
                </c:ext>
              </c:extLst>
            </c:dLbl>
            <c:dLbl>
              <c:idx val="3"/>
              <c:layout>
                <c:manualLayout>
                  <c:x val="-0.15277777777777779"/>
                  <c:y val="-8.333333333333332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E47-4692-8D05-111684E7E3E9}"/>
                </c:ext>
              </c:extLst>
            </c:dLbl>
            <c:spPr>
              <a:solidFill>
                <a:sysClr val="window" lastClr="FFFFFF">
                  <a:alpha val="75000"/>
                </a:sysClr>
              </a:solidFill>
              <a:ln w="9525">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pt-PT"/>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Resultados!$C$20:$C$23</c:f>
              <c:strCache>
                <c:ptCount val="4"/>
                <c:pt idx="0">
                  <c:v>Energia</c:v>
                </c:pt>
                <c:pt idx="1">
                  <c:v>Processos industriais e uso de produtos</c:v>
                </c:pt>
                <c:pt idx="2">
                  <c:v>Agricutura, floresta e outros usos do solo</c:v>
                </c:pt>
                <c:pt idx="3">
                  <c:v>Resíduos</c:v>
                </c:pt>
              </c:strCache>
            </c:strRef>
          </c:cat>
          <c:val>
            <c:numRef>
              <c:f>Resultados!$D$20:$D$23</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0-3E47-4692-8D05-111684E7E3E9}"/>
            </c:ext>
          </c:extLst>
        </c:ser>
        <c:dLbls>
          <c:showLegendKey val="0"/>
          <c:showVal val="0"/>
          <c:showCatName val="0"/>
          <c:showSerName val="0"/>
          <c:showPercent val="0"/>
          <c:showBubbleSize val="0"/>
          <c:showLeaderLines val="0"/>
        </c:dLbls>
        <c:firstSliceAng val="0"/>
        <c:holeSize val="7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pt-P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pt-PT"/>
              <a:t>Emissões por atividade (tCO2e/ano)</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pt-PT"/>
        </a:p>
      </c:txPr>
    </c:title>
    <c:autoTitleDeleted val="0"/>
    <c:plotArea>
      <c:layout/>
      <c:barChart>
        <c:barDir val="bar"/>
        <c:grouping val="clustered"/>
        <c:varyColors val="0"/>
        <c:ser>
          <c:idx val="0"/>
          <c:order val="0"/>
          <c:spPr>
            <a:solidFill>
              <a:schemeClr val="accent1"/>
            </a:solidFill>
            <a:ln>
              <a:noFill/>
            </a:ln>
            <a:effectLst/>
          </c:spPr>
          <c:invertIfNegative val="0"/>
          <c:dPt>
            <c:idx val="1"/>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1D69-4670-BA01-93FC0EC76D46}"/>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1D69-4670-BA01-93FC0EC76D46}"/>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1D69-4670-BA01-93FC0EC76D46}"/>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1D69-4670-BA01-93FC0EC76D46}"/>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1D69-4670-BA01-93FC0EC76D46}"/>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6-1D69-4670-BA01-93FC0EC76D46}"/>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7-1D69-4670-BA01-93FC0EC76D46}"/>
              </c:ext>
            </c:extLst>
          </c:dPt>
          <c:dPt>
            <c:idx val="8"/>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08-1D69-4670-BA01-93FC0EC76D46}"/>
              </c:ext>
            </c:extLst>
          </c:dPt>
          <c:dPt>
            <c:idx val="9"/>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09-1D69-4670-BA01-93FC0EC76D46}"/>
              </c:ext>
            </c:extLst>
          </c:dPt>
          <c:dPt>
            <c:idx val="10"/>
            <c:invertIfNegative val="0"/>
            <c:bubble3D val="0"/>
            <c:spPr>
              <a:solidFill>
                <a:schemeClr val="accent1"/>
              </a:solidFill>
              <a:ln>
                <a:noFill/>
              </a:ln>
              <a:effectLst/>
            </c:spPr>
            <c:extLst>
              <c:ext xmlns:c16="http://schemas.microsoft.com/office/drawing/2014/chart" uri="{C3380CC4-5D6E-409C-BE32-E72D297353CC}">
                <c16:uniqueId val="{0000000A-1D69-4670-BA01-93FC0EC76D46}"/>
              </c:ext>
            </c:extLst>
          </c:dPt>
          <c:dPt>
            <c:idx val="11"/>
            <c:invertIfNegative val="0"/>
            <c:bubble3D val="0"/>
            <c:spPr>
              <a:solidFill>
                <a:schemeClr val="accent1"/>
              </a:solidFill>
              <a:ln>
                <a:noFill/>
              </a:ln>
              <a:effectLst/>
            </c:spPr>
            <c:extLst>
              <c:ext xmlns:c16="http://schemas.microsoft.com/office/drawing/2014/chart" uri="{C3380CC4-5D6E-409C-BE32-E72D297353CC}">
                <c16:uniqueId val="{0000000B-1D69-4670-BA01-93FC0EC76D46}"/>
              </c:ext>
            </c:extLst>
          </c:dPt>
          <c:cat>
            <c:strRef>
              <c:f>Resultados!$C$53:$C$70</c:f>
              <c:strCache>
                <c:ptCount val="18"/>
                <c:pt idx="0">
                  <c:v>Emissões da combustão de combustíveis fósseis e eletricidade</c:v>
                </c:pt>
                <c:pt idx="1">
                  <c:v>       Combustão fóssil</c:v>
                </c:pt>
                <c:pt idx="2">
                  <c:v>       Combustão de biomassa (metano e óxido nitroso)</c:v>
                </c:pt>
                <c:pt idx="3">
                  <c:v>       Produção de eletricidade adquirida</c:v>
                </c:pt>
                <c:pt idx="4">
                  <c:v>       Emissões de albufeiras (produção hídrica)</c:v>
                </c:pt>
                <c:pt idx="5">
                  <c:v>       Emissões da queima de resíduos para produção de energia</c:v>
                </c:pt>
                <c:pt idx="6">
                  <c:v>Emissões de GEE da produção, processamento, armazenamento e transporte de combustíveis fósseis</c:v>
                </c:pt>
                <c:pt idx="7">
                  <c:v>Transmissão e distribuição de eletricidade, vapor e calor</c:v>
                </c:pt>
                <c:pt idx="8">
                  <c:v>       Perdas de eletricidade na rede</c:v>
                </c:pt>
                <c:pt idx="9">
                  <c:v>       Emissões de SF6 de equipmentos elétricos</c:v>
                </c:pt>
                <c:pt idx="10">
                  <c:v>Tratamento de águas residuais e lamas de ETAR</c:v>
                </c:pt>
                <c:pt idx="11">
                  <c:v>Emissões de albufeiras e reservatórios</c:v>
                </c:pt>
                <c:pt idx="12">
                  <c:v>Tratamento de resíduos sólidos</c:v>
                </c:pt>
                <c:pt idx="13">
                  <c:v>Aterros sanitários</c:v>
                </c:pt>
                <c:pt idx="14">
                  <c:v>Refrigeração e climatização</c:v>
                </c:pt>
                <c:pt idx="15">
                  <c:v>Produção de semicondutores e LCDs</c:v>
                </c:pt>
                <c:pt idx="16">
                  <c:v>Processos industriais</c:v>
                </c:pt>
                <c:pt idx="17">
                  <c:v>Transporte</c:v>
                </c:pt>
              </c:strCache>
            </c:strRef>
          </c:cat>
          <c:val>
            <c:numRef>
              <c:f>Resultados!$G$53:$G$70</c:f>
              <c:numCache>
                <c:formatCode>0.00E+00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1D69-4670-BA01-93FC0EC76D46}"/>
            </c:ext>
          </c:extLst>
        </c:ser>
        <c:dLbls>
          <c:showLegendKey val="0"/>
          <c:showVal val="0"/>
          <c:showCatName val="0"/>
          <c:showSerName val="0"/>
          <c:showPercent val="0"/>
          <c:showBubbleSize val="0"/>
        </c:dLbls>
        <c:gapWidth val="247"/>
        <c:axId val="346930127"/>
        <c:axId val="346933487"/>
      </c:barChart>
      <c:catAx>
        <c:axId val="346930127"/>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pt-PT"/>
          </a:p>
        </c:txPr>
        <c:crossAx val="346933487"/>
        <c:crosses val="autoZero"/>
        <c:auto val="1"/>
        <c:lblAlgn val="ctr"/>
        <c:lblOffset val="100"/>
        <c:noMultiLvlLbl val="0"/>
      </c:catAx>
      <c:valAx>
        <c:axId val="346933487"/>
        <c:scaling>
          <c:orientation val="minMax"/>
        </c:scaling>
        <c:delete val="0"/>
        <c:axPos val="b"/>
        <c:majorGridlines>
          <c:spPr>
            <a:ln w="9525" cap="flat" cmpd="sng" algn="ctr">
              <a:solidFill>
                <a:schemeClr val="dk1">
                  <a:lumMod val="15000"/>
                  <a:lumOff val="85000"/>
                </a:schemeClr>
              </a:solidFill>
              <a:round/>
            </a:ln>
            <a:effectLst/>
          </c:spPr>
        </c:majorGridlines>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PT"/>
          </a:p>
        </c:txPr>
        <c:crossAx val="346930127"/>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pt-P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Instru&#231;&#245;es!A1"/><Relationship Id="rId2" Type="http://schemas.openxmlformats.org/officeDocument/2006/relationships/image" Target="../media/image2.emf"/><Relationship Id="rId1" Type="http://schemas.openxmlformats.org/officeDocument/2006/relationships/hyperlink" Target="#&#205;ndice!A1"/><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Combust&#227;o M&#243;vel'!A1"/><Relationship Id="rId2" Type="http://schemas.openxmlformats.org/officeDocument/2006/relationships/hyperlink" Target="#'Emiss&#245;es Fugitivas'!A1"/><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3" Type="http://schemas.openxmlformats.org/officeDocument/2006/relationships/hyperlink" Target="#'Energia El&#233;trica e t&#233;rmica'!A1"/><Relationship Id="rId2" Type="http://schemas.openxmlformats.org/officeDocument/2006/relationships/hyperlink" Target="#'Processos Industriais'!A1"/><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3" Type="http://schemas.openxmlformats.org/officeDocument/2006/relationships/hyperlink" Target="#'Emiss&#245;es Fugitivas'!A1"/><Relationship Id="rId2" Type="http://schemas.openxmlformats.org/officeDocument/2006/relationships/hyperlink" Target="#'Outras emiss&#245;es de processo'!A1"/><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3" Type="http://schemas.openxmlformats.org/officeDocument/2006/relationships/hyperlink" Target="#'Processos Industriais'!A1"/><Relationship Id="rId2" Type="http://schemas.openxmlformats.org/officeDocument/2006/relationships/hyperlink" Target="#Resultados!A1"/><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3" Type="http://schemas.openxmlformats.org/officeDocument/2006/relationships/hyperlink" Target="#'Outras emiss&#245;es de processo'!A1"/><Relationship Id="rId2" Type="http://schemas.openxmlformats.org/officeDocument/2006/relationships/hyperlink" Target="#'Fatores de Emiss&#227;o'!A1"/><Relationship Id="rId1" Type="http://schemas.openxmlformats.org/officeDocument/2006/relationships/hyperlink" Target="#&#205;ndice!A1"/><Relationship Id="rId5" Type="http://schemas.openxmlformats.org/officeDocument/2006/relationships/chart" Target="../charts/chart2.xml"/><Relationship Id="rId4"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3" Type="http://schemas.openxmlformats.org/officeDocument/2006/relationships/hyperlink" Target="#Resultados!A1"/><Relationship Id="rId2" Type="http://schemas.openxmlformats.org/officeDocument/2006/relationships/hyperlink" Target="#'Fatores de Convers&#227;o'!A1"/><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3" Type="http://schemas.openxmlformats.org/officeDocument/2006/relationships/hyperlink" Target="#'Ficha t&#233;cnica'!A1"/><Relationship Id="rId2" Type="http://schemas.openxmlformats.org/officeDocument/2006/relationships/hyperlink" Target="#'Fatores de Emiss&#227;o'!A1"/><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3" Type="http://schemas.openxmlformats.org/officeDocument/2006/relationships/hyperlink" Target="#Introdu&#231;&#227;o!A1"/><Relationship Id="rId2" Type="http://schemas.openxmlformats.org/officeDocument/2006/relationships/hyperlink" Target="#'Verifica&#231;&#227;o Preliminar'!A1"/><Relationship Id="rId1" Type="http://schemas.openxmlformats.org/officeDocument/2006/relationships/hyperlink" Target="#&#205;ndice!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Fatores de Convers&#227;o'!A1"/><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3" Type="http://schemas.openxmlformats.org/officeDocument/2006/relationships/hyperlink" Target="#'Energia El&#233;trica e t&#233;rmica'!A1"/><Relationship Id="rId2" Type="http://schemas.openxmlformats.org/officeDocument/2006/relationships/hyperlink" Target="#'Aquisi&#231;&#227;o de bens e servi&#231;os'!A1"/><Relationship Id="rId1" Type="http://schemas.openxmlformats.org/officeDocument/2006/relationships/hyperlink" Target="#Conte&#250;dos!A1"/></Relationships>
</file>

<file path=xl/drawings/_rels/drawing27.xml.rels><?xml version="1.0" encoding="UTF-8" standalone="yes"?>
<Relationships xmlns="http://schemas.openxmlformats.org/package/2006/relationships"><Relationship Id="rId3" Type="http://schemas.openxmlformats.org/officeDocument/2006/relationships/hyperlink" Target="#'Emiss&#245;es Evitadas'!A1"/><Relationship Id="rId2" Type="http://schemas.openxmlformats.org/officeDocument/2006/relationships/hyperlink" Target="#'Uso dos produtos do projeto'!A1"/><Relationship Id="rId1" Type="http://schemas.openxmlformats.org/officeDocument/2006/relationships/hyperlink" Target="#Conte&#250;dos!A1"/></Relationships>
</file>

<file path=xl/drawings/_rels/drawing29.xml.rels><?xml version="1.0" encoding="UTF-8" standalone="yes"?>
<Relationships xmlns="http://schemas.openxmlformats.org/package/2006/relationships"><Relationship Id="rId3" Type="http://schemas.openxmlformats.org/officeDocument/2006/relationships/hyperlink" Target="#'Aquisi&#231;&#227;o de bens e servi&#231;os'!A1"/><Relationship Id="rId2" Type="http://schemas.openxmlformats.org/officeDocument/2006/relationships/hyperlink" Target="#Resultados!A1"/><Relationship Id="rId1" Type="http://schemas.openxmlformats.org/officeDocument/2006/relationships/hyperlink" Target="#Conte&#250;dos!A1"/></Relationships>
</file>

<file path=xl/drawings/_rels/drawing3.xml.rels><?xml version="1.0" encoding="UTF-8" standalone="yes"?>
<Relationships xmlns="http://schemas.openxmlformats.org/package/2006/relationships"><Relationship Id="rId3" Type="http://schemas.openxmlformats.org/officeDocument/2006/relationships/hyperlink" Target="#Instru&#231;&#245;es!A1"/><Relationship Id="rId2" Type="http://schemas.openxmlformats.org/officeDocument/2006/relationships/hyperlink" Target="#Triagem!A1"/><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hyperlink" Target="#'Verifica&#231;&#227;o Preliminar'!A1"/><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8" Type="http://schemas.openxmlformats.org/officeDocument/2006/relationships/hyperlink" Target="#'Energia El&#233;trica e t&#233;rmica'!A1"/><Relationship Id="rId13" Type="http://schemas.openxmlformats.org/officeDocument/2006/relationships/hyperlink" Target="#'Fatores de Emiss&#227;o'!A1"/><Relationship Id="rId3" Type="http://schemas.openxmlformats.org/officeDocument/2006/relationships/hyperlink" Target="#Introdu&#231;&#227;o!A1"/><Relationship Id="rId7" Type="http://schemas.openxmlformats.org/officeDocument/2006/relationships/hyperlink" Target="#'Combust&#227;o M&#243;vel'!A1"/><Relationship Id="rId12" Type="http://schemas.openxmlformats.org/officeDocument/2006/relationships/hyperlink" Target="#Resultados!A1"/><Relationship Id="rId2" Type="http://schemas.openxmlformats.org/officeDocument/2006/relationships/hyperlink" Target="#Triagem!A1"/><Relationship Id="rId1" Type="http://schemas.openxmlformats.org/officeDocument/2006/relationships/hyperlink" Target="#Identifica&#231;&#227;o!A1"/><Relationship Id="rId6" Type="http://schemas.openxmlformats.org/officeDocument/2006/relationships/hyperlink" Target="#'Combust&#227;o Estacion&#225;ria'!A1"/><Relationship Id="rId11" Type="http://schemas.openxmlformats.org/officeDocument/2006/relationships/hyperlink" Target="#'Outras emiss&#245;es de processo'!A1"/><Relationship Id="rId5" Type="http://schemas.openxmlformats.org/officeDocument/2006/relationships/hyperlink" Target="#'Verifica&#231;&#227;o Preliminar'!A1"/><Relationship Id="rId15" Type="http://schemas.openxmlformats.org/officeDocument/2006/relationships/hyperlink" Target="#'Ficha t&#233;cnica'!A1"/><Relationship Id="rId10" Type="http://schemas.openxmlformats.org/officeDocument/2006/relationships/hyperlink" Target="#'Processos Industriais'!A1"/><Relationship Id="rId4" Type="http://schemas.openxmlformats.org/officeDocument/2006/relationships/hyperlink" Target="#Instru&#231;&#245;es!A1"/><Relationship Id="rId9" Type="http://schemas.openxmlformats.org/officeDocument/2006/relationships/hyperlink" Target="#'Emiss&#245;es Fugitivas'!A1"/><Relationship Id="rId14" Type="http://schemas.openxmlformats.org/officeDocument/2006/relationships/hyperlink" Target="#'Fatores de Convers&#227;o'!A1"/></Relationships>
</file>

<file path=xl/drawings/_rels/drawing6.xml.rels><?xml version="1.0" encoding="UTF-8" standalone="yes"?>
<Relationships xmlns="http://schemas.openxmlformats.org/package/2006/relationships"><Relationship Id="rId2" Type="http://schemas.openxmlformats.org/officeDocument/2006/relationships/hyperlink" Target="#'Combust&#227;o Estacion&#225;ria'!A1"/><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3" Type="http://schemas.openxmlformats.org/officeDocument/2006/relationships/hyperlink" Target="#Identifica&#231;&#227;o!A1"/><Relationship Id="rId2" Type="http://schemas.openxmlformats.org/officeDocument/2006/relationships/hyperlink" Target="#'Combust&#227;o M&#243;vel'!A1"/><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hyperlink" Target="#'Combust&#227;o Estacion&#225;ria'!A1"/><Relationship Id="rId2" Type="http://schemas.openxmlformats.org/officeDocument/2006/relationships/hyperlink" Target="#'Energia El&#233;trica e t&#233;rmica'!A1"/><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73025</xdr:rowOff>
    </xdr:from>
    <xdr:to>
      <xdr:col>2</xdr:col>
      <xdr:colOff>527049</xdr:colOff>
      <xdr:row>6</xdr:row>
      <xdr:rowOff>28948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5F7C792E-53FF-4A99-BABA-341D484979E2}"/>
            </a:ext>
          </a:extLst>
        </xdr:cNvPr>
        <xdr:cNvSpPr/>
      </xdr:nvSpPr>
      <xdr:spPr>
        <a:xfrm>
          <a:off x="601980" y="438785"/>
          <a:ext cx="1129029" cy="68744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editAs="oneCell">
    <xdr:from>
      <xdr:col>22</xdr:col>
      <xdr:colOff>354874</xdr:colOff>
      <xdr:row>9</xdr:row>
      <xdr:rowOff>0</xdr:rowOff>
    </xdr:from>
    <xdr:to>
      <xdr:col>22</xdr:col>
      <xdr:colOff>354874</xdr:colOff>
      <xdr:row>23</xdr:row>
      <xdr:rowOff>1086</xdr:rowOff>
    </xdr:to>
    <xdr:pic>
      <xdr:nvPicPr>
        <xdr:cNvPr id="6" name="Picture 5">
          <a:extLst>
            <a:ext uri="{FF2B5EF4-FFF2-40B4-BE49-F238E27FC236}">
              <a16:creationId xmlns:a16="http://schemas.microsoft.com/office/drawing/2014/main" id="{ED29B4A6-723D-4CF3-B4C6-0A0158BE05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8434" y="2198915"/>
          <a:ext cx="2053046" cy="578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97971</xdr:colOff>
      <xdr:row>6</xdr:row>
      <xdr:rowOff>108858</xdr:rowOff>
    </xdr:from>
    <xdr:to>
      <xdr:col>1</xdr:col>
      <xdr:colOff>402772</xdr:colOff>
      <xdr:row>8</xdr:row>
      <xdr:rowOff>54429</xdr:rowOff>
    </xdr:to>
    <xdr:sp macro="" textlink="">
      <xdr:nvSpPr>
        <xdr:cNvPr id="7" name="Arrow: Right 6">
          <a:hlinkClick xmlns:r="http://schemas.openxmlformats.org/officeDocument/2006/relationships" r:id="rId3"/>
          <a:extLst>
            <a:ext uri="{FF2B5EF4-FFF2-40B4-BE49-F238E27FC236}">
              <a16:creationId xmlns:a16="http://schemas.microsoft.com/office/drawing/2014/main" id="{B9A44387-67F0-DF70-18F7-CDDF2D8C6CB5}"/>
            </a:ext>
          </a:extLst>
        </xdr:cNvPr>
        <xdr:cNvSpPr/>
      </xdr:nvSpPr>
      <xdr:spPr>
        <a:xfrm>
          <a:off x="696685" y="1480458"/>
          <a:ext cx="304801" cy="40277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2721</xdr:colOff>
      <xdr:row>1</xdr:row>
      <xdr:rowOff>242205</xdr:rowOff>
    </xdr:from>
    <xdr:to>
      <xdr:col>25</xdr:col>
      <xdr:colOff>571500</xdr:colOff>
      <xdr:row>8</xdr:row>
      <xdr:rowOff>204106</xdr:rowOff>
    </xdr:to>
    <xdr:grpSp>
      <xdr:nvGrpSpPr>
        <xdr:cNvPr id="3" name="Group 2">
          <a:extLst>
            <a:ext uri="{FF2B5EF4-FFF2-40B4-BE49-F238E27FC236}">
              <a16:creationId xmlns:a16="http://schemas.microsoft.com/office/drawing/2014/main" id="{24CDCE43-204D-449D-AE6A-27A8AF6F975D}"/>
            </a:ext>
          </a:extLst>
        </xdr:cNvPr>
        <xdr:cNvGrpSpPr/>
      </xdr:nvGrpSpPr>
      <xdr:grpSpPr>
        <a:xfrm>
          <a:off x="2234292" y="487134"/>
          <a:ext cx="14284779" cy="1676401"/>
          <a:chOff x="-2470275" y="0"/>
          <a:chExt cx="12776606" cy="895432"/>
        </a:xfrm>
      </xdr:grpSpPr>
      <xdr:sp macro="" textlink="">
        <xdr:nvSpPr>
          <xdr:cNvPr id="8" name="CaixaDeTexto 10">
            <a:extLst>
              <a:ext uri="{FF2B5EF4-FFF2-40B4-BE49-F238E27FC236}">
                <a16:creationId xmlns:a16="http://schemas.microsoft.com/office/drawing/2014/main" id="{FCF8245B-77A3-2D93-F08A-03F65303F1D2}"/>
              </a:ext>
            </a:extLst>
          </xdr:cNvPr>
          <xdr:cNvSpPr txBox="1"/>
        </xdr:nvSpPr>
        <xdr:spPr>
          <a:xfrm>
            <a:off x="-2470275" y="0"/>
            <a:ext cx="12776606" cy="553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Bem-vindo</a:t>
            </a:r>
            <a:r>
              <a:rPr lang="pt-PT" sz="3200" b="1" baseline="0">
                <a:solidFill>
                  <a:schemeClr val="accent2"/>
                </a:solidFill>
                <a:latin typeface="+mn-lt"/>
                <a:cs typeface="Poppins" panose="00000500000000000000" pitchFamily="2" charset="0"/>
              </a:rPr>
              <a:t> à GEE-PInfraRC !</a:t>
            </a:r>
          </a:p>
          <a:p>
            <a:r>
              <a:rPr lang="pt-PT" sz="2000" b="1">
                <a:solidFill>
                  <a:schemeClr val="accent2"/>
                </a:solidFill>
                <a:latin typeface="+mn-lt"/>
                <a:cs typeface="Poppins" panose="00000500000000000000" pitchFamily="2" charset="0"/>
              </a:rPr>
              <a:t>A calculadora de</a:t>
            </a:r>
            <a:r>
              <a:rPr lang="pt-PT" sz="2000" b="1" baseline="0">
                <a:solidFill>
                  <a:schemeClr val="accent2"/>
                </a:solidFill>
                <a:latin typeface="+mn-lt"/>
                <a:cs typeface="Poppins" panose="00000500000000000000" pitchFamily="2" charset="0"/>
              </a:rPr>
              <a:t> emissões de </a:t>
            </a:r>
            <a:r>
              <a:rPr lang="pt-PT" sz="2000" b="1">
                <a:solidFill>
                  <a:schemeClr val="accent2"/>
                </a:solidFill>
                <a:latin typeface="+mn-lt"/>
                <a:cs typeface="Poppins" panose="00000500000000000000" pitchFamily="2" charset="0"/>
              </a:rPr>
              <a:t>GEE para projetos</a:t>
            </a:r>
            <a:r>
              <a:rPr lang="pt-PT" sz="2000" b="1" baseline="0">
                <a:solidFill>
                  <a:schemeClr val="accent2"/>
                </a:solidFill>
                <a:latin typeface="+mn-lt"/>
                <a:cs typeface="Poppins" panose="00000500000000000000" pitchFamily="2" charset="0"/>
              </a:rPr>
              <a:t> de infraestrutura com vista à determinação da resistência climática</a:t>
            </a:r>
            <a:endParaRPr lang="pt-PT" sz="2000" b="1">
              <a:solidFill>
                <a:schemeClr val="accent2"/>
              </a:solidFill>
              <a:latin typeface="+mn-lt"/>
              <a:cs typeface="Poppins" panose="00000500000000000000" pitchFamily="2" charset="0"/>
            </a:endParaRPr>
          </a:p>
        </xdr:txBody>
      </xdr:sp>
      <xdr:sp macro="" textlink="">
        <xdr:nvSpPr>
          <xdr:cNvPr id="9" name="CaixaDeTexto 14">
            <a:extLst>
              <a:ext uri="{FF2B5EF4-FFF2-40B4-BE49-F238E27FC236}">
                <a16:creationId xmlns:a16="http://schemas.microsoft.com/office/drawing/2014/main" id="{B8DA64A9-3840-E832-CDA6-A5A24E561A05}"/>
              </a:ext>
            </a:extLst>
          </xdr:cNvPr>
          <xdr:cNvSpPr txBox="1"/>
        </xdr:nvSpPr>
        <xdr:spPr>
          <a:xfrm>
            <a:off x="-2463654" y="473882"/>
            <a:ext cx="2322881" cy="421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400" b="0">
                <a:solidFill>
                  <a:sysClr val="windowText" lastClr="000000"/>
                </a:solidFill>
                <a:latin typeface="+mn-lt"/>
                <a:cs typeface="Poppins" panose="00000500000000000000" pitchFamily="2" charset="0"/>
              </a:rPr>
              <a:t>Versão de janeiro de 2026</a:t>
            </a:r>
          </a:p>
        </xdr:txBody>
      </xdr:sp>
    </xdr:grpSp>
    <xdr:clientData/>
  </xdr:twoCellAnchor>
  <xdr:twoCellAnchor editAs="oneCell">
    <xdr:from>
      <xdr:col>6</xdr:col>
      <xdr:colOff>217712</xdr:colOff>
      <xdr:row>15</xdr:row>
      <xdr:rowOff>163286</xdr:rowOff>
    </xdr:from>
    <xdr:to>
      <xdr:col>17</xdr:col>
      <xdr:colOff>108855</xdr:colOff>
      <xdr:row>19</xdr:row>
      <xdr:rowOff>75075</xdr:rowOff>
    </xdr:to>
    <xdr:pic>
      <xdr:nvPicPr>
        <xdr:cNvPr id="4" name="Picture 3">
          <a:extLst>
            <a:ext uri="{FF2B5EF4-FFF2-40B4-BE49-F238E27FC236}">
              <a16:creationId xmlns:a16="http://schemas.microsoft.com/office/drawing/2014/main" id="{02B07009-1337-4D05-999C-0B2B1195B9FF}"/>
            </a:ext>
          </a:extLst>
        </xdr:cNvPr>
        <xdr:cNvPicPr>
          <a:picLocks noChangeAspect="1"/>
        </xdr:cNvPicPr>
      </xdr:nvPicPr>
      <xdr:blipFill>
        <a:blip xmlns:r="http://schemas.openxmlformats.org/officeDocument/2006/relationships" r:embed="rId4"/>
        <a:stretch>
          <a:fillRect/>
        </a:stretch>
      </xdr:blipFill>
      <xdr:spPr>
        <a:xfrm>
          <a:off x="3755569" y="6395357"/>
          <a:ext cx="7075715" cy="8915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609600</xdr:colOff>
      <xdr:row>1</xdr:row>
      <xdr:rowOff>43543</xdr:rowOff>
    </xdr:from>
    <xdr:to>
      <xdr:col>17</xdr:col>
      <xdr:colOff>1360714</xdr:colOff>
      <xdr:row>6</xdr:row>
      <xdr:rowOff>123825</xdr:rowOff>
    </xdr:to>
    <xdr:sp macro="" textlink="">
      <xdr:nvSpPr>
        <xdr:cNvPr id="2" name="Retângulo: Cantos Arredondados 5">
          <a:extLst>
            <a:ext uri="{FF2B5EF4-FFF2-40B4-BE49-F238E27FC236}">
              <a16:creationId xmlns:a16="http://schemas.microsoft.com/office/drawing/2014/main" id="{7D3E06F2-D8A3-4434-B05C-BB24CFBEE1F1}"/>
            </a:ext>
          </a:extLst>
        </xdr:cNvPr>
        <xdr:cNvSpPr/>
      </xdr:nvSpPr>
      <xdr:spPr>
        <a:xfrm>
          <a:off x="609600" y="228600"/>
          <a:ext cx="1835331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Combustão Móvel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23813</xdr:colOff>
      <xdr:row>1</xdr:row>
      <xdr:rowOff>172677</xdr:rowOff>
    </xdr:from>
    <xdr:to>
      <xdr:col>1</xdr:col>
      <xdr:colOff>1400175</xdr:colOff>
      <xdr:row>5</xdr:row>
      <xdr:rowOff>43543</xdr:rowOff>
    </xdr:to>
    <xdr:sp macro="" textlink="">
      <xdr:nvSpPr>
        <xdr:cNvPr id="8" name="Retângulo: Cantos Arredondados 3">
          <a:hlinkClick xmlns:r="http://schemas.openxmlformats.org/officeDocument/2006/relationships" r:id="rId1"/>
          <a:extLst>
            <a:ext uri="{FF2B5EF4-FFF2-40B4-BE49-F238E27FC236}">
              <a16:creationId xmlns:a16="http://schemas.microsoft.com/office/drawing/2014/main" id="{0C7D2AB3-6A16-4712-9F7D-22E79D37DC22}"/>
            </a:ext>
          </a:extLst>
        </xdr:cNvPr>
        <xdr:cNvSpPr/>
      </xdr:nvSpPr>
      <xdr:spPr>
        <a:xfrm>
          <a:off x="940594" y="375083"/>
          <a:ext cx="1376362" cy="680491"/>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827314</xdr:colOff>
      <xdr:row>5</xdr:row>
      <xdr:rowOff>87086</xdr:rowOff>
    </xdr:from>
    <xdr:to>
      <xdr:col>1</xdr:col>
      <xdr:colOff>1132115</xdr:colOff>
      <xdr:row>7</xdr:row>
      <xdr:rowOff>32657</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677CF074-757A-4E13-A295-7DC25281D3C8}"/>
            </a:ext>
          </a:extLst>
        </xdr:cNvPr>
        <xdr:cNvSpPr/>
      </xdr:nvSpPr>
      <xdr:spPr>
        <a:xfrm>
          <a:off x="1654628" y="1012372"/>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261258</xdr:colOff>
      <xdr:row>5</xdr:row>
      <xdr:rowOff>87086</xdr:rowOff>
    </xdr:from>
    <xdr:to>
      <xdr:col>1</xdr:col>
      <xdr:colOff>566057</xdr:colOff>
      <xdr:row>7</xdr:row>
      <xdr:rowOff>43544</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8C046757-131F-4A7D-BACF-2BA5A507289F}"/>
            </a:ext>
          </a:extLst>
        </xdr:cNvPr>
        <xdr:cNvSpPr/>
      </xdr:nvSpPr>
      <xdr:spPr>
        <a:xfrm flipH="1">
          <a:off x="1088572" y="1012372"/>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1524001</xdr:colOff>
      <xdr:row>1</xdr:row>
      <xdr:rowOff>47626</xdr:rowOff>
    </xdr:from>
    <xdr:to>
      <xdr:col>6</xdr:col>
      <xdr:colOff>1616728</xdr:colOff>
      <xdr:row>6</xdr:row>
      <xdr:rowOff>59853</xdr:rowOff>
    </xdr:to>
    <xdr:sp macro="" textlink="">
      <xdr:nvSpPr>
        <xdr:cNvPr id="4" name="CaixaDeTexto 10">
          <a:extLst>
            <a:ext uri="{FF2B5EF4-FFF2-40B4-BE49-F238E27FC236}">
              <a16:creationId xmlns:a16="http://schemas.microsoft.com/office/drawing/2014/main" id="{5562C256-EA74-40BC-8223-775F259C70A9}"/>
            </a:ext>
          </a:extLst>
        </xdr:cNvPr>
        <xdr:cNvSpPr txBox="1"/>
      </xdr:nvSpPr>
      <xdr:spPr>
        <a:xfrm>
          <a:off x="2440782" y="250032"/>
          <a:ext cx="15785165" cy="1024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Energia elétrica e térmica contratada</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597353</xdr:colOff>
      <xdr:row>1</xdr:row>
      <xdr:rowOff>65314</xdr:rowOff>
    </xdr:from>
    <xdr:to>
      <xdr:col>12</xdr:col>
      <xdr:colOff>130629</xdr:colOff>
      <xdr:row>6</xdr:row>
      <xdr:rowOff>161124</xdr:rowOff>
    </xdr:to>
    <xdr:sp macro="" textlink="">
      <xdr:nvSpPr>
        <xdr:cNvPr id="2" name="Retângulo: Cantos Arredondados 5">
          <a:extLst>
            <a:ext uri="{FF2B5EF4-FFF2-40B4-BE49-F238E27FC236}">
              <a16:creationId xmlns:a16="http://schemas.microsoft.com/office/drawing/2014/main" id="{BB31F3E5-52E8-44FD-A1CD-1F425F5F59A9}"/>
            </a:ext>
          </a:extLst>
        </xdr:cNvPr>
        <xdr:cNvSpPr/>
      </xdr:nvSpPr>
      <xdr:spPr>
        <a:xfrm>
          <a:off x="597353" y="250371"/>
          <a:ext cx="17440276" cy="10210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Energia Elétrica e térmica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67235</xdr:colOff>
      <xdr:row>1</xdr:row>
      <xdr:rowOff>137436</xdr:rowOff>
    </xdr:from>
    <xdr:to>
      <xdr:col>2</xdr:col>
      <xdr:colOff>66674</xdr:colOff>
      <xdr:row>4</xdr:row>
      <xdr:rowOff>185058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23B72F82-3851-49F9-8EFB-3261AB7D4E40}"/>
            </a:ext>
          </a:extLst>
        </xdr:cNvPr>
        <xdr:cNvSpPr/>
      </xdr:nvSpPr>
      <xdr:spPr>
        <a:xfrm>
          <a:off x="952500" y="339142"/>
          <a:ext cx="2005292" cy="652740"/>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968829</xdr:colOff>
      <xdr:row>5</xdr:row>
      <xdr:rowOff>21777</xdr:rowOff>
    </xdr:from>
    <xdr:to>
      <xdr:col>1</xdr:col>
      <xdr:colOff>1306286</xdr:colOff>
      <xdr:row>7</xdr:row>
      <xdr:rowOff>110583</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A8E6D3BE-7584-4712-986D-3CCDD9A250FD}"/>
            </a:ext>
          </a:extLst>
        </xdr:cNvPr>
        <xdr:cNvSpPr/>
      </xdr:nvSpPr>
      <xdr:spPr>
        <a:xfrm>
          <a:off x="1883229" y="1001491"/>
          <a:ext cx="337457" cy="48069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402771</xdr:colOff>
      <xdr:row>5</xdr:row>
      <xdr:rowOff>22866</xdr:rowOff>
    </xdr:from>
    <xdr:to>
      <xdr:col>1</xdr:col>
      <xdr:colOff>740226</xdr:colOff>
      <xdr:row>7</xdr:row>
      <xdr:rowOff>108857</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99C85CAD-07F0-449D-8C97-0E78F4EB8E97}"/>
            </a:ext>
          </a:extLst>
        </xdr:cNvPr>
        <xdr:cNvSpPr/>
      </xdr:nvSpPr>
      <xdr:spPr>
        <a:xfrm flipH="1">
          <a:off x="1317171" y="1002580"/>
          <a:ext cx="337455" cy="477877"/>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302559</xdr:colOff>
      <xdr:row>1</xdr:row>
      <xdr:rowOff>11206</xdr:rowOff>
    </xdr:from>
    <xdr:to>
      <xdr:col>10</xdr:col>
      <xdr:colOff>59911</xdr:colOff>
      <xdr:row>6</xdr:row>
      <xdr:rowOff>9928</xdr:rowOff>
    </xdr:to>
    <xdr:sp macro="" textlink="">
      <xdr:nvSpPr>
        <xdr:cNvPr id="8" name="CaixaDeTexto 10">
          <a:extLst>
            <a:ext uri="{FF2B5EF4-FFF2-40B4-BE49-F238E27FC236}">
              <a16:creationId xmlns:a16="http://schemas.microsoft.com/office/drawing/2014/main" id="{50D47E22-BF6B-4961-8FB3-28C3026A2EAA}"/>
            </a:ext>
          </a:extLst>
        </xdr:cNvPr>
        <xdr:cNvSpPr txBox="1"/>
      </xdr:nvSpPr>
      <xdr:spPr>
        <a:xfrm>
          <a:off x="3585883" y="212912"/>
          <a:ext cx="15781763" cy="1007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Emissões Fugitivas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130629</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5A86954D-DCCB-4851-90CE-25129E67664A}"/>
            </a:ext>
          </a:extLst>
        </xdr:cNvPr>
        <xdr:cNvSpPr/>
      </xdr:nvSpPr>
      <xdr:spPr>
        <a:xfrm>
          <a:off x="702128" y="290284"/>
          <a:ext cx="1213758" cy="713921"/>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816430</xdr:colOff>
      <xdr:row>5</xdr:row>
      <xdr:rowOff>87086</xdr:rowOff>
    </xdr:from>
    <xdr:to>
      <xdr:col>1</xdr:col>
      <xdr:colOff>1121231</xdr:colOff>
      <xdr:row>7</xdr:row>
      <xdr:rowOff>32657</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C56F8903-BBED-4141-B3F9-B91293C72FD1}"/>
            </a:ext>
          </a:extLst>
        </xdr:cNvPr>
        <xdr:cNvSpPr/>
      </xdr:nvSpPr>
      <xdr:spPr>
        <a:xfrm>
          <a:off x="1447801" y="1066800"/>
          <a:ext cx="304801" cy="337457"/>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F4C6CE75-CE59-41AD-A1CF-6E22EB4D634A}"/>
            </a:ext>
          </a:extLst>
        </xdr:cNvPr>
        <xdr:cNvSpPr/>
      </xdr:nvSpPr>
      <xdr:spPr>
        <a:xfrm flipH="1">
          <a:off x="805543" y="1001486"/>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272142</xdr:colOff>
      <xdr:row>1</xdr:row>
      <xdr:rowOff>40821</xdr:rowOff>
    </xdr:from>
    <xdr:to>
      <xdr:col>9</xdr:col>
      <xdr:colOff>1730687</xdr:colOff>
      <xdr:row>6</xdr:row>
      <xdr:rowOff>36040</xdr:rowOff>
    </xdr:to>
    <xdr:sp macro="" textlink="">
      <xdr:nvSpPr>
        <xdr:cNvPr id="6" name="CaixaDeTexto 10">
          <a:extLst>
            <a:ext uri="{FF2B5EF4-FFF2-40B4-BE49-F238E27FC236}">
              <a16:creationId xmlns:a16="http://schemas.microsoft.com/office/drawing/2014/main" id="{4093C780-2B80-4F36-9189-AE003357EFEB}"/>
            </a:ext>
          </a:extLst>
        </xdr:cNvPr>
        <xdr:cNvSpPr txBox="1"/>
      </xdr:nvSpPr>
      <xdr:spPr>
        <a:xfrm>
          <a:off x="2258785" y="244928"/>
          <a:ext cx="15786866" cy="1015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Processos industriais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1408338</xdr:colOff>
      <xdr:row>1</xdr:row>
      <xdr:rowOff>19050</xdr:rowOff>
    </xdr:from>
    <xdr:to>
      <xdr:col>17</xdr:col>
      <xdr:colOff>315685</xdr:colOff>
      <xdr:row>6</xdr:row>
      <xdr:rowOff>99332</xdr:rowOff>
    </xdr:to>
    <xdr:sp macro="" textlink="">
      <xdr:nvSpPr>
        <xdr:cNvPr id="2" name="Retângulo: Cantos Arredondados 5">
          <a:extLst>
            <a:ext uri="{FF2B5EF4-FFF2-40B4-BE49-F238E27FC236}">
              <a16:creationId xmlns:a16="http://schemas.microsoft.com/office/drawing/2014/main" id="{8509EFCC-F251-42A8-9FCB-64EECF7D40E9}"/>
            </a:ext>
          </a:extLst>
        </xdr:cNvPr>
        <xdr:cNvSpPr/>
      </xdr:nvSpPr>
      <xdr:spPr>
        <a:xfrm>
          <a:off x="1408338" y="204107"/>
          <a:ext cx="16498661"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13607</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BE5186C6-65F1-4253-AB20-560324BB7EED}"/>
            </a:ext>
          </a:extLst>
        </xdr:cNvPr>
        <xdr:cNvSpPr/>
      </xdr:nvSpPr>
      <xdr:spPr>
        <a:xfrm>
          <a:off x="703217" y="277221"/>
          <a:ext cx="1101090" cy="661670"/>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740228</xdr:colOff>
      <xdr:row>5</xdr:row>
      <xdr:rowOff>76200</xdr:rowOff>
    </xdr:from>
    <xdr:to>
      <xdr:col>1</xdr:col>
      <xdr:colOff>1045029</xdr:colOff>
      <xdr:row>7</xdr:row>
      <xdr:rowOff>21771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535D0CA5-02C5-4087-A980-85870DE0F7AC}"/>
            </a:ext>
          </a:extLst>
        </xdr:cNvPr>
        <xdr:cNvSpPr/>
      </xdr:nvSpPr>
      <xdr:spPr>
        <a:xfrm>
          <a:off x="1371599" y="1001486"/>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142A2D13-55F4-4276-ABF7-7B810D7B7C6F}"/>
            </a:ext>
          </a:extLst>
        </xdr:cNvPr>
        <xdr:cNvSpPr/>
      </xdr:nvSpPr>
      <xdr:spPr>
        <a:xfrm flipH="1">
          <a:off x="805543" y="1001486"/>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1262063</xdr:colOff>
      <xdr:row>37</xdr:row>
      <xdr:rowOff>190500</xdr:rowOff>
    </xdr:from>
    <xdr:to>
      <xdr:col>30</xdr:col>
      <xdr:colOff>83344</xdr:colOff>
      <xdr:row>43</xdr:row>
      <xdr:rowOff>23813</xdr:rowOff>
    </xdr:to>
    <xdr:sp macro="" textlink="">
      <xdr:nvSpPr>
        <xdr:cNvPr id="6" name="TextBox 5">
          <a:extLst>
            <a:ext uri="{FF2B5EF4-FFF2-40B4-BE49-F238E27FC236}">
              <a16:creationId xmlns:a16="http://schemas.microsoft.com/office/drawing/2014/main" id="{F7456E0D-087C-18A5-2164-D984DC6EA9D7}"/>
            </a:ext>
          </a:extLst>
        </xdr:cNvPr>
        <xdr:cNvSpPr txBox="1"/>
      </xdr:nvSpPr>
      <xdr:spPr>
        <a:xfrm>
          <a:off x="42374344" y="19728656"/>
          <a:ext cx="4012406" cy="17859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Diferenças para a ferramenta da APA:</a:t>
          </a:r>
        </a:p>
        <a:p>
          <a:r>
            <a:rPr lang="pt-PT" sz="1100"/>
            <a:t>- valores para albufeira revistos - estamos a incluir CO2,</a:t>
          </a:r>
          <a:r>
            <a:rPr lang="pt-PT" sz="1100" baseline="0"/>
            <a:t> metano bubbles e não estamos a usar a mediana. </a:t>
          </a:r>
        </a:p>
        <a:p>
          <a:endParaRPr lang="pt-PT" sz="1100" baseline="0"/>
        </a:p>
        <a:p>
          <a:r>
            <a:rPr lang="pt-PT" sz="1100" baseline="0"/>
            <a:t>- Deixou de haver categoria de eliminação de usos de solo</a:t>
          </a:r>
          <a:endParaRPr lang="pt-PT" sz="1100"/>
        </a:p>
      </xdr:txBody>
    </xdr:sp>
    <xdr:clientData/>
  </xdr:twoCellAnchor>
  <xdr:twoCellAnchor>
    <xdr:from>
      <xdr:col>32</xdr:col>
      <xdr:colOff>0</xdr:colOff>
      <xdr:row>152</xdr:row>
      <xdr:rowOff>0</xdr:rowOff>
    </xdr:from>
    <xdr:to>
      <xdr:col>42</xdr:col>
      <xdr:colOff>181996</xdr:colOff>
      <xdr:row>159</xdr:row>
      <xdr:rowOff>159883</xdr:rowOff>
    </xdr:to>
    <xdr:sp macro="" textlink="">
      <xdr:nvSpPr>
        <xdr:cNvPr id="7" name="TextBox 6">
          <a:extLst>
            <a:ext uri="{FF2B5EF4-FFF2-40B4-BE49-F238E27FC236}">
              <a16:creationId xmlns:a16="http://schemas.microsoft.com/office/drawing/2014/main" id="{6BA396F1-9624-423D-B1B3-EA3F296D189E}"/>
            </a:ext>
          </a:extLst>
        </xdr:cNvPr>
        <xdr:cNvSpPr txBox="1"/>
      </xdr:nvSpPr>
      <xdr:spPr>
        <a:xfrm>
          <a:off x="47026286" y="27187071"/>
          <a:ext cx="3991996" cy="1792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Diferenças para a ferramenta da APA:</a:t>
          </a:r>
        </a:p>
        <a:p>
          <a:r>
            <a:rPr lang="pt-PT" sz="1100"/>
            <a:t>-  A ferramenta agora propões</a:t>
          </a:r>
          <a:r>
            <a:rPr lang="pt-PT" sz="1100" baseline="0"/>
            <a:t> valoes de emissões para águas residuais  </a:t>
          </a:r>
        </a:p>
      </xdr:txBody>
    </xdr:sp>
    <xdr:clientData/>
  </xdr:twoCellAnchor>
  <xdr:twoCellAnchor>
    <xdr:from>
      <xdr:col>32</xdr:col>
      <xdr:colOff>0</xdr:colOff>
      <xdr:row>274</xdr:row>
      <xdr:rowOff>0</xdr:rowOff>
    </xdr:from>
    <xdr:to>
      <xdr:col>42</xdr:col>
      <xdr:colOff>181996</xdr:colOff>
      <xdr:row>281</xdr:row>
      <xdr:rowOff>159883</xdr:rowOff>
    </xdr:to>
    <xdr:sp macro="" textlink="">
      <xdr:nvSpPr>
        <xdr:cNvPr id="8" name="TextBox 7">
          <a:extLst>
            <a:ext uri="{FF2B5EF4-FFF2-40B4-BE49-F238E27FC236}">
              <a16:creationId xmlns:a16="http://schemas.microsoft.com/office/drawing/2014/main" id="{8F0E25A9-951A-4AD3-9E06-6AB82E7A4905}"/>
            </a:ext>
          </a:extLst>
        </xdr:cNvPr>
        <xdr:cNvSpPr txBox="1"/>
      </xdr:nvSpPr>
      <xdr:spPr>
        <a:xfrm>
          <a:off x="47801893" y="16900071"/>
          <a:ext cx="3991996" cy="17519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Diferenças para a ferramenta da APA:</a:t>
          </a:r>
        </a:p>
        <a:p>
          <a:r>
            <a:rPr lang="pt-PT" sz="1100"/>
            <a:t>-  A ferramenta agora propões</a:t>
          </a:r>
          <a:r>
            <a:rPr lang="pt-PT" sz="1100" baseline="0"/>
            <a:t> valoes de emissões para águas residuais  </a:t>
          </a:r>
        </a:p>
      </xdr:txBody>
    </xdr:sp>
    <xdr:clientData/>
  </xdr:twoCellAnchor>
  <xdr:twoCellAnchor>
    <xdr:from>
      <xdr:col>2</xdr:col>
      <xdr:colOff>217714</xdr:colOff>
      <xdr:row>1</xdr:row>
      <xdr:rowOff>95250</xdr:rowOff>
    </xdr:from>
    <xdr:to>
      <xdr:col>7</xdr:col>
      <xdr:colOff>490736</xdr:colOff>
      <xdr:row>6</xdr:row>
      <xdr:rowOff>98973</xdr:rowOff>
    </xdr:to>
    <xdr:sp macro="" textlink="">
      <xdr:nvSpPr>
        <xdr:cNvPr id="9" name="CaixaDeTexto 10">
          <a:extLst>
            <a:ext uri="{FF2B5EF4-FFF2-40B4-BE49-F238E27FC236}">
              <a16:creationId xmlns:a16="http://schemas.microsoft.com/office/drawing/2014/main" id="{BB10CB35-A092-4EDC-A27D-6BDF8390FE03}"/>
            </a:ext>
          </a:extLst>
        </xdr:cNvPr>
        <xdr:cNvSpPr txBox="1"/>
      </xdr:nvSpPr>
      <xdr:spPr>
        <a:xfrm>
          <a:off x="3769178" y="299357"/>
          <a:ext cx="15785165" cy="1024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Outras emissões de processo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459442</xdr:colOff>
      <xdr:row>1</xdr:row>
      <xdr:rowOff>174889</xdr:rowOff>
    </xdr:from>
    <xdr:to>
      <xdr:col>1</xdr:col>
      <xdr:colOff>1660072</xdr:colOff>
      <xdr:row>4</xdr:row>
      <xdr:rowOff>68036</xdr:rowOff>
    </xdr:to>
    <xdr:sp macro="" textlink="">
      <xdr:nvSpPr>
        <xdr:cNvPr id="6" name="Retângulo: Cantos Arredondados 3">
          <a:hlinkClick xmlns:r="http://schemas.openxmlformats.org/officeDocument/2006/relationships" r:id="rId1"/>
          <a:extLst>
            <a:ext uri="{FF2B5EF4-FFF2-40B4-BE49-F238E27FC236}">
              <a16:creationId xmlns:a16="http://schemas.microsoft.com/office/drawing/2014/main" id="{96B2DF1A-547B-437F-AC02-B8CD71B0B600}"/>
            </a:ext>
          </a:extLst>
        </xdr:cNvPr>
        <xdr:cNvSpPr/>
      </xdr:nvSpPr>
      <xdr:spPr>
        <a:xfrm>
          <a:off x="786013" y="378996"/>
          <a:ext cx="1200630" cy="832040"/>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1088572</xdr:colOff>
      <xdr:row>4</xdr:row>
      <xdr:rowOff>149049</xdr:rowOff>
    </xdr:from>
    <xdr:to>
      <xdr:col>1</xdr:col>
      <xdr:colOff>1416594</xdr:colOff>
      <xdr:row>6</xdr:row>
      <xdr:rowOff>94620</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444B9E4-15F1-41E4-A55E-329910DF337C}"/>
            </a:ext>
          </a:extLst>
        </xdr:cNvPr>
        <xdr:cNvSpPr/>
      </xdr:nvSpPr>
      <xdr:spPr>
        <a:xfrm>
          <a:off x="1415143" y="1292049"/>
          <a:ext cx="328022" cy="3537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665480</xdr:colOff>
      <xdr:row>4</xdr:row>
      <xdr:rowOff>149049</xdr:rowOff>
    </xdr:from>
    <xdr:to>
      <xdr:col>1</xdr:col>
      <xdr:colOff>979714</xdr:colOff>
      <xdr:row>6</xdr:row>
      <xdr:rowOff>105507</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0DF91AA6-426B-43C9-8429-9832CB342589}"/>
            </a:ext>
          </a:extLst>
        </xdr:cNvPr>
        <xdr:cNvSpPr/>
      </xdr:nvSpPr>
      <xdr:spPr>
        <a:xfrm flipH="1">
          <a:off x="992051" y="1292049"/>
          <a:ext cx="314234" cy="3646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5601</xdr:colOff>
      <xdr:row>24</xdr:row>
      <xdr:rowOff>90765</xdr:rowOff>
    </xdr:from>
    <xdr:to>
      <xdr:col>3</xdr:col>
      <xdr:colOff>212911</xdr:colOff>
      <xdr:row>48</xdr:row>
      <xdr:rowOff>145677</xdr:rowOff>
    </xdr:to>
    <xdr:graphicFrame macro="">
      <xdr:nvGraphicFramePr>
        <xdr:cNvPr id="7" name="Chart 6">
          <a:extLst>
            <a:ext uri="{FF2B5EF4-FFF2-40B4-BE49-F238E27FC236}">
              <a16:creationId xmlns:a16="http://schemas.microsoft.com/office/drawing/2014/main" id="{C87E0D8E-2080-B6DD-5966-DB384C4673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302557</xdr:colOff>
      <xdr:row>18</xdr:row>
      <xdr:rowOff>212913</xdr:rowOff>
    </xdr:from>
    <xdr:to>
      <xdr:col>9</xdr:col>
      <xdr:colOff>2924735</xdr:colOff>
      <xdr:row>48</xdr:row>
      <xdr:rowOff>100853</xdr:rowOff>
    </xdr:to>
    <xdr:graphicFrame macro="">
      <xdr:nvGraphicFramePr>
        <xdr:cNvPr id="9" name="Chart 8">
          <a:extLst>
            <a:ext uri="{FF2B5EF4-FFF2-40B4-BE49-F238E27FC236}">
              <a16:creationId xmlns:a16="http://schemas.microsoft.com/office/drawing/2014/main" id="{80E0C365-CB4B-DAE6-8F89-2EB7826801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152400</xdr:colOff>
      <xdr:row>1</xdr:row>
      <xdr:rowOff>0</xdr:rowOff>
    </xdr:from>
    <xdr:to>
      <xdr:col>1</xdr:col>
      <xdr:colOff>1355912</xdr:colOff>
      <xdr:row>4</xdr:row>
      <xdr:rowOff>82923</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7CD85AE4-7D18-48E3-8C0B-2AB37333879B}"/>
            </a:ext>
          </a:extLst>
        </xdr:cNvPr>
        <xdr:cNvSpPr/>
      </xdr:nvSpPr>
      <xdr:spPr>
        <a:xfrm>
          <a:off x="499782" y="201706"/>
          <a:ext cx="1203512" cy="688041"/>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838199</xdr:colOff>
      <xdr:row>4</xdr:row>
      <xdr:rowOff>152401</xdr:rowOff>
    </xdr:from>
    <xdr:to>
      <xdr:col>1</xdr:col>
      <xdr:colOff>1143000</xdr:colOff>
      <xdr:row>6</xdr:row>
      <xdr:rowOff>97972</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9D626015-0AFC-4020-89A5-88D850324F8F}"/>
            </a:ext>
          </a:extLst>
        </xdr:cNvPr>
        <xdr:cNvSpPr/>
      </xdr:nvSpPr>
      <xdr:spPr>
        <a:xfrm>
          <a:off x="1153885" y="936172"/>
          <a:ext cx="304801" cy="337457"/>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272143</xdr:colOff>
      <xdr:row>4</xdr:row>
      <xdr:rowOff>152401</xdr:rowOff>
    </xdr:from>
    <xdr:to>
      <xdr:col>1</xdr:col>
      <xdr:colOff>576942</xdr:colOff>
      <xdr:row>6</xdr:row>
      <xdr:rowOff>108859</xdr:rowOff>
    </xdr:to>
    <xdr:sp macro="" textlink="">
      <xdr:nvSpPr>
        <xdr:cNvPr id="6" name="Arrow: Right 5">
          <a:hlinkClick xmlns:r="http://schemas.openxmlformats.org/officeDocument/2006/relationships" r:id="rId3"/>
          <a:extLst>
            <a:ext uri="{FF2B5EF4-FFF2-40B4-BE49-F238E27FC236}">
              <a16:creationId xmlns:a16="http://schemas.microsoft.com/office/drawing/2014/main" id="{4284FF2B-041B-4C63-B08A-F0AF074A7BCE}"/>
            </a:ext>
          </a:extLst>
        </xdr:cNvPr>
        <xdr:cNvSpPr/>
      </xdr:nvSpPr>
      <xdr:spPr>
        <a:xfrm flipH="1">
          <a:off x="587829" y="936172"/>
          <a:ext cx="304799" cy="348344"/>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1411941</xdr:colOff>
      <xdr:row>0</xdr:row>
      <xdr:rowOff>112059</xdr:rowOff>
    </xdr:from>
    <xdr:to>
      <xdr:col>5</xdr:col>
      <xdr:colOff>2003630</xdr:colOff>
      <xdr:row>5</xdr:row>
      <xdr:rowOff>119285</xdr:rowOff>
    </xdr:to>
    <xdr:sp macro="" textlink="">
      <xdr:nvSpPr>
        <xdr:cNvPr id="2" name="CaixaDeTexto 10">
          <a:extLst>
            <a:ext uri="{FF2B5EF4-FFF2-40B4-BE49-F238E27FC236}">
              <a16:creationId xmlns:a16="http://schemas.microsoft.com/office/drawing/2014/main" id="{F52B8FC1-17F9-40AC-BDDF-58192A8A13E9}"/>
            </a:ext>
          </a:extLst>
        </xdr:cNvPr>
        <xdr:cNvSpPr txBox="1"/>
      </xdr:nvSpPr>
      <xdr:spPr>
        <a:xfrm>
          <a:off x="1759323" y="112059"/>
          <a:ext cx="15786866" cy="1015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Fatores de emissão e outros dados</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6A602B93-D9F7-465E-AE3E-7F978C15AC73}"/>
            </a:ext>
          </a:extLst>
        </xdr:cNvPr>
        <xdr:cNvSpPr/>
      </xdr:nvSpPr>
      <xdr:spPr>
        <a:xfrm>
          <a:off x="610960" y="238813"/>
          <a:ext cx="1206954" cy="69840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5</xdr:col>
      <xdr:colOff>21772</xdr:colOff>
      <xdr:row>6</xdr:row>
      <xdr:rowOff>95960</xdr:rowOff>
    </xdr:to>
    <xdr:sp macro="" textlink="">
      <xdr:nvSpPr>
        <xdr:cNvPr id="7" name="Retângulo: Cantos Arredondados 5">
          <a:extLst>
            <a:ext uri="{FF2B5EF4-FFF2-40B4-BE49-F238E27FC236}">
              <a16:creationId xmlns:a16="http://schemas.microsoft.com/office/drawing/2014/main" id="{5C28DFA9-5827-4F3F-B9E8-A43C74A3097B}"/>
            </a:ext>
          </a:extLst>
        </xdr:cNvPr>
        <xdr:cNvSpPr/>
      </xdr:nvSpPr>
      <xdr:spPr>
        <a:xfrm>
          <a:off x="1988280" y="225090"/>
          <a:ext cx="7362549" cy="104652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Conversão</a:t>
          </a:r>
          <a:r>
            <a:rPr lang="pt-PT" sz="2800" b="1" baseline="0">
              <a:solidFill>
                <a:sysClr val="windowText" lastClr="000000"/>
              </a:solidFill>
              <a:latin typeface="+mn-lt"/>
              <a:cs typeface="Poppins" panose="00000500000000000000" pitchFamily="2" charset="0"/>
            </a:rPr>
            <a:t> de Unidades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131988</xdr:colOff>
      <xdr:row>4</xdr:row>
      <xdr:rowOff>195271</xdr:rowOff>
    </xdr:from>
    <xdr:to>
      <xdr:col>1</xdr:col>
      <xdr:colOff>436787</xdr:colOff>
      <xdr:row>6</xdr:row>
      <xdr:rowOff>151729</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8A590A86-6896-4516-86AA-411EACC39732}"/>
            </a:ext>
          </a:extLst>
        </xdr:cNvPr>
        <xdr:cNvSpPr/>
      </xdr:nvSpPr>
      <xdr:spPr>
        <a:xfrm flipH="1">
          <a:off x="730702" y="97904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783771</xdr:colOff>
      <xdr:row>5</xdr:row>
      <xdr:rowOff>10886</xdr:rowOff>
    </xdr:from>
    <xdr:to>
      <xdr:col>1</xdr:col>
      <xdr:colOff>1088572</xdr:colOff>
      <xdr:row>6</xdr:row>
      <xdr:rowOff>152400</xdr:rowOff>
    </xdr:to>
    <xdr:sp macro="" textlink="">
      <xdr:nvSpPr>
        <xdr:cNvPr id="4" name="Arrow: Right 3">
          <a:hlinkClick xmlns:r="http://schemas.openxmlformats.org/officeDocument/2006/relationships" r:id="rId3"/>
          <a:extLst>
            <a:ext uri="{FF2B5EF4-FFF2-40B4-BE49-F238E27FC236}">
              <a16:creationId xmlns:a16="http://schemas.microsoft.com/office/drawing/2014/main" id="{8854BDB6-2FF1-4794-9ECA-75A1B5D833E1}"/>
            </a:ext>
          </a:extLst>
        </xdr:cNvPr>
        <xdr:cNvSpPr/>
      </xdr:nvSpPr>
      <xdr:spPr>
        <a:xfrm>
          <a:off x="1382485" y="990600"/>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54429</xdr:colOff>
      <xdr:row>1</xdr:row>
      <xdr:rowOff>160111</xdr:rowOff>
    </xdr:from>
    <xdr:to>
      <xdr:col>2</xdr:col>
      <xdr:colOff>581478</xdr:colOff>
      <xdr:row>5</xdr:row>
      <xdr:rowOff>116034</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280B8D7C-E555-40B9-9962-DB54EB7DE04C}"/>
            </a:ext>
          </a:extLst>
        </xdr:cNvPr>
        <xdr:cNvSpPr/>
      </xdr:nvSpPr>
      <xdr:spPr>
        <a:xfrm>
          <a:off x="653143" y="388711"/>
          <a:ext cx="1125764" cy="87032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87085</xdr:colOff>
      <xdr:row>5</xdr:row>
      <xdr:rowOff>152400</xdr:rowOff>
    </xdr:from>
    <xdr:to>
      <xdr:col>2</xdr:col>
      <xdr:colOff>391886</xdr:colOff>
      <xdr:row>7</xdr:row>
      <xdr:rowOff>97971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A0D11853-B87A-4DD1-9D17-03115FDB2C1D}"/>
            </a:ext>
          </a:extLst>
        </xdr:cNvPr>
        <xdr:cNvSpPr/>
      </xdr:nvSpPr>
      <xdr:spPr>
        <a:xfrm>
          <a:off x="1284514" y="1295400"/>
          <a:ext cx="304801" cy="40277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195944</xdr:colOff>
      <xdr:row>5</xdr:row>
      <xdr:rowOff>152400</xdr:rowOff>
    </xdr:from>
    <xdr:to>
      <xdr:col>1</xdr:col>
      <xdr:colOff>500743</xdr:colOff>
      <xdr:row>7</xdr:row>
      <xdr:rowOff>108858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173E6F8D-E597-4CEE-A7A4-7B97620AA061}"/>
            </a:ext>
          </a:extLst>
        </xdr:cNvPr>
        <xdr:cNvSpPr/>
      </xdr:nvSpPr>
      <xdr:spPr>
        <a:xfrm flipH="1">
          <a:off x="794658" y="1295400"/>
          <a:ext cx="304799" cy="41365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108857</xdr:colOff>
      <xdr:row>1</xdr:row>
      <xdr:rowOff>95249</xdr:rowOff>
    </xdr:from>
    <xdr:to>
      <xdr:col>22</xdr:col>
      <xdr:colOff>63954</xdr:colOff>
      <xdr:row>5</xdr:row>
      <xdr:rowOff>152401</xdr:rowOff>
    </xdr:to>
    <xdr:sp macro="" textlink="">
      <xdr:nvSpPr>
        <xdr:cNvPr id="8" name="CaixaDeTexto 10">
          <a:extLst>
            <a:ext uri="{FF2B5EF4-FFF2-40B4-BE49-F238E27FC236}">
              <a16:creationId xmlns:a16="http://schemas.microsoft.com/office/drawing/2014/main" id="{790CB50B-8A2A-9239-41C4-64C5FFA20942}"/>
            </a:ext>
          </a:extLst>
        </xdr:cNvPr>
        <xdr:cNvSpPr txBox="1"/>
      </xdr:nvSpPr>
      <xdr:spPr>
        <a:xfrm>
          <a:off x="2068286" y="340178"/>
          <a:ext cx="12827454"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Como usar a</a:t>
          </a:r>
          <a:r>
            <a:rPr lang="pt-PT" sz="3200" b="1" baseline="0">
              <a:solidFill>
                <a:schemeClr val="accent2"/>
              </a:solidFill>
              <a:latin typeface="+mn-lt"/>
              <a:cs typeface="Poppins" panose="00000500000000000000" pitchFamily="2" charset="0"/>
            </a:rPr>
            <a:t> GEE-PInfra-RC?</a:t>
          </a:r>
        </a:p>
      </xdr:txBody>
    </xdr:sp>
    <xdr:clientData/>
  </xdr:twoCellAnchor>
  <xdr:twoCellAnchor editAs="oneCell">
    <xdr:from>
      <xdr:col>2</xdr:col>
      <xdr:colOff>382343</xdr:colOff>
      <xdr:row>23</xdr:row>
      <xdr:rowOff>27215</xdr:rowOff>
    </xdr:from>
    <xdr:to>
      <xdr:col>23</xdr:col>
      <xdr:colOff>136071</xdr:colOff>
      <xdr:row>35</xdr:row>
      <xdr:rowOff>56856</xdr:rowOff>
    </xdr:to>
    <xdr:pic>
      <xdr:nvPicPr>
        <xdr:cNvPr id="2" name="Picture 1">
          <a:extLst>
            <a:ext uri="{FF2B5EF4-FFF2-40B4-BE49-F238E27FC236}">
              <a16:creationId xmlns:a16="http://schemas.microsoft.com/office/drawing/2014/main" id="{EF9534A6-D83F-34E0-6EB3-1B37A1085EE3}"/>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6490"/>
        <a:stretch>
          <a:fillRect/>
        </a:stretch>
      </xdr:blipFill>
      <xdr:spPr bwMode="auto">
        <a:xfrm>
          <a:off x="1688629" y="6327322"/>
          <a:ext cx="13932371" cy="2968784"/>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FECF7806-7B24-4C67-B2F5-CF02DA5972CA}"/>
            </a:ext>
          </a:extLst>
        </xdr:cNvPr>
        <xdr:cNvSpPr/>
      </xdr:nvSpPr>
      <xdr:spPr>
        <a:xfrm>
          <a:off x="614226" y="240990"/>
          <a:ext cx="1206954" cy="704934"/>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5</xdr:col>
      <xdr:colOff>1306286</xdr:colOff>
      <xdr:row>6</xdr:row>
      <xdr:rowOff>95960</xdr:rowOff>
    </xdr:to>
    <xdr:sp macro="" textlink="">
      <xdr:nvSpPr>
        <xdr:cNvPr id="3" name="Retângulo: Cantos Arredondados 5">
          <a:extLst>
            <a:ext uri="{FF2B5EF4-FFF2-40B4-BE49-F238E27FC236}">
              <a16:creationId xmlns:a16="http://schemas.microsoft.com/office/drawing/2014/main" id="{D0EA7167-7A93-4DC6-AB4E-194BAED622AE}"/>
            </a:ext>
          </a:extLst>
        </xdr:cNvPr>
        <xdr:cNvSpPr/>
      </xdr:nvSpPr>
      <xdr:spPr>
        <a:xfrm>
          <a:off x="1988280" y="225090"/>
          <a:ext cx="8647063" cy="1046527"/>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Ficha técnica</a:t>
          </a:r>
        </a:p>
      </xdr:txBody>
    </xdr:sp>
    <xdr:clientData/>
  </xdr:twoCellAnchor>
  <xdr:twoCellAnchor>
    <xdr:from>
      <xdr:col>1</xdr:col>
      <xdr:colOff>861330</xdr:colOff>
      <xdr:row>4</xdr:row>
      <xdr:rowOff>195271</xdr:rowOff>
    </xdr:from>
    <xdr:to>
      <xdr:col>1</xdr:col>
      <xdr:colOff>1166129</xdr:colOff>
      <xdr:row>6</xdr:row>
      <xdr:rowOff>151729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D31E5CEC-45A7-40F6-969B-4B729F86C6D4}"/>
            </a:ext>
          </a:extLst>
        </xdr:cNvPr>
        <xdr:cNvSpPr/>
      </xdr:nvSpPr>
      <xdr:spPr>
        <a:xfrm flipH="1">
          <a:off x="1460044" y="979042"/>
          <a:ext cx="304799" cy="348344"/>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1147082</xdr:colOff>
      <xdr:row>1</xdr:row>
      <xdr:rowOff>73478</xdr:rowOff>
    </xdr:from>
    <xdr:to>
      <xdr:col>12</xdr:col>
      <xdr:colOff>10886</xdr:colOff>
      <xdr:row>6</xdr:row>
      <xdr:rowOff>153760</xdr:rowOff>
    </xdr:to>
    <xdr:sp macro="" textlink="">
      <xdr:nvSpPr>
        <xdr:cNvPr id="2" name="Retângulo: Cantos Arredondados 5">
          <a:extLst>
            <a:ext uri="{FF2B5EF4-FFF2-40B4-BE49-F238E27FC236}">
              <a16:creationId xmlns:a16="http://schemas.microsoft.com/office/drawing/2014/main" id="{A99AA874-C838-4CD9-A6D9-BE85FB25E496}"/>
            </a:ext>
          </a:extLst>
        </xdr:cNvPr>
        <xdr:cNvSpPr/>
      </xdr:nvSpPr>
      <xdr:spPr>
        <a:xfrm>
          <a:off x="1147082" y="258535"/>
          <a:ext cx="1296080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1268556</xdr:colOff>
      <xdr:row>1</xdr:row>
      <xdr:rowOff>34636</xdr:rowOff>
    </xdr:from>
    <xdr:to>
      <xdr:col>18</xdr:col>
      <xdr:colOff>13854</xdr:colOff>
      <xdr:row>6</xdr:row>
      <xdr:rowOff>110836</xdr:rowOff>
    </xdr:to>
    <xdr:sp macro="" textlink="">
      <xdr:nvSpPr>
        <xdr:cNvPr id="3" name="Retângulo: Cantos Arredondados 5">
          <a:extLst>
            <a:ext uri="{FF2B5EF4-FFF2-40B4-BE49-F238E27FC236}">
              <a16:creationId xmlns:a16="http://schemas.microsoft.com/office/drawing/2014/main" id="{5A01ABC6-E9CD-4D3F-963A-E5CF3D79B19D}"/>
            </a:ext>
          </a:extLst>
        </xdr:cNvPr>
        <xdr:cNvSpPr/>
      </xdr:nvSpPr>
      <xdr:spPr>
        <a:xfrm>
          <a:off x="1268556" y="214745"/>
          <a:ext cx="22838353" cy="97674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Alteração dos Usos de Solo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367553</xdr:colOff>
      <xdr:row>1</xdr:row>
      <xdr:rowOff>82177</xdr:rowOff>
    </xdr:from>
    <xdr:to>
      <xdr:col>9</xdr:col>
      <xdr:colOff>0</xdr:colOff>
      <xdr:row>6</xdr:row>
      <xdr:rowOff>164422</xdr:rowOff>
    </xdr:to>
    <xdr:sp macro="" textlink="">
      <xdr:nvSpPr>
        <xdr:cNvPr id="2" name="Retângulo: Cantos Arredondados 5">
          <a:extLst>
            <a:ext uri="{FF2B5EF4-FFF2-40B4-BE49-F238E27FC236}">
              <a16:creationId xmlns:a16="http://schemas.microsoft.com/office/drawing/2014/main" id="{005EB6AD-43DA-446C-AD9B-C3675FA862EF}"/>
            </a:ext>
          </a:extLst>
        </xdr:cNvPr>
        <xdr:cNvSpPr/>
      </xdr:nvSpPr>
      <xdr:spPr>
        <a:xfrm>
          <a:off x="367553" y="261471"/>
          <a:ext cx="14469035" cy="97871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Categoria 3</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358586</xdr:colOff>
      <xdr:row>1</xdr:row>
      <xdr:rowOff>23533</xdr:rowOff>
    </xdr:from>
    <xdr:to>
      <xdr:col>8</xdr:col>
      <xdr:colOff>5226423</xdr:colOff>
      <xdr:row>6</xdr:row>
      <xdr:rowOff>96558</xdr:rowOff>
    </xdr:to>
    <xdr:sp macro="" textlink="">
      <xdr:nvSpPr>
        <xdr:cNvPr id="2" name="Retângulo: Cantos Arredondados 5">
          <a:extLst>
            <a:ext uri="{FF2B5EF4-FFF2-40B4-BE49-F238E27FC236}">
              <a16:creationId xmlns:a16="http://schemas.microsoft.com/office/drawing/2014/main" id="{3A91594C-6D47-440A-BB28-4F61F3FCE5F4}"/>
            </a:ext>
          </a:extLst>
        </xdr:cNvPr>
        <xdr:cNvSpPr/>
      </xdr:nvSpPr>
      <xdr:spPr>
        <a:xfrm>
          <a:off x="358586" y="202827"/>
          <a:ext cx="14827625" cy="9694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Fugitivas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15874</xdr:rowOff>
    </xdr:from>
    <xdr:to>
      <xdr:col>2</xdr:col>
      <xdr:colOff>177800</xdr:colOff>
      <xdr:row>5</xdr:row>
      <xdr:rowOff>126999</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3B406C85-BAD3-4855-903C-98658C739851}"/>
            </a:ext>
          </a:extLst>
        </xdr:cNvPr>
        <xdr:cNvSpPr/>
      </xdr:nvSpPr>
      <xdr:spPr>
        <a:xfrm>
          <a:off x="609600" y="377824"/>
          <a:ext cx="1120775" cy="65405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1402079</xdr:colOff>
      <xdr:row>1</xdr:row>
      <xdr:rowOff>83457</xdr:rowOff>
    </xdr:from>
    <xdr:to>
      <xdr:col>10</xdr:col>
      <xdr:colOff>274320</xdr:colOff>
      <xdr:row>6</xdr:row>
      <xdr:rowOff>169182</xdr:rowOff>
    </xdr:to>
    <xdr:sp macro="" textlink="">
      <xdr:nvSpPr>
        <xdr:cNvPr id="6" name="Retângulo: Cantos Arredondados 5">
          <a:extLst>
            <a:ext uri="{FF2B5EF4-FFF2-40B4-BE49-F238E27FC236}">
              <a16:creationId xmlns:a16="http://schemas.microsoft.com/office/drawing/2014/main" id="{5EF3FAE4-D1D0-4169-8CD8-4A3C68586E3F}"/>
            </a:ext>
          </a:extLst>
        </xdr:cNvPr>
        <xdr:cNvSpPr/>
      </xdr:nvSpPr>
      <xdr:spPr>
        <a:xfrm>
          <a:off x="2956559" y="296817"/>
          <a:ext cx="21457921" cy="1152525"/>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Emissões Evitadas</a:t>
          </a:r>
        </a:p>
      </xdr:txBody>
    </xdr:sp>
    <xdr:clientData/>
  </xdr:twoCellAnchor>
  <xdr:twoCellAnchor>
    <xdr:from>
      <xdr:col>1</xdr:col>
      <xdr:colOff>659492</xdr:colOff>
      <xdr:row>5</xdr:row>
      <xdr:rowOff>177347</xdr:rowOff>
    </xdr:from>
    <xdr:to>
      <xdr:col>2</xdr:col>
      <xdr:colOff>39007</xdr:colOff>
      <xdr:row>7</xdr:row>
      <xdr:rowOff>122918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28EEC85A-0039-4777-AC56-5130F670AA9E}"/>
            </a:ext>
          </a:extLst>
        </xdr:cNvPr>
        <xdr:cNvSpPr/>
      </xdr:nvSpPr>
      <xdr:spPr>
        <a:xfrm>
          <a:off x="1258206" y="1157061"/>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93436</xdr:colOff>
      <xdr:row>5</xdr:row>
      <xdr:rowOff>177347</xdr:rowOff>
    </xdr:from>
    <xdr:to>
      <xdr:col>1</xdr:col>
      <xdr:colOff>398235</xdr:colOff>
      <xdr:row>7</xdr:row>
      <xdr:rowOff>133805</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AEB799AC-DB8B-443C-9962-DF23259FA6BF}"/>
            </a:ext>
          </a:extLst>
        </xdr:cNvPr>
        <xdr:cNvSpPr/>
      </xdr:nvSpPr>
      <xdr:spPr>
        <a:xfrm flipH="1">
          <a:off x="692150" y="1157061"/>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601979</xdr:colOff>
      <xdr:row>1</xdr:row>
      <xdr:rowOff>163830</xdr:rowOff>
    </xdr:from>
    <xdr:to>
      <xdr:col>6</xdr:col>
      <xdr:colOff>38100</xdr:colOff>
      <xdr:row>5</xdr:row>
      <xdr:rowOff>30480</xdr:rowOff>
    </xdr:to>
    <xdr:sp macro="" textlink="">
      <xdr:nvSpPr>
        <xdr:cNvPr id="2" name="Retângulo: Cantos Arredondados 5">
          <a:extLst>
            <a:ext uri="{FF2B5EF4-FFF2-40B4-BE49-F238E27FC236}">
              <a16:creationId xmlns:a16="http://schemas.microsoft.com/office/drawing/2014/main" id="{47ADCE84-39FB-4606-93D7-EF6331528FC4}"/>
            </a:ext>
          </a:extLst>
        </xdr:cNvPr>
        <xdr:cNvSpPr/>
      </xdr:nvSpPr>
      <xdr:spPr>
        <a:xfrm>
          <a:off x="601979" y="346710"/>
          <a:ext cx="4739641" cy="59817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Emissões Evitadas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263236</xdr:colOff>
      <xdr:row>1</xdr:row>
      <xdr:rowOff>18220</xdr:rowOff>
    </xdr:from>
    <xdr:to>
      <xdr:col>10</xdr:col>
      <xdr:colOff>2244437</xdr:colOff>
      <xdr:row>6</xdr:row>
      <xdr:rowOff>84961</xdr:rowOff>
    </xdr:to>
    <xdr:sp macro="" textlink="">
      <xdr:nvSpPr>
        <xdr:cNvPr id="6" name="Retângulo: Cantos Arredondados 5">
          <a:extLst>
            <a:ext uri="{FF2B5EF4-FFF2-40B4-BE49-F238E27FC236}">
              <a16:creationId xmlns:a16="http://schemas.microsoft.com/office/drawing/2014/main" id="{5FF6F6EE-E2E6-4A8B-B2BD-7002010DEAA4}"/>
            </a:ext>
          </a:extLst>
        </xdr:cNvPr>
        <xdr:cNvSpPr/>
      </xdr:nvSpPr>
      <xdr:spPr>
        <a:xfrm>
          <a:off x="1939636" y="212184"/>
          <a:ext cx="13300365" cy="103655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Aquisição de</a:t>
          </a:r>
          <a:r>
            <a:rPr lang="pt-PT" sz="2800" b="1" baseline="0">
              <a:solidFill>
                <a:sysClr val="windowText" lastClr="000000"/>
              </a:solidFill>
              <a:latin typeface="+mn-lt"/>
              <a:cs typeface="Poppins" panose="00000500000000000000" pitchFamily="2" charset="0"/>
            </a:rPr>
            <a:t> bens e serviços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C6811086-6C98-437A-89CC-363906D54ECF}"/>
            </a:ext>
          </a:extLst>
        </xdr:cNvPr>
        <xdr:cNvSpPr/>
      </xdr:nvSpPr>
      <xdr:spPr>
        <a:xfrm>
          <a:off x="683160" y="264556"/>
          <a:ext cx="1049399" cy="71260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E5536F7-B74C-4F0B-A43F-CBB754798AA5}"/>
            </a:ext>
          </a:extLst>
        </xdr:cNvPr>
        <xdr:cNvSpPr/>
      </xdr:nvSpPr>
      <xdr:spPr>
        <a:xfrm>
          <a:off x="1314532" y="1015668"/>
          <a:ext cx="307770" cy="33349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47CF0628-4F66-4920-8D83-CA7503AA1081}"/>
            </a:ext>
          </a:extLst>
        </xdr:cNvPr>
        <xdr:cNvSpPr/>
      </xdr:nvSpPr>
      <xdr:spPr>
        <a:xfrm flipH="1">
          <a:off x="748476" y="1015668"/>
          <a:ext cx="304799" cy="3443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762000</xdr:colOff>
      <xdr:row>1</xdr:row>
      <xdr:rowOff>0</xdr:rowOff>
    </xdr:from>
    <xdr:to>
      <xdr:col>9</xdr:col>
      <xdr:colOff>43543</xdr:colOff>
      <xdr:row>4</xdr:row>
      <xdr:rowOff>129540</xdr:rowOff>
    </xdr:to>
    <xdr:sp macro="" textlink="">
      <xdr:nvSpPr>
        <xdr:cNvPr id="2" name="Retângulo: Cantos Arredondados 5">
          <a:extLst>
            <a:ext uri="{FF2B5EF4-FFF2-40B4-BE49-F238E27FC236}">
              <a16:creationId xmlns:a16="http://schemas.microsoft.com/office/drawing/2014/main" id="{B7EB4B73-C71C-4F8F-9EB6-7FA51FA0EAB5}"/>
            </a:ext>
          </a:extLst>
        </xdr:cNvPr>
        <xdr:cNvSpPr/>
      </xdr:nvSpPr>
      <xdr:spPr>
        <a:xfrm>
          <a:off x="2209800" y="185057"/>
          <a:ext cx="6868886" cy="68471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Bens de consumo e de capital</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426523</xdr:colOff>
      <xdr:row>1</xdr:row>
      <xdr:rowOff>59783</xdr:rowOff>
    </xdr:from>
    <xdr:to>
      <xdr:col>10</xdr:col>
      <xdr:colOff>2247901</xdr:colOff>
      <xdr:row>6</xdr:row>
      <xdr:rowOff>126524</xdr:rowOff>
    </xdr:to>
    <xdr:sp macro="" textlink="">
      <xdr:nvSpPr>
        <xdr:cNvPr id="2" name="Retângulo: Cantos Arredondados 5">
          <a:extLst>
            <a:ext uri="{FF2B5EF4-FFF2-40B4-BE49-F238E27FC236}">
              <a16:creationId xmlns:a16="http://schemas.microsoft.com/office/drawing/2014/main" id="{8A600445-ACC1-4DA1-BBCE-D653A3ED5D56}"/>
            </a:ext>
          </a:extLst>
        </xdr:cNvPr>
        <xdr:cNvSpPr/>
      </xdr:nvSpPr>
      <xdr:spPr>
        <a:xfrm>
          <a:off x="2102923" y="250283"/>
          <a:ext cx="15423078" cy="1019241"/>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Uso dos produtos do projeto</a:t>
          </a: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9860FE73-593E-4C8F-84AA-EB72271631D5}"/>
            </a:ext>
          </a:extLst>
        </xdr:cNvPr>
        <xdr:cNvSpPr/>
      </xdr:nvSpPr>
      <xdr:spPr>
        <a:xfrm>
          <a:off x="678806" y="266733"/>
          <a:ext cx="1053753" cy="719135"/>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A1561A69-2DD2-4343-A02C-00A186DDF186}"/>
            </a:ext>
          </a:extLst>
        </xdr:cNvPr>
        <xdr:cNvSpPr/>
      </xdr:nvSpPr>
      <xdr:spPr>
        <a:xfrm>
          <a:off x="1310178" y="1026554"/>
          <a:ext cx="307770" cy="33567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6196F66D-7F8C-440B-ACE9-9C4AD5E9E9AB}"/>
            </a:ext>
          </a:extLst>
        </xdr:cNvPr>
        <xdr:cNvSpPr/>
      </xdr:nvSpPr>
      <xdr:spPr>
        <a:xfrm flipH="1">
          <a:off x="744122" y="1026554"/>
          <a:ext cx="304799" cy="34656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1</xdr:row>
      <xdr:rowOff>179731</xdr:rowOff>
    </xdr:from>
    <xdr:to>
      <xdr:col>1</xdr:col>
      <xdr:colOff>1279387</xdr:colOff>
      <xdr:row>5</xdr:row>
      <xdr:rowOff>112504</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A709752F-7CF1-4739-A7B0-D309F6BC935B}"/>
            </a:ext>
          </a:extLst>
        </xdr:cNvPr>
        <xdr:cNvSpPr/>
      </xdr:nvSpPr>
      <xdr:spPr>
        <a:xfrm>
          <a:off x="742950" y="417856"/>
          <a:ext cx="1117462" cy="88527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847726</xdr:colOff>
      <xdr:row>5</xdr:row>
      <xdr:rowOff>139700</xdr:rowOff>
    </xdr:from>
    <xdr:to>
      <xdr:col>1</xdr:col>
      <xdr:colOff>1152527</xdr:colOff>
      <xdr:row>7</xdr:row>
      <xdr:rowOff>85271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38CE35D1-BCFE-48A1-A9D7-9E242C065854}"/>
            </a:ext>
          </a:extLst>
        </xdr:cNvPr>
        <xdr:cNvSpPr/>
      </xdr:nvSpPr>
      <xdr:spPr>
        <a:xfrm>
          <a:off x="1428751" y="1330325"/>
          <a:ext cx="304801" cy="42182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281670</xdr:colOff>
      <xdr:row>5</xdr:row>
      <xdr:rowOff>128814</xdr:rowOff>
    </xdr:from>
    <xdr:to>
      <xdr:col>1</xdr:col>
      <xdr:colOff>586469</xdr:colOff>
      <xdr:row>7</xdr:row>
      <xdr:rowOff>85272</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BD5F9E5C-8C27-41D8-8530-BDC188F9DE1A}"/>
            </a:ext>
          </a:extLst>
        </xdr:cNvPr>
        <xdr:cNvSpPr/>
      </xdr:nvSpPr>
      <xdr:spPr>
        <a:xfrm flipH="1">
          <a:off x="862695" y="1319439"/>
          <a:ext cx="304799" cy="43270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1498786</xdr:colOff>
      <xdr:row>1</xdr:row>
      <xdr:rowOff>140073</xdr:rowOff>
    </xdr:from>
    <xdr:to>
      <xdr:col>4</xdr:col>
      <xdr:colOff>4930587</xdr:colOff>
      <xdr:row>5</xdr:row>
      <xdr:rowOff>224439</xdr:rowOff>
    </xdr:to>
    <xdr:sp macro="" textlink="">
      <xdr:nvSpPr>
        <xdr:cNvPr id="6" name="CaixaDeTexto 10">
          <a:extLst>
            <a:ext uri="{FF2B5EF4-FFF2-40B4-BE49-F238E27FC236}">
              <a16:creationId xmlns:a16="http://schemas.microsoft.com/office/drawing/2014/main" id="{BB970A5D-0EAD-49B3-A3C2-058BAB42AE97}"/>
            </a:ext>
          </a:extLst>
        </xdr:cNvPr>
        <xdr:cNvSpPr txBox="1"/>
      </xdr:nvSpPr>
      <xdr:spPr>
        <a:xfrm>
          <a:off x="2157132" y="378198"/>
          <a:ext cx="15800293"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Fase 1 (atenuação) - Verificação preliminar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699621</xdr:colOff>
      <xdr:row>0</xdr:row>
      <xdr:rowOff>174066</xdr:rowOff>
    </xdr:from>
    <xdr:to>
      <xdr:col>3</xdr:col>
      <xdr:colOff>35859</xdr:colOff>
      <xdr:row>4</xdr:row>
      <xdr:rowOff>26896</xdr:rowOff>
    </xdr:to>
    <xdr:sp macro="" textlink="">
      <xdr:nvSpPr>
        <xdr:cNvPr id="2" name="Retângulo: Cantos Arredondados 5">
          <a:extLst>
            <a:ext uri="{FF2B5EF4-FFF2-40B4-BE49-F238E27FC236}">
              <a16:creationId xmlns:a16="http://schemas.microsoft.com/office/drawing/2014/main" id="{95B52C48-204C-4F15-9F24-D91F4162EB5D}"/>
            </a:ext>
          </a:extLst>
        </xdr:cNvPr>
        <xdr:cNvSpPr/>
      </xdr:nvSpPr>
      <xdr:spPr>
        <a:xfrm>
          <a:off x="699621" y="174066"/>
          <a:ext cx="7933391" cy="57000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Usos do Produto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413658</xdr:colOff>
      <xdr:row>0</xdr:row>
      <xdr:rowOff>130629</xdr:rowOff>
    </xdr:from>
    <xdr:to>
      <xdr:col>7</xdr:col>
      <xdr:colOff>348344</xdr:colOff>
      <xdr:row>6</xdr:row>
      <xdr:rowOff>31586</xdr:rowOff>
    </xdr:to>
    <xdr:sp macro="" textlink="">
      <xdr:nvSpPr>
        <xdr:cNvPr id="2" name="Retângulo: Cantos Arredondados 5">
          <a:extLst>
            <a:ext uri="{FF2B5EF4-FFF2-40B4-BE49-F238E27FC236}">
              <a16:creationId xmlns:a16="http://schemas.microsoft.com/office/drawing/2014/main" id="{DDDF4D2B-8774-4A51-A0FC-3C967675ECDD}"/>
            </a:ext>
          </a:extLst>
        </xdr:cNvPr>
        <xdr:cNvSpPr/>
      </xdr:nvSpPr>
      <xdr:spPr>
        <a:xfrm>
          <a:off x="413658" y="130629"/>
          <a:ext cx="12126686" cy="101130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Dados gerais e Permuta</a:t>
          </a:r>
          <a:r>
            <a:rPr lang="pt-PT" b="0" baseline="0">
              <a:latin typeface="Poppins" panose="00000500000000000000" pitchFamily="2" charset="0"/>
              <a:cs typeface="Poppins" panose="00000500000000000000" pitchFamily="2" charset="0"/>
            </a:rPr>
            <a:t> Casa-Trabalho</a:t>
          </a:r>
          <a:endParaRPr lang="pt-PT" b="0">
            <a:latin typeface="Poppins" panose="00000500000000000000" pitchFamily="2" charset="0"/>
            <a:cs typeface="Poppins" panose="0000050000000000000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161925</xdr:colOff>
      <xdr:row>1</xdr:row>
      <xdr:rowOff>179731</xdr:rowOff>
    </xdr:from>
    <xdr:to>
      <xdr:col>1</xdr:col>
      <xdr:colOff>1279387</xdr:colOff>
      <xdr:row>5</xdr:row>
      <xdr:rowOff>112504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BAB2754-DE6A-4257-A634-69E4764DF5AD}"/>
            </a:ext>
          </a:extLst>
        </xdr:cNvPr>
        <xdr:cNvSpPr/>
      </xdr:nvSpPr>
      <xdr:spPr>
        <a:xfrm>
          <a:off x="771525" y="360706"/>
          <a:ext cx="1117462" cy="65667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847726</xdr:colOff>
      <xdr:row>5</xdr:row>
      <xdr:rowOff>139700</xdr:rowOff>
    </xdr:from>
    <xdr:to>
      <xdr:col>1</xdr:col>
      <xdr:colOff>1152527</xdr:colOff>
      <xdr:row>7</xdr:row>
      <xdr:rowOff>85271</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14C3E2D3-FEE0-4DEF-9208-5FF209500CD9}"/>
            </a:ext>
          </a:extLst>
        </xdr:cNvPr>
        <xdr:cNvSpPr/>
      </xdr:nvSpPr>
      <xdr:spPr>
        <a:xfrm>
          <a:off x="1446440" y="1064986"/>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281670</xdr:colOff>
      <xdr:row>5</xdr:row>
      <xdr:rowOff>128814</xdr:rowOff>
    </xdr:from>
    <xdr:to>
      <xdr:col>1</xdr:col>
      <xdr:colOff>586469</xdr:colOff>
      <xdr:row>7</xdr:row>
      <xdr:rowOff>85272</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E9912738-725B-479A-A604-AB68DCB63D9A}"/>
            </a:ext>
          </a:extLst>
        </xdr:cNvPr>
        <xdr:cNvSpPr/>
      </xdr:nvSpPr>
      <xdr:spPr>
        <a:xfrm flipH="1">
          <a:off x="880384" y="1054100"/>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1530804</xdr:colOff>
      <xdr:row>1</xdr:row>
      <xdr:rowOff>143782</xdr:rowOff>
    </xdr:from>
    <xdr:to>
      <xdr:col>4</xdr:col>
      <xdr:colOff>5565001</xdr:colOff>
      <xdr:row>5</xdr:row>
      <xdr:rowOff>200934</xdr:rowOff>
    </xdr:to>
    <xdr:sp macro="" textlink="">
      <xdr:nvSpPr>
        <xdr:cNvPr id="4" name="CaixaDeTexto 10">
          <a:extLst>
            <a:ext uri="{FF2B5EF4-FFF2-40B4-BE49-F238E27FC236}">
              <a16:creationId xmlns:a16="http://schemas.microsoft.com/office/drawing/2014/main" id="{E237A54A-43BA-4565-BABD-71BD91CDB44F}"/>
            </a:ext>
          </a:extLst>
        </xdr:cNvPr>
        <xdr:cNvSpPr txBox="1"/>
      </xdr:nvSpPr>
      <xdr:spPr>
        <a:xfrm>
          <a:off x="2183947" y="388711"/>
          <a:ext cx="15790768"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Triagem - Que separadores</a:t>
          </a:r>
          <a:r>
            <a:rPr lang="pt-PT" sz="3200" b="1" baseline="0">
              <a:solidFill>
                <a:schemeClr val="accent2"/>
              </a:solidFill>
              <a:latin typeface="+mn-lt"/>
              <a:cs typeface="Poppins" panose="00000500000000000000" pitchFamily="2" charset="0"/>
            </a:rPr>
            <a:t> deverei preencher?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27215</xdr:colOff>
      <xdr:row>2</xdr:row>
      <xdr:rowOff>187779</xdr:rowOff>
    </xdr:from>
    <xdr:to>
      <xdr:col>5</xdr:col>
      <xdr:colOff>332016</xdr:colOff>
      <xdr:row>4</xdr:row>
      <xdr:rowOff>133350</xdr:rowOff>
    </xdr:to>
    <xdr:sp macro="" textlink="">
      <xdr:nvSpPr>
        <xdr:cNvPr id="6" name="Arrow: Right 5">
          <a:hlinkClick xmlns:r="http://schemas.openxmlformats.org/officeDocument/2006/relationships" r:id="rId1"/>
          <a:extLst>
            <a:ext uri="{FF2B5EF4-FFF2-40B4-BE49-F238E27FC236}">
              <a16:creationId xmlns:a16="http://schemas.microsoft.com/office/drawing/2014/main" id="{EC16A40F-668A-4D31-8AB3-17239D01ECB6}"/>
            </a:ext>
          </a:extLst>
        </xdr:cNvPr>
        <xdr:cNvSpPr/>
      </xdr:nvSpPr>
      <xdr:spPr>
        <a:xfrm>
          <a:off x="4340679" y="677636"/>
          <a:ext cx="304801" cy="43542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187776</xdr:colOff>
      <xdr:row>2</xdr:row>
      <xdr:rowOff>176893</xdr:rowOff>
    </xdr:from>
    <xdr:to>
      <xdr:col>4</xdr:col>
      <xdr:colOff>538840</xdr:colOff>
      <xdr:row>4</xdr:row>
      <xdr:rowOff>133351</xdr:rowOff>
    </xdr:to>
    <xdr:sp macro="" textlink="">
      <xdr:nvSpPr>
        <xdr:cNvPr id="7" name="Arrow: Right 6">
          <a:hlinkClick xmlns:r="http://schemas.openxmlformats.org/officeDocument/2006/relationships" r:id="rId2"/>
          <a:extLst>
            <a:ext uri="{FF2B5EF4-FFF2-40B4-BE49-F238E27FC236}">
              <a16:creationId xmlns:a16="http://schemas.microsoft.com/office/drawing/2014/main" id="{13A7601E-420A-4EF6-85B2-0F11554BA23B}"/>
            </a:ext>
          </a:extLst>
        </xdr:cNvPr>
        <xdr:cNvSpPr/>
      </xdr:nvSpPr>
      <xdr:spPr>
        <a:xfrm flipH="1">
          <a:off x="3848097" y="666750"/>
          <a:ext cx="351064" cy="44631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81643</xdr:colOff>
      <xdr:row>0</xdr:row>
      <xdr:rowOff>122466</xdr:rowOff>
    </xdr:from>
    <xdr:to>
      <xdr:col>28</xdr:col>
      <xdr:colOff>192749</xdr:colOff>
      <xdr:row>2</xdr:row>
      <xdr:rowOff>190501</xdr:rowOff>
    </xdr:to>
    <xdr:sp macro="" textlink="">
      <xdr:nvSpPr>
        <xdr:cNvPr id="16" name="CaixaDeTexto 10">
          <a:extLst>
            <a:ext uri="{FF2B5EF4-FFF2-40B4-BE49-F238E27FC236}">
              <a16:creationId xmlns:a16="http://schemas.microsoft.com/office/drawing/2014/main" id="{02E70291-101C-4900-A51D-A46AF093E8EA}"/>
            </a:ext>
          </a:extLst>
        </xdr:cNvPr>
        <xdr:cNvSpPr txBox="1"/>
      </xdr:nvSpPr>
      <xdr:spPr>
        <a:xfrm>
          <a:off x="3741964" y="122466"/>
          <a:ext cx="15786535" cy="557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Índice</a:t>
          </a:r>
          <a:r>
            <a:rPr lang="pt-PT" sz="3200" b="1" baseline="0">
              <a:solidFill>
                <a:schemeClr val="accent2"/>
              </a:solidFill>
              <a:latin typeface="+mn-lt"/>
              <a:cs typeface="Poppins" panose="00000500000000000000" pitchFamily="2" charset="0"/>
            </a:rPr>
            <a:t> de conteúdos</a:t>
          </a:r>
          <a:r>
            <a:rPr lang="pt-PT" sz="3200" b="1">
              <a:solidFill>
                <a:schemeClr val="accent2"/>
              </a:solidFill>
              <a:latin typeface="+mn-lt"/>
              <a:cs typeface="Poppins" panose="00000500000000000000" pitchFamily="2" charset="0"/>
            </a:rPr>
            <a:t> </a:t>
          </a:r>
          <a:endParaRPr lang="pt-PT" sz="3200" b="1" baseline="0">
            <a:solidFill>
              <a:schemeClr val="accent2"/>
            </a:solidFill>
            <a:latin typeface="+mn-lt"/>
            <a:cs typeface="Poppins" panose="00000500000000000000" pitchFamily="2" charset="0"/>
          </a:endParaRPr>
        </a:p>
      </xdr:txBody>
    </xdr:sp>
    <xdr:clientData/>
  </xdr:twoCellAnchor>
  <xdr:twoCellAnchor>
    <xdr:from>
      <xdr:col>7</xdr:col>
      <xdr:colOff>73478</xdr:colOff>
      <xdr:row>4</xdr:row>
      <xdr:rowOff>149678</xdr:rowOff>
    </xdr:from>
    <xdr:to>
      <xdr:col>10</xdr:col>
      <xdr:colOff>19050</xdr:colOff>
      <xdr:row>12</xdr:row>
      <xdr:rowOff>0</xdr:rowOff>
    </xdr:to>
    <xdr:grpSp>
      <xdr:nvGrpSpPr>
        <xdr:cNvPr id="4" name="Group 3">
          <a:hlinkClick xmlns:r="http://schemas.openxmlformats.org/officeDocument/2006/relationships" r:id="rId3"/>
          <a:extLst>
            <a:ext uri="{FF2B5EF4-FFF2-40B4-BE49-F238E27FC236}">
              <a16:creationId xmlns:a16="http://schemas.microsoft.com/office/drawing/2014/main" id="{86995557-BE36-40DD-B8E4-346167C732F0}"/>
            </a:ext>
          </a:extLst>
        </xdr:cNvPr>
        <xdr:cNvGrpSpPr/>
      </xdr:nvGrpSpPr>
      <xdr:grpSpPr>
        <a:xfrm>
          <a:off x="5574166" y="1102178"/>
          <a:ext cx="1910103" cy="1779135"/>
          <a:chOff x="1488" y="207615"/>
          <a:chExt cx="1741289" cy="1741289"/>
        </a:xfrm>
        <a:solidFill>
          <a:srgbClr val="FFC000"/>
        </a:solidFill>
      </xdr:grpSpPr>
      <xdr:sp macro="" textlink="">
        <xdr:nvSpPr>
          <xdr:cNvPr id="79" name="Oval 78">
            <a:extLst>
              <a:ext uri="{FF2B5EF4-FFF2-40B4-BE49-F238E27FC236}">
                <a16:creationId xmlns:a16="http://schemas.microsoft.com/office/drawing/2014/main" id="{88654A73-D75C-2287-52D6-0618F4327621}"/>
              </a:ext>
            </a:extLst>
          </xdr:cNvPr>
          <xdr:cNvSpPr/>
        </xdr:nvSpPr>
        <xdr:spPr>
          <a:xfrm>
            <a:off x="1488" y="207615"/>
            <a:ext cx="1741289" cy="174128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80" name="Oval 4">
            <a:extLst>
              <a:ext uri="{FF2B5EF4-FFF2-40B4-BE49-F238E27FC236}">
                <a16:creationId xmlns:a16="http://schemas.microsoft.com/office/drawing/2014/main" id="{BEBE0F00-255E-90FF-DE82-5A16B5C15498}"/>
              </a:ext>
            </a:extLst>
          </xdr:cNvPr>
          <xdr:cNvSpPr txBox="1"/>
        </xdr:nvSpPr>
        <xdr:spPr>
          <a:xfrm>
            <a:off x="256494" y="462621"/>
            <a:ext cx="1231277" cy="1231277"/>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25400" tIns="25400" rIns="25400" bIns="2540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889000">
              <a:lnSpc>
                <a:spcPct val="90000"/>
              </a:lnSpc>
              <a:spcBef>
                <a:spcPct val="0"/>
              </a:spcBef>
              <a:spcAft>
                <a:spcPct val="35000"/>
              </a:spcAft>
              <a:buNone/>
            </a:pPr>
            <a:r>
              <a:rPr lang="pt-PT" sz="2000" kern="1200"/>
              <a:t>Introdução</a:t>
            </a:r>
          </a:p>
        </xdr:txBody>
      </xdr:sp>
    </xdr:grpSp>
    <xdr:clientData/>
  </xdr:twoCellAnchor>
  <xdr:twoCellAnchor>
    <xdr:from>
      <xdr:col>8</xdr:col>
      <xdr:colOff>62454</xdr:colOff>
      <xdr:row>12</xdr:row>
      <xdr:rowOff>129168</xdr:rowOff>
    </xdr:from>
    <xdr:to>
      <xdr:col>9</xdr:col>
      <xdr:colOff>18763</xdr:colOff>
      <xdr:row>14</xdr:row>
      <xdr:rowOff>115980</xdr:rowOff>
    </xdr:to>
    <xdr:sp macro="" textlink="">
      <xdr:nvSpPr>
        <xdr:cNvPr id="17" name="Isosceles Triangle 16">
          <a:extLst>
            <a:ext uri="{FF2B5EF4-FFF2-40B4-BE49-F238E27FC236}">
              <a16:creationId xmlns:a16="http://schemas.microsoft.com/office/drawing/2014/main" id="{8E0E8002-9061-A4AB-8BD0-DFA5BDB01ABA}"/>
            </a:ext>
          </a:extLst>
        </xdr:cNvPr>
        <xdr:cNvSpPr/>
      </xdr:nvSpPr>
      <xdr:spPr>
        <a:xfrm rot="10800000">
          <a:off x="6212883" y="3095525"/>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7</xdr:col>
      <xdr:colOff>439602</xdr:colOff>
      <xdr:row>15</xdr:row>
      <xdr:rowOff>68914</xdr:rowOff>
    </xdr:from>
    <xdr:to>
      <xdr:col>9</xdr:col>
      <xdr:colOff>294756</xdr:colOff>
      <xdr:row>20</xdr:row>
      <xdr:rowOff>5710</xdr:rowOff>
    </xdr:to>
    <xdr:grpSp>
      <xdr:nvGrpSpPr>
        <xdr:cNvPr id="18" name="Group 17">
          <a:hlinkClick xmlns:r="http://schemas.openxmlformats.org/officeDocument/2006/relationships" r:id="rId4"/>
          <a:extLst>
            <a:ext uri="{FF2B5EF4-FFF2-40B4-BE49-F238E27FC236}">
              <a16:creationId xmlns:a16="http://schemas.microsoft.com/office/drawing/2014/main" id="{8E098AB9-53A8-7EB7-E4D7-82EE480006B4}"/>
            </a:ext>
          </a:extLst>
        </xdr:cNvPr>
        <xdr:cNvGrpSpPr/>
      </xdr:nvGrpSpPr>
      <xdr:grpSpPr>
        <a:xfrm>
          <a:off x="5940290" y="3664602"/>
          <a:ext cx="1164841" cy="1127421"/>
          <a:chOff x="291412" y="2848280"/>
          <a:chExt cx="1161439" cy="1161439"/>
        </a:xfrm>
        <a:solidFill>
          <a:srgbClr val="FFC000"/>
        </a:solidFill>
      </xdr:grpSpPr>
      <xdr:sp macro="" textlink="">
        <xdr:nvSpPr>
          <xdr:cNvPr id="77" name="Oval 76">
            <a:extLst>
              <a:ext uri="{FF2B5EF4-FFF2-40B4-BE49-F238E27FC236}">
                <a16:creationId xmlns:a16="http://schemas.microsoft.com/office/drawing/2014/main" id="{915B93AF-524B-3442-03F7-4B8599555688}"/>
              </a:ext>
            </a:extLst>
          </xdr:cNvPr>
          <xdr:cNvSpPr/>
        </xdr:nvSpPr>
        <xdr:spPr>
          <a:xfrm>
            <a:off x="291412"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8" name="Oval 7">
            <a:hlinkClick xmlns:r="http://schemas.openxmlformats.org/officeDocument/2006/relationships" r:id="rId4"/>
            <a:extLst>
              <a:ext uri="{FF2B5EF4-FFF2-40B4-BE49-F238E27FC236}">
                <a16:creationId xmlns:a16="http://schemas.microsoft.com/office/drawing/2014/main" id="{9A1EC65D-F437-BF82-2C93-DECA1E283423}"/>
              </a:ext>
            </a:extLst>
          </xdr:cNvPr>
          <xdr:cNvSpPr txBox="1"/>
        </xdr:nvSpPr>
        <xdr:spPr>
          <a:xfrm>
            <a:off x="461501"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Instruções</a:t>
            </a:r>
          </a:p>
        </xdr:txBody>
      </xdr:sp>
    </xdr:grpSp>
    <xdr:clientData/>
  </xdr:twoCellAnchor>
  <xdr:twoCellAnchor>
    <xdr:from>
      <xdr:col>8</xdr:col>
      <xdr:colOff>62454</xdr:colOff>
      <xdr:row>21</xdr:row>
      <xdr:rowOff>130589</xdr:rowOff>
    </xdr:from>
    <xdr:to>
      <xdr:col>9</xdr:col>
      <xdr:colOff>18763</xdr:colOff>
      <xdr:row>23</xdr:row>
      <xdr:rowOff>117401</xdr:rowOff>
    </xdr:to>
    <xdr:sp macro="" textlink="">
      <xdr:nvSpPr>
        <xdr:cNvPr id="19" name="Isosceles Triangle 18">
          <a:extLst>
            <a:ext uri="{FF2B5EF4-FFF2-40B4-BE49-F238E27FC236}">
              <a16:creationId xmlns:a16="http://schemas.microsoft.com/office/drawing/2014/main" id="{6A2FCB3E-8F06-DEAC-BF4F-1C6A903EDD00}"/>
            </a:ext>
          </a:extLst>
        </xdr:cNvPr>
        <xdr:cNvSpPr/>
      </xdr:nvSpPr>
      <xdr:spPr>
        <a:xfrm rot="10800000">
          <a:off x="6212883" y="5301303"/>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7</xdr:col>
      <xdr:colOff>439602</xdr:colOff>
      <xdr:row>24</xdr:row>
      <xdr:rowOff>215297</xdr:rowOff>
    </xdr:from>
    <xdr:to>
      <xdr:col>9</xdr:col>
      <xdr:colOff>294756</xdr:colOff>
      <xdr:row>29</xdr:row>
      <xdr:rowOff>152093</xdr:rowOff>
    </xdr:to>
    <xdr:grpSp>
      <xdr:nvGrpSpPr>
        <xdr:cNvPr id="20" name="Group 19">
          <a:extLst>
            <a:ext uri="{FF2B5EF4-FFF2-40B4-BE49-F238E27FC236}">
              <a16:creationId xmlns:a16="http://schemas.microsoft.com/office/drawing/2014/main" id="{0F457CEA-0360-97F7-C643-FC1CE6761AA2}"/>
            </a:ext>
          </a:extLst>
        </xdr:cNvPr>
        <xdr:cNvGrpSpPr/>
      </xdr:nvGrpSpPr>
      <xdr:grpSpPr>
        <a:xfrm>
          <a:off x="5940290" y="5954110"/>
          <a:ext cx="1164841" cy="1127421"/>
          <a:chOff x="291412" y="5199020"/>
          <a:chExt cx="1161439" cy="1161439"/>
        </a:xfrm>
        <a:solidFill>
          <a:schemeClr val="accent2"/>
        </a:solidFill>
      </xdr:grpSpPr>
      <xdr:sp macro="" textlink="">
        <xdr:nvSpPr>
          <xdr:cNvPr id="75" name="Oval 74">
            <a:extLst>
              <a:ext uri="{FF2B5EF4-FFF2-40B4-BE49-F238E27FC236}">
                <a16:creationId xmlns:a16="http://schemas.microsoft.com/office/drawing/2014/main" id="{C51356E0-65BD-5578-80CA-A3E2A59C6702}"/>
              </a:ext>
            </a:extLst>
          </xdr:cNvPr>
          <xdr:cNvSpPr/>
        </xdr:nvSpPr>
        <xdr:spPr>
          <a:xfrm>
            <a:off x="291412"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6" name="Oval 10">
            <a:hlinkClick xmlns:r="http://schemas.openxmlformats.org/officeDocument/2006/relationships" r:id="rId5"/>
            <a:extLst>
              <a:ext uri="{FF2B5EF4-FFF2-40B4-BE49-F238E27FC236}">
                <a16:creationId xmlns:a16="http://schemas.microsoft.com/office/drawing/2014/main" id="{7A3509F0-36F9-7E39-7026-7D05748C3E05}"/>
              </a:ext>
            </a:extLst>
          </xdr:cNvPr>
          <xdr:cNvSpPr txBox="1"/>
        </xdr:nvSpPr>
        <xdr:spPr>
          <a:xfrm>
            <a:off x="461501"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Verificação preliminar</a:t>
            </a:r>
          </a:p>
        </xdr:txBody>
      </xdr:sp>
    </xdr:grpSp>
    <xdr:clientData/>
  </xdr:twoCellAnchor>
  <xdr:twoCellAnchor>
    <xdr:from>
      <xdr:col>10</xdr:col>
      <xdr:colOff>142017</xdr:colOff>
      <xdr:row>26</xdr:row>
      <xdr:rowOff>1434</xdr:rowOff>
    </xdr:from>
    <xdr:to>
      <xdr:col>10</xdr:col>
      <xdr:colOff>618686</xdr:colOff>
      <xdr:row>28</xdr:row>
      <xdr:rowOff>121028</xdr:rowOff>
    </xdr:to>
    <xdr:sp macro="" textlink="">
      <xdr:nvSpPr>
        <xdr:cNvPr id="21" name="Isosceles Triangle 20">
          <a:extLst>
            <a:ext uri="{FF2B5EF4-FFF2-40B4-BE49-F238E27FC236}">
              <a16:creationId xmlns:a16="http://schemas.microsoft.com/office/drawing/2014/main" id="{28B06AAB-8010-A564-C000-1A54CA834A5A}"/>
            </a:ext>
          </a:extLst>
        </xdr:cNvPr>
        <xdr:cNvSpPr/>
      </xdr:nvSpPr>
      <xdr:spPr>
        <a:xfrm rot="5400000">
          <a:off x="7532340" y="646318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11</xdr:col>
      <xdr:colOff>438965</xdr:colOff>
      <xdr:row>24</xdr:row>
      <xdr:rowOff>215297</xdr:rowOff>
    </xdr:from>
    <xdr:to>
      <xdr:col>13</xdr:col>
      <xdr:colOff>294118</xdr:colOff>
      <xdr:row>29</xdr:row>
      <xdr:rowOff>152093</xdr:rowOff>
    </xdr:to>
    <xdr:grpSp>
      <xdr:nvGrpSpPr>
        <xdr:cNvPr id="22" name="Group 21">
          <a:extLst>
            <a:ext uri="{FF2B5EF4-FFF2-40B4-BE49-F238E27FC236}">
              <a16:creationId xmlns:a16="http://schemas.microsoft.com/office/drawing/2014/main" id="{6CBD74FA-D006-4489-71C3-F6ABC2D3AE2F}"/>
            </a:ext>
          </a:extLst>
        </xdr:cNvPr>
        <xdr:cNvGrpSpPr/>
      </xdr:nvGrpSpPr>
      <xdr:grpSpPr>
        <a:xfrm>
          <a:off x="8559028" y="5954110"/>
          <a:ext cx="1164840" cy="1127421"/>
          <a:chOff x="2903346" y="5199020"/>
          <a:chExt cx="1161439" cy="1161439"/>
        </a:xfrm>
        <a:solidFill>
          <a:schemeClr val="accent2"/>
        </a:solidFill>
      </xdr:grpSpPr>
      <xdr:sp macro="" textlink="">
        <xdr:nvSpPr>
          <xdr:cNvPr id="73" name="Oval 72">
            <a:extLst>
              <a:ext uri="{FF2B5EF4-FFF2-40B4-BE49-F238E27FC236}">
                <a16:creationId xmlns:a16="http://schemas.microsoft.com/office/drawing/2014/main" id="{8EF7E7D7-EADD-EDCF-F471-303F8BA78800}"/>
              </a:ext>
            </a:extLst>
          </xdr:cNvPr>
          <xdr:cNvSpPr/>
        </xdr:nvSpPr>
        <xdr:spPr>
          <a:xfrm>
            <a:off x="2903346"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4" name="Oval 13">
            <a:hlinkClick xmlns:r="http://schemas.openxmlformats.org/officeDocument/2006/relationships" r:id="rId2"/>
            <a:extLst>
              <a:ext uri="{FF2B5EF4-FFF2-40B4-BE49-F238E27FC236}">
                <a16:creationId xmlns:a16="http://schemas.microsoft.com/office/drawing/2014/main" id="{BD98D090-961E-9C66-C1AE-7FB5A0C61B2A}"/>
              </a:ext>
            </a:extLst>
          </xdr:cNvPr>
          <xdr:cNvSpPr txBox="1"/>
        </xdr:nvSpPr>
        <xdr:spPr>
          <a:xfrm>
            <a:off x="3073435"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Triagem</a:t>
            </a:r>
          </a:p>
        </xdr:txBody>
      </xdr:sp>
    </xdr:grpSp>
    <xdr:clientData/>
  </xdr:twoCellAnchor>
  <xdr:twoCellAnchor>
    <xdr:from>
      <xdr:col>12</xdr:col>
      <xdr:colOff>61816</xdr:colOff>
      <xdr:row>21</xdr:row>
      <xdr:rowOff>103607</xdr:rowOff>
    </xdr:from>
    <xdr:to>
      <xdr:col>13</xdr:col>
      <xdr:colOff>18124</xdr:colOff>
      <xdr:row>23</xdr:row>
      <xdr:rowOff>90419</xdr:rowOff>
    </xdr:to>
    <xdr:sp macro="" textlink="">
      <xdr:nvSpPr>
        <xdr:cNvPr id="23" name="Isosceles Triangle 22">
          <a:extLst>
            <a:ext uri="{FF2B5EF4-FFF2-40B4-BE49-F238E27FC236}">
              <a16:creationId xmlns:a16="http://schemas.microsoft.com/office/drawing/2014/main" id="{77BDFA0E-D6C5-0560-B4BB-88E1A43C87DD}"/>
            </a:ext>
          </a:extLst>
        </xdr:cNvPr>
        <xdr:cNvSpPr/>
      </xdr:nvSpPr>
      <xdr:spPr>
        <a:xfrm>
          <a:off x="8824816" y="527432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11</xdr:col>
      <xdr:colOff>353240</xdr:colOff>
      <xdr:row>14</xdr:row>
      <xdr:rowOff>171450</xdr:rowOff>
    </xdr:from>
    <xdr:to>
      <xdr:col>13</xdr:col>
      <xdr:colOff>352425</xdr:colOff>
      <xdr:row>20</xdr:row>
      <xdr:rowOff>5710</xdr:rowOff>
    </xdr:to>
    <xdr:grpSp>
      <xdr:nvGrpSpPr>
        <xdr:cNvPr id="24" name="Group 23">
          <a:extLst>
            <a:ext uri="{FF2B5EF4-FFF2-40B4-BE49-F238E27FC236}">
              <a16:creationId xmlns:a16="http://schemas.microsoft.com/office/drawing/2014/main" id="{888F1118-FAB6-DFFA-C064-41360316F68E}"/>
            </a:ext>
          </a:extLst>
        </xdr:cNvPr>
        <xdr:cNvGrpSpPr/>
      </xdr:nvGrpSpPr>
      <xdr:grpSpPr>
        <a:xfrm>
          <a:off x="8473303" y="3529013"/>
          <a:ext cx="1308872" cy="1263010"/>
          <a:chOff x="2903346" y="2848280"/>
          <a:chExt cx="1161439" cy="1161439"/>
        </a:xfrm>
        <a:solidFill>
          <a:schemeClr val="accent2"/>
        </a:solidFill>
      </xdr:grpSpPr>
      <xdr:sp macro="" textlink="">
        <xdr:nvSpPr>
          <xdr:cNvPr id="71" name="Oval 70">
            <a:extLst>
              <a:ext uri="{FF2B5EF4-FFF2-40B4-BE49-F238E27FC236}">
                <a16:creationId xmlns:a16="http://schemas.microsoft.com/office/drawing/2014/main" id="{D41CA152-FC28-293D-B336-65DE18D465A6}"/>
              </a:ext>
            </a:extLst>
          </xdr:cNvPr>
          <xdr:cNvSpPr/>
        </xdr:nvSpPr>
        <xdr:spPr>
          <a:xfrm>
            <a:off x="2903346"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2" name="Oval 16">
            <a:hlinkClick xmlns:r="http://schemas.openxmlformats.org/officeDocument/2006/relationships" r:id="rId1"/>
            <a:extLst>
              <a:ext uri="{FF2B5EF4-FFF2-40B4-BE49-F238E27FC236}">
                <a16:creationId xmlns:a16="http://schemas.microsoft.com/office/drawing/2014/main" id="{90F1144D-4926-7156-DFDC-90CB5B638BD5}"/>
              </a:ext>
            </a:extLst>
          </xdr:cNvPr>
          <xdr:cNvSpPr txBox="1"/>
        </xdr:nvSpPr>
        <xdr:spPr>
          <a:xfrm>
            <a:off x="3073435"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Identificação</a:t>
            </a:r>
          </a:p>
        </xdr:txBody>
      </xdr:sp>
    </xdr:grpSp>
    <xdr:clientData/>
  </xdr:twoCellAnchor>
  <xdr:twoCellAnchor>
    <xdr:from>
      <xdr:col>12</xdr:col>
      <xdr:colOff>61816</xdr:colOff>
      <xdr:row>11</xdr:row>
      <xdr:rowOff>202152</xdr:rowOff>
    </xdr:from>
    <xdr:to>
      <xdr:col>13</xdr:col>
      <xdr:colOff>18124</xdr:colOff>
      <xdr:row>13</xdr:row>
      <xdr:rowOff>188964</xdr:rowOff>
    </xdr:to>
    <xdr:sp macro="" textlink="">
      <xdr:nvSpPr>
        <xdr:cNvPr id="26" name="Isosceles Triangle 25">
          <a:extLst>
            <a:ext uri="{FF2B5EF4-FFF2-40B4-BE49-F238E27FC236}">
              <a16:creationId xmlns:a16="http://schemas.microsoft.com/office/drawing/2014/main" id="{1CBBCCAF-588D-B1FF-DE67-C983C5A82265}"/>
            </a:ext>
          </a:extLst>
        </xdr:cNvPr>
        <xdr:cNvSpPr/>
      </xdr:nvSpPr>
      <xdr:spPr>
        <a:xfrm>
          <a:off x="8824816" y="292358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11</xdr:col>
      <xdr:colOff>438965</xdr:colOff>
      <xdr:row>5</xdr:row>
      <xdr:rowOff>194673</xdr:rowOff>
    </xdr:from>
    <xdr:to>
      <xdr:col>13</xdr:col>
      <xdr:colOff>294118</xdr:colOff>
      <xdr:row>10</xdr:row>
      <xdr:rowOff>104255</xdr:rowOff>
    </xdr:to>
    <xdr:grpSp>
      <xdr:nvGrpSpPr>
        <xdr:cNvPr id="28" name="Group 27">
          <a:extLst>
            <a:ext uri="{FF2B5EF4-FFF2-40B4-BE49-F238E27FC236}">
              <a16:creationId xmlns:a16="http://schemas.microsoft.com/office/drawing/2014/main" id="{5767350A-58BF-6C5F-AFB6-02ED4BC9C4C5}"/>
            </a:ext>
          </a:extLst>
        </xdr:cNvPr>
        <xdr:cNvGrpSpPr/>
      </xdr:nvGrpSpPr>
      <xdr:grpSpPr>
        <a:xfrm>
          <a:off x="8559028" y="1385298"/>
          <a:ext cx="1164840" cy="1124020"/>
          <a:chOff x="2903346" y="497539"/>
          <a:chExt cx="1161439" cy="1161439"/>
        </a:xfrm>
        <a:solidFill>
          <a:schemeClr val="accent2"/>
        </a:solidFill>
      </xdr:grpSpPr>
      <xdr:sp macro="" textlink="">
        <xdr:nvSpPr>
          <xdr:cNvPr id="69" name="Oval 68">
            <a:extLst>
              <a:ext uri="{FF2B5EF4-FFF2-40B4-BE49-F238E27FC236}">
                <a16:creationId xmlns:a16="http://schemas.microsoft.com/office/drawing/2014/main" id="{15770617-7EDE-DD6F-2105-F75D88092DFD}"/>
              </a:ext>
            </a:extLst>
          </xdr:cNvPr>
          <xdr:cNvSpPr/>
        </xdr:nvSpPr>
        <xdr:spPr>
          <a:xfrm>
            <a:off x="2903346" y="497539"/>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0" name="Oval 19">
            <a:hlinkClick xmlns:r="http://schemas.openxmlformats.org/officeDocument/2006/relationships" r:id="rId6"/>
            <a:extLst>
              <a:ext uri="{FF2B5EF4-FFF2-40B4-BE49-F238E27FC236}">
                <a16:creationId xmlns:a16="http://schemas.microsoft.com/office/drawing/2014/main" id="{C6CFA6F8-ACAA-06FB-962A-D8DC4B3FCF7F}"/>
              </a:ext>
            </a:extLst>
          </xdr:cNvPr>
          <xdr:cNvSpPr txBox="1"/>
        </xdr:nvSpPr>
        <xdr:spPr>
          <a:xfrm>
            <a:off x="3073435" y="667628"/>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Combustão estacionária</a:t>
            </a:r>
          </a:p>
        </xdr:txBody>
      </xdr:sp>
    </xdr:grpSp>
    <xdr:clientData/>
  </xdr:twoCellAnchor>
  <xdr:twoCellAnchor>
    <xdr:from>
      <xdr:col>14</xdr:col>
      <xdr:colOff>141379</xdr:colOff>
      <xdr:row>6</xdr:row>
      <xdr:rowOff>198525</xdr:rowOff>
    </xdr:from>
    <xdr:to>
      <xdr:col>14</xdr:col>
      <xdr:colOff>618048</xdr:colOff>
      <xdr:row>9</xdr:row>
      <xdr:rowOff>73191</xdr:rowOff>
    </xdr:to>
    <xdr:sp macro="" textlink="">
      <xdr:nvSpPr>
        <xdr:cNvPr id="30" name="Isosceles Triangle 29">
          <a:extLst>
            <a:ext uri="{FF2B5EF4-FFF2-40B4-BE49-F238E27FC236}">
              <a16:creationId xmlns:a16="http://schemas.microsoft.com/office/drawing/2014/main" id="{70B274CE-0444-6A2C-6C58-506EC34E4070}"/>
            </a:ext>
          </a:extLst>
        </xdr:cNvPr>
        <xdr:cNvSpPr/>
      </xdr:nvSpPr>
      <xdr:spPr>
        <a:xfrm rot="5400000">
          <a:off x="10144274" y="176170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15</xdr:col>
      <xdr:colOff>438327</xdr:colOff>
      <xdr:row>5</xdr:row>
      <xdr:rowOff>194673</xdr:rowOff>
    </xdr:from>
    <xdr:to>
      <xdr:col>17</xdr:col>
      <xdr:colOff>293481</xdr:colOff>
      <xdr:row>10</xdr:row>
      <xdr:rowOff>104255</xdr:rowOff>
    </xdr:to>
    <xdr:grpSp>
      <xdr:nvGrpSpPr>
        <xdr:cNvPr id="31" name="Group 30">
          <a:extLst>
            <a:ext uri="{FF2B5EF4-FFF2-40B4-BE49-F238E27FC236}">
              <a16:creationId xmlns:a16="http://schemas.microsoft.com/office/drawing/2014/main" id="{E678D439-0106-43C7-7D0F-4C0C9BA6E3D5}"/>
            </a:ext>
          </a:extLst>
        </xdr:cNvPr>
        <xdr:cNvGrpSpPr/>
      </xdr:nvGrpSpPr>
      <xdr:grpSpPr>
        <a:xfrm>
          <a:off x="11177765" y="1385298"/>
          <a:ext cx="1164841" cy="1124020"/>
          <a:chOff x="5515280" y="497539"/>
          <a:chExt cx="1161439" cy="1161439"/>
        </a:xfrm>
        <a:solidFill>
          <a:schemeClr val="accent2"/>
        </a:solidFill>
      </xdr:grpSpPr>
      <xdr:sp macro="" textlink="">
        <xdr:nvSpPr>
          <xdr:cNvPr id="67" name="Oval 66">
            <a:extLst>
              <a:ext uri="{FF2B5EF4-FFF2-40B4-BE49-F238E27FC236}">
                <a16:creationId xmlns:a16="http://schemas.microsoft.com/office/drawing/2014/main" id="{FDC2B93C-A826-483A-35DA-AB8E769FD58E}"/>
              </a:ext>
            </a:extLst>
          </xdr:cNvPr>
          <xdr:cNvSpPr/>
        </xdr:nvSpPr>
        <xdr:spPr>
          <a:xfrm>
            <a:off x="5515280" y="497539"/>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8" name="Oval 22">
            <a:hlinkClick xmlns:r="http://schemas.openxmlformats.org/officeDocument/2006/relationships" r:id="rId7"/>
            <a:extLst>
              <a:ext uri="{FF2B5EF4-FFF2-40B4-BE49-F238E27FC236}">
                <a16:creationId xmlns:a16="http://schemas.microsoft.com/office/drawing/2014/main" id="{6EA96D34-94E2-D0DB-AECA-EA1842E3A75E}"/>
              </a:ext>
            </a:extLst>
          </xdr:cNvPr>
          <xdr:cNvSpPr txBox="1"/>
        </xdr:nvSpPr>
        <xdr:spPr>
          <a:xfrm>
            <a:off x="5685369" y="667628"/>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Combustão móvel</a:t>
            </a:r>
            <a:endParaRPr lang="pt-PT" sz="1100" kern="1200"/>
          </a:p>
        </xdr:txBody>
      </xdr:sp>
    </xdr:grpSp>
    <xdr:clientData/>
  </xdr:twoCellAnchor>
  <xdr:twoCellAnchor>
    <xdr:from>
      <xdr:col>16</xdr:col>
      <xdr:colOff>61179</xdr:colOff>
      <xdr:row>11</xdr:row>
      <xdr:rowOff>229133</xdr:rowOff>
    </xdr:from>
    <xdr:to>
      <xdr:col>17</xdr:col>
      <xdr:colOff>17487</xdr:colOff>
      <xdr:row>13</xdr:row>
      <xdr:rowOff>215945</xdr:rowOff>
    </xdr:to>
    <xdr:sp macro="" textlink="">
      <xdr:nvSpPr>
        <xdr:cNvPr id="32" name="Isosceles Triangle 31">
          <a:extLst>
            <a:ext uri="{FF2B5EF4-FFF2-40B4-BE49-F238E27FC236}">
              <a16:creationId xmlns:a16="http://schemas.microsoft.com/office/drawing/2014/main" id="{0CFFDC05-7BB1-6F0A-485B-B820A45D7DCE}"/>
            </a:ext>
          </a:extLst>
        </xdr:cNvPr>
        <xdr:cNvSpPr/>
      </xdr:nvSpPr>
      <xdr:spPr>
        <a:xfrm rot="10800000">
          <a:off x="11436750" y="295056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15</xdr:col>
      <xdr:colOff>438327</xdr:colOff>
      <xdr:row>15</xdr:row>
      <xdr:rowOff>68914</xdr:rowOff>
    </xdr:from>
    <xdr:to>
      <xdr:col>17</xdr:col>
      <xdr:colOff>293481</xdr:colOff>
      <xdr:row>20</xdr:row>
      <xdr:rowOff>5710</xdr:rowOff>
    </xdr:to>
    <xdr:grpSp>
      <xdr:nvGrpSpPr>
        <xdr:cNvPr id="34" name="Group 33">
          <a:extLst>
            <a:ext uri="{FF2B5EF4-FFF2-40B4-BE49-F238E27FC236}">
              <a16:creationId xmlns:a16="http://schemas.microsoft.com/office/drawing/2014/main" id="{40024E68-B561-591F-731E-6C11A412654B}"/>
            </a:ext>
          </a:extLst>
        </xdr:cNvPr>
        <xdr:cNvGrpSpPr/>
      </xdr:nvGrpSpPr>
      <xdr:grpSpPr>
        <a:xfrm>
          <a:off x="11177765" y="3664602"/>
          <a:ext cx="1164841" cy="1127421"/>
          <a:chOff x="5515280" y="2848280"/>
          <a:chExt cx="1161439" cy="1161439"/>
        </a:xfrm>
        <a:solidFill>
          <a:schemeClr val="accent2"/>
        </a:solidFill>
      </xdr:grpSpPr>
      <xdr:sp macro="" textlink="">
        <xdr:nvSpPr>
          <xdr:cNvPr id="65" name="Oval 64">
            <a:extLst>
              <a:ext uri="{FF2B5EF4-FFF2-40B4-BE49-F238E27FC236}">
                <a16:creationId xmlns:a16="http://schemas.microsoft.com/office/drawing/2014/main" id="{0BAC6615-F4B3-E660-27E6-7930D9000DA8}"/>
              </a:ext>
            </a:extLst>
          </xdr:cNvPr>
          <xdr:cNvSpPr/>
        </xdr:nvSpPr>
        <xdr:spPr>
          <a:xfrm>
            <a:off x="5515280"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6" name="Oval 25">
            <a:hlinkClick xmlns:r="http://schemas.openxmlformats.org/officeDocument/2006/relationships" r:id="rId8"/>
            <a:extLst>
              <a:ext uri="{FF2B5EF4-FFF2-40B4-BE49-F238E27FC236}">
                <a16:creationId xmlns:a16="http://schemas.microsoft.com/office/drawing/2014/main" id="{972D7508-B439-69E0-88FA-E8C0C43A8255}"/>
              </a:ext>
            </a:extLst>
          </xdr:cNvPr>
          <xdr:cNvSpPr txBox="1"/>
        </xdr:nvSpPr>
        <xdr:spPr>
          <a:xfrm>
            <a:off x="5685369"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Energia elétrica e térmica contratadas</a:t>
            </a:r>
            <a:endParaRPr lang="pt-PT" sz="1100" kern="1200"/>
          </a:p>
        </xdr:txBody>
      </xdr:sp>
    </xdr:grpSp>
    <xdr:clientData/>
  </xdr:twoCellAnchor>
  <xdr:twoCellAnchor>
    <xdr:from>
      <xdr:col>16</xdr:col>
      <xdr:colOff>61179</xdr:colOff>
      <xdr:row>21</xdr:row>
      <xdr:rowOff>130589</xdr:rowOff>
    </xdr:from>
    <xdr:to>
      <xdr:col>17</xdr:col>
      <xdr:colOff>17487</xdr:colOff>
      <xdr:row>23</xdr:row>
      <xdr:rowOff>117401</xdr:rowOff>
    </xdr:to>
    <xdr:sp macro="" textlink="">
      <xdr:nvSpPr>
        <xdr:cNvPr id="35" name="Isosceles Triangle 34">
          <a:extLst>
            <a:ext uri="{FF2B5EF4-FFF2-40B4-BE49-F238E27FC236}">
              <a16:creationId xmlns:a16="http://schemas.microsoft.com/office/drawing/2014/main" id="{471C85ED-DF03-24E8-4923-1499F1D768A7}"/>
            </a:ext>
          </a:extLst>
        </xdr:cNvPr>
        <xdr:cNvSpPr/>
      </xdr:nvSpPr>
      <xdr:spPr>
        <a:xfrm rot="10800000">
          <a:off x="11436750" y="5301303"/>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15</xdr:col>
      <xdr:colOff>438327</xdr:colOff>
      <xdr:row>24</xdr:row>
      <xdr:rowOff>215297</xdr:rowOff>
    </xdr:from>
    <xdr:to>
      <xdr:col>17</xdr:col>
      <xdr:colOff>293481</xdr:colOff>
      <xdr:row>29</xdr:row>
      <xdr:rowOff>152093</xdr:rowOff>
    </xdr:to>
    <xdr:grpSp>
      <xdr:nvGrpSpPr>
        <xdr:cNvPr id="36" name="Group 35">
          <a:extLst>
            <a:ext uri="{FF2B5EF4-FFF2-40B4-BE49-F238E27FC236}">
              <a16:creationId xmlns:a16="http://schemas.microsoft.com/office/drawing/2014/main" id="{F01BF5D8-BD24-35B0-D99D-BE5379E3166E}"/>
            </a:ext>
          </a:extLst>
        </xdr:cNvPr>
        <xdr:cNvGrpSpPr/>
      </xdr:nvGrpSpPr>
      <xdr:grpSpPr>
        <a:xfrm>
          <a:off x="11177765" y="5954110"/>
          <a:ext cx="1164841" cy="1127421"/>
          <a:chOff x="5515280" y="5199020"/>
          <a:chExt cx="1161439" cy="1161439"/>
        </a:xfrm>
        <a:solidFill>
          <a:schemeClr val="accent2"/>
        </a:solidFill>
      </xdr:grpSpPr>
      <xdr:sp macro="" textlink="">
        <xdr:nvSpPr>
          <xdr:cNvPr id="63" name="Oval 62">
            <a:extLst>
              <a:ext uri="{FF2B5EF4-FFF2-40B4-BE49-F238E27FC236}">
                <a16:creationId xmlns:a16="http://schemas.microsoft.com/office/drawing/2014/main" id="{51923C9B-4A1E-1BE9-7652-3081AAEF1AAC}"/>
              </a:ext>
            </a:extLst>
          </xdr:cNvPr>
          <xdr:cNvSpPr/>
        </xdr:nvSpPr>
        <xdr:spPr>
          <a:xfrm>
            <a:off x="5515280"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4" name="Oval 28">
            <a:hlinkClick xmlns:r="http://schemas.openxmlformats.org/officeDocument/2006/relationships" r:id="rId9"/>
            <a:extLst>
              <a:ext uri="{FF2B5EF4-FFF2-40B4-BE49-F238E27FC236}">
                <a16:creationId xmlns:a16="http://schemas.microsoft.com/office/drawing/2014/main" id="{31DD86C0-9860-A179-E597-78BE2CB2D9CD}"/>
              </a:ext>
            </a:extLst>
          </xdr:cNvPr>
          <xdr:cNvSpPr txBox="1"/>
        </xdr:nvSpPr>
        <xdr:spPr>
          <a:xfrm>
            <a:off x="5685369"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Emissões fugitivas</a:t>
            </a:r>
            <a:endParaRPr lang="pt-PT" sz="1100" kern="1200"/>
          </a:p>
        </xdr:txBody>
      </xdr:sp>
    </xdr:grpSp>
    <xdr:clientData/>
  </xdr:twoCellAnchor>
  <xdr:twoCellAnchor>
    <xdr:from>
      <xdr:col>18</xdr:col>
      <xdr:colOff>140741</xdr:colOff>
      <xdr:row>26</xdr:row>
      <xdr:rowOff>1434</xdr:rowOff>
    </xdr:from>
    <xdr:to>
      <xdr:col>18</xdr:col>
      <xdr:colOff>617410</xdr:colOff>
      <xdr:row>28</xdr:row>
      <xdr:rowOff>121028</xdr:rowOff>
    </xdr:to>
    <xdr:sp macro="" textlink="">
      <xdr:nvSpPr>
        <xdr:cNvPr id="38" name="Isosceles Triangle 37">
          <a:extLst>
            <a:ext uri="{FF2B5EF4-FFF2-40B4-BE49-F238E27FC236}">
              <a16:creationId xmlns:a16="http://schemas.microsoft.com/office/drawing/2014/main" id="{7C984488-CD10-1707-A1EC-6B74F048EBB8}"/>
            </a:ext>
          </a:extLst>
        </xdr:cNvPr>
        <xdr:cNvSpPr/>
      </xdr:nvSpPr>
      <xdr:spPr>
        <a:xfrm rot="5400000">
          <a:off x="12756207" y="646318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19</xdr:col>
      <xdr:colOff>437689</xdr:colOff>
      <xdr:row>24</xdr:row>
      <xdr:rowOff>215297</xdr:rowOff>
    </xdr:from>
    <xdr:to>
      <xdr:col>21</xdr:col>
      <xdr:colOff>292842</xdr:colOff>
      <xdr:row>29</xdr:row>
      <xdr:rowOff>152093</xdr:rowOff>
    </xdr:to>
    <xdr:grpSp>
      <xdr:nvGrpSpPr>
        <xdr:cNvPr id="40" name="Group 39">
          <a:extLst>
            <a:ext uri="{FF2B5EF4-FFF2-40B4-BE49-F238E27FC236}">
              <a16:creationId xmlns:a16="http://schemas.microsoft.com/office/drawing/2014/main" id="{F09C5F98-568F-B86A-9E2F-28BEE24F4459}"/>
            </a:ext>
          </a:extLst>
        </xdr:cNvPr>
        <xdr:cNvGrpSpPr/>
      </xdr:nvGrpSpPr>
      <xdr:grpSpPr>
        <a:xfrm>
          <a:off x="13796502" y="5954110"/>
          <a:ext cx="1164840" cy="1127421"/>
          <a:chOff x="8127213" y="5199020"/>
          <a:chExt cx="1161439" cy="1161439"/>
        </a:xfrm>
        <a:solidFill>
          <a:schemeClr val="accent2"/>
        </a:solidFill>
      </xdr:grpSpPr>
      <xdr:sp macro="" textlink="">
        <xdr:nvSpPr>
          <xdr:cNvPr id="61" name="Oval 60">
            <a:extLst>
              <a:ext uri="{FF2B5EF4-FFF2-40B4-BE49-F238E27FC236}">
                <a16:creationId xmlns:a16="http://schemas.microsoft.com/office/drawing/2014/main" id="{074F41E7-F0CD-457E-ACC3-46B3CD220D0D}"/>
              </a:ext>
            </a:extLst>
          </xdr:cNvPr>
          <xdr:cNvSpPr/>
        </xdr:nvSpPr>
        <xdr:spPr>
          <a:xfrm>
            <a:off x="8127213"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2" name="Oval 31">
            <a:hlinkClick xmlns:r="http://schemas.openxmlformats.org/officeDocument/2006/relationships" r:id="rId10"/>
            <a:extLst>
              <a:ext uri="{FF2B5EF4-FFF2-40B4-BE49-F238E27FC236}">
                <a16:creationId xmlns:a16="http://schemas.microsoft.com/office/drawing/2014/main" id="{BD77D3D9-159D-3DFF-D1A5-D7B7DD3650DF}"/>
              </a:ext>
            </a:extLst>
          </xdr:cNvPr>
          <xdr:cNvSpPr txBox="1"/>
        </xdr:nvSpPr>
        <xdr:spPr>
          <a:xfrm>
            <a:off x="8297302"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Processos industriais</a:t>
            </a:r>
            <a:endParaRPr lang="pt-PT" sz="1100" kern="1200"/>
          </a:p>
        </xdr:txBody>
      </xdr:sp>
    </xdr:grpSp>
    <xdr:clientData/>
  </xdr:twoCellAnchor>
  <xdr:twoCellAnchor>
    <xdr:from>
      <xdr:col>20</xdr:col>
      <xdr:colOff>60541</xdr:colOff>
      <xdr:row>21</xdr:row>
      <xdr:rowOff>103607</xdr:rowOff>
    </xdr:from>
    <xdr:to>
      <xdr:col>21</xdr:col>
      <xdr:colOff>16849</xdr:colOff>
      <xdr:row>23</xdr:row>
      <xdr:rowOff>90419</xdr:rowOff>
    </xdr:to>
    <xdr:sp macro="" textlink="">
      <xdr:nvSpPr>
        <xdr:cNvPr id="41" name="Isosceles Triangle 40">
          <a:extLst>
            <a:ext uri="{FF2B5EF4-FFF2-40B4-BE49-F238E27FC236}">
              <a16:creationId xmlns:a16="http://schemas.microsoft.com/office/drawing/2014/main" id="{A50C2A89-7B13-25A1-E450-19FC22BD8C47}"/>
            </a:ext>
          </a:extLst>
        </xdr:cNvPr>
        <xdr:cNvSpPr/>
      </xdr:nvSpPr>
      <xdr:spPr>
        <a:xfrm>
          <a:off x="14048684" y="527432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19</xdr:col>
      <xdr:colOff>437689</xdr:colOff>
      <xdr:row>15</xdr:row>
      <xdr:rowOff>68914</xdr:rowOff>
    </xdr:from>
    <xdr:to>
      <xdr:col>21</xdr:col>
      <xdr:colOff>292842</xdr:colOff>
      <xdr:row>20</xdr:row>
      <xdr:rowOff>5710</xdr:rowOff>
    </xdr:to>
    <xdr:grpSp>
      <xdr:nvGrpSpPr>
        <xdr:cNvPr id="42" name="Group 41">
          <a:extLst>
            <a:ext uri="{FF2B5EF4-FFF2-40B4-BE49-F238E27FC236}">
              <a16:creationId xmlns:a16="http://schemas.microsoft.com/office/drawing/2014/main" id="{C4A828C3-0649-671F-428E-49AC04AEEB86}"/>
            </a:ext>
          </a:extLst>
        </xdr:cNvPr>
        <xdr:cNvGrpSpPr/>
      </xdr:nvGrpSpPr>
      <xdr:grpSpPr>
        <a:xfrm>
          <a:off x="13796502" y="3664602"/>
          <a:ext cx="1164840" cy="1127421"/>
          <a:chOff x="8127213" y="2848280"/>
          <a:chExt cx="1161439" cy="1161439"/>
        </a:xfrm>
        <a:solidFill>
          <a:schemeClr val="accent2"/>
        </a:solidFill>
      </xdr:grpSpPr>
      <xdr:sp macro="" textlink="">
        <xdr:nvSpPr>
          <xdr:cNvPr id="59" name="Oval 58">
            <a:extLst>
              <a:ext uri="{FF2B5EF4-FFF2-40B4-BE49-F238E27FC236}">
                <a16:creationId xmlns:a16="http://schemas.microsoft.com/office/drawing/2014/main" id="{BAD4D206-0393-4850-407C-AC6A9A258114}"/>
              </a:ext>
            </a:extLst>
          </xdr:cNvPr>
          <xdr:cNvSpPr/>
        </xdr:nvSpPr>
        <xdr:spPr>
          <a:xfrm>
            <a:off x="8127213"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0" name="Oval 34">
            <a:hlinkClick xmlns:r="http://schemas.openxmlformats.org/officeDocument/2006/relationships" r:id="rId11"/>
            <a:extLst>
              <a:ext uri="{FF2B5EF4-FFF2-40B4-BE49-F238E27FC236}">
                <a16:creationId xmlns:a16="http://schemas.microsoft.com/office/drawing/2014/main" id="{D946BDAF-C9C3-71CC-FAF5-B96F500819ED}"/>
              </a:ext>
            </a:extLst>
          </xdr:cNvPr>
          <xdr:cNvSpPr txBox="1"/>
        </xdr:nvSpPr>
        <xdr:spPr>
          <a:xfrm>
            <a:off x="8297302"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Outras emissões de processo</a:t>
            </a:r>
            <a:endParaRPr lang="pt-PT" sz="1100" kern="1200"/>
          </a:p>
        </xdr:txBody>
      </xdr:sp>
    </xdr:grpSp>
    <xdr:clientData/>
  </xdr:twoCellAnchor>
  <xdr:twoCellAnchor>
    <xdr:from>
      <xdr:col>20</xdr:col>
      <xdr:colOff>60541</xdr:colOff>
      <xdr:row>11</xdr:row>
      <xdr:rowOff>202152</xdr:rowOff>
    </xdr:from>
    <xdr:to>
      <xdr:col>21</xdr:col>
      <xdr:colOff>16849</xdr:colOff>
      <xdr:row>13</xdr:row>
      <xdr:rowOff>188964</xdr:rowOff>
    </xdr:to>
    <xdr:sp macro="" textlink="">
      <xdr:nvSpPr>
        <xdr:cNvPr id="43" name="Isosceles Triangle 42">
          <a:extLst>
            <a:ext uri="{FF2B5EF4-FFF2-40B4-BE49-F238E27FC236}">
              <a16:creationId xmlns:a16="http://schemas.microsoft.com/office/drawing/2014/main" id="{23504E73-26DF-DB35-2F74-FB3BB3742E3C}"/>
            </a:ext>
          </a:extLst>
        </xdr:cNvPr>
        <xdr:cNvSpPr/>
      </xdr:nvSpPr>
      <xdr:spPr>
        <a:xfrm>
          <a:off x="14048684" y="292358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19</xdr:col>
      <xdr:colOff>437689</xdr:colOff>
      <xdr:row>5</xdr:row>
      <xdr:rowOff>194673</xdr:rowOff>
    </xdr:from>
    <xdr:to>
      <xdr:col>21</xdr:col>
      <xdr:colOff>292842</xdr:colOff>
      <xdr:row>10</xdr:row>
      <xdr:rowOff>104255</xdr:rowOff>
    </xdr:to>
    <xdr:grpSp>
      <xdr:nvGrpSpPr>
        <xdr:cNvPr id="44" name="Group 43">
          <a:extLst>
            <a:ext uri="{FF2B5EF4-FFF2-40B4-BE49-F238E27FC236}">
              <a16:creationId xmlns:a16="http://schemas.microsoft.com/office/drawing/2014/main" id="{0B838CEA-0627-F83F-149A-B9AC12170958}"/>
            </a:ext>
          </a:extLst>
        </xdr:cNvPr>
        <xdr:cNvGrpSpPr/>
      </xdr:nvGrpSpPr>
      <xdr:grpSpPr>
        <a:xfrm>
          <a:off x="13796502" y="1385298"/>
          <a:ext cx="1164840" cy="1124020"/>
          <a:chOff x="8127213" y="497539"/>
          <a:chExt cx="1161439" cy="1161439"/>
        </a:xfrm>
      </xdr:grpSpPr>
      <xdr:sp macro="" textlink="">
        <xdr:nvSpPr>
          <xdr:cNvPr id="57" name="Oval 56">
            <a:extLst>
              <a:ext uri="{FF2B5EF4-FFF2-40B4-BE49-F238E27FC236}">
                <a16:creationId xmlns:a16="http://schemas.microsoft.com/office/drawing/2014/main" id="{A5B34569-9186-9742-A6BB-2762E195816F}"/>
              </a:ext>
            </a:extLst>
          </xdr:cNvPr>
          <xdr:cNvSpPr/>
        </xdr:nvSpPr>
        <xdr:spPr>
          <a:xfrm>
            <a:off x="8127213" y="497539"/>
            <a:ext cx="1161439" cy="116143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8" name="Oval 37">
            <a:hlinkClick xmlns:r="http://schemas.openxmlformats.org/officeDocument/2006/relationships" r:id="rId12"/>
            <a:extLst>
              <a:ext uri="{FF2B5EF4-FFF2-40B4-BE49-F238E27FC236}">
                <a16:creationId xmlns:a16="http://schemas.microsoft.com/office/drawing/2014/main" id="{30CF43B4-9545-BDF1-B09C-21FE743DDABF}"/>
              </a:ext>
            </a:extLst>
          </xdr:cNvPr>
          <xdr:cNvSpPr txBox="1"/>
        </xdr:nvSpPr>
        <xdr:spPr>
          <a:xfrm>
            <a:off x="8297302" y="667628"/>
            <a:ext cx="821261" cy="82126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Resultados</a:t>
            </a:r>
            <a:endParaRPr lang="pt-PT" sz="1100" kern="1200"/>
          </a:p>
        </xdr:txBody>
      </xdr:sp>
    </xdr:grpSp>
    <xdr:clientData/>
  </xdr:twoCellAnchor>
  <xdr:twoCellAnchor>
    <xdr:from>
      <xdr:col>22</xdr:col>
      <xdr:colOff>140103</xdr:colOff>
      <xdr:row>6</xdr:row>
      <xdr:rowOff>198525</xdr:rowOff>
    </xdr:from>
    <xdr:to>
      <xdr:col>22</xdr:col>
      <xdr:colOff>616772</xdr:colOff>
      <xdr:row>9</xdr:row>
      <xdr:rowOff>73191</xdr:rowOff>
    </xdr:to>
    <xdr:sp macro="" textlink="">
      <xdr:nvSpPr>
        <xdr:cNvPr id="45" name="Isosceles Triangle 44">
          <a:extLst>
            <a:ext uri="{FF2B5EF4-FFF2-40B4-BE49-F238E27FC236}">
              <a16:creationId xmlns:a16="http://schemas.microsoft.com/office/drawing/2014/main" id="{684C2FEC-3ECC-DD28-D11B-4E8108DEFC15}"/>
            </a:ext>
          </a:extLst>
        </xdr:cNvPr>
        <xdr:cNvSpPr/>
      </xdr:nvSpPr>
      <xdr:spPr>
        <a:xfrm rot="5400000">
          <a:off x="15368141" y="176170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23</xdr:col>
      <xdr:colOff>437052</xdr:colOff>
      <xdr:row>5</xdr:row>
      <xdr:rowOff>194673</xdr:rowOff>
    </xdr:from>
    <xdr:to>
      <xdr:col>25</xdr:col>
      <xdr:colOff>292205</xdr:colOff>
      <xdr:row>10</xdr:row>
      <xdr:rowOff>104255</xdr:rowOff>
    </xdr:to>
    <xdr:grpSp>
      <xdr:nvGrpSpPr>
        <xdr:cNvPr id="46" name="Group 45">
          <a:extLst>
            <a:ext uri="{FF2B5EF4-FFF2-40B4-BE49-F238E27FC236}">
              <a16:creationId xmlns:a16="http://schemas.microsoft.com/office/drawing/2014/main" id="{B05612B3-08F3-23FD-ED72-4ED9535E7304}"/>
            </a:ext>
          </a:extLst>
        </xdr:cNvPr>
        <xdr:cNvGrpSpPr/>
      </xdr:nvGrpSpPr>
      <xdr:grpSpPr>
        <a:xfrm>
          <a:off x="16415240" y="1385298"/>
          <a:ext cx="1164840" cy="1124020"/>
          <a:chOff x="10739147" y="497539"/>
          <a:chExt cx="1161439" cy="1161439"/>
        </a:xfrm>
      </xdr:grpSpPr>
      <xdr:sp macro="" textlink="">
        <xdr:nvSpPr>
          <xdr:cNvPr id="55" name="Oval 54">
            <a:extLst>
              <a:ext uri="{FF2B5EF4-FFF2-40B4-BE49-F238E27FC236}">
                <a16:creationId xmlns:a16="http://schemas.microsoft.com/office/drawing/2014/main" id="{D0D32956-679C-53F7-E7EE-B5FBEA4BA41A}"/>
              </a:ext>
            </a:extLst>
          </xdr:cNvPr>
          <xdr:cNvSpPr/>
        </xdr:nvSpPr>
        <xdr:spPr>
          <a:xfrm>
            <a:off x="10739147" y="497539"/>
            <a:ext cx="1161439" cy="116143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6" name="Oval 40">
            <a:hlinkClick xmlns:r="http://schemas.openxmlformats.org/officeDocument/2006/relationships" r:id="rId13"/>
            <a:extLst>
              <a:ext uri="{FF2B5EF4-FFF2-40B4-BE49-F238E27FC236}">
                <a16:creationId xmlns:a16="http://schemas.microsoft.com/office/drawing/2014/main" id="{93675F4E-6D0E-47C9-7464-4F0EC969B27E}"/>
              </a:ext>
            </a:extLst>
          </xdr:cNvPr>
          <xdr:cNvSpPr txBox="1"/>
        </xdr:nvSpPr>
        <xdr:spPr>
          <a:xfrm>
            <a:off x="10909236" y="667628"/>
            <a:ext cx="821261" cy="82126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Fatores de emissão</a:t>
            </a:r>
            <a:endParaRPr lang="pt-PT" sz="1100" kern="1200"/>
          </a:p>
        </xdr:txBody>
      </xdr:sp>
    </xdr:grpSp>
    <xdr:clientData/>
  </xdr:twoCellAnchor>
  <xdr:twoCellAnchor>
    <xdr:from>
      <xdr:col>24</xdr:col>
      <xdr:colOff>59903</xdr:colOff>
      <xdr:row>11</xdr:row>
      <xdr:rowOff>229133</xdr:rowOff>
    </xdr:from>
    <xdr:to>
      <xdr:col>25</xdr:col>
      <xdr:colOff>16211</xdr:colOff>
      <xdr:row>13</xdr:row>
      <xdr:rowOff>215945</xdr:rowOff>
    </xdr:to>
    <xdr:sp macro="" textlink="">
      <xdr:nvSpPr>
        <xdr:cNvPr id="47" name="Isosceles Triangle 46">
          <a:extLst>
            <a:ext uri="{FF2B5EF4-FFF2-40B4-BE49-F238E27FC236}">
              <a16:creationId xmlns:a16="http://schemas.microsoft.com/office/drawing/2014/main" id="{D50CE96B-232F-1321-35B1-40D7813D118F}"/>
            </a:ext>
          </a:extLst>
        </xdr:cNvPr>
        <xdr:cNvSpPr/>
      </xdr:nvSpPr>
      <xdr:spPr>
        <a:xfrm rot="10800000">
          <a:off x="16660617" y="295056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23</xdr:col>
      <xdr:colOff>437052</xdr:colOff>
      <xdr:row>15</xdr:row>
      <xdr:rowOff>68914</xdr:rowOff>
    </xdr:from>
    <xdr:to>
      <xdr:col>25</xdr:col>
      <xdr:colOff>292205</xdr:colOff>
      <xdr:row>20</xdr:row>
      <xdr:rowOff>5710</xdr:rowOff>
    </xdr:to>
    <xdr:grpSp>
      <xdr:nvGrpSpPr>
        <xdr:cNvPr id="48" name="Group 47">
          <a:extLst>
            <a:ext uri="{FF2B5EF4-FFF2-40B4-BE49-F238E27FC236}">
              <a16:creationId xmlns:a16="http://schemas.microsoft.com/office/drawing/2014/main" id="{8DEDBBF1-6989-FFDB-43B8-77BF82E68641}"/>
            </a:ext>
          </a:extLst>
        </xdr:cNvPr>
        <xdr:cNvGrpSpPr/>
      </xdr:nvGrpSpPr>
      <xdr:grpSpPr>
        <a:xfrm>
          <a:off x="16415240" y="3664602"/>
          <a:ext cx="1164840" cy="1127421"/>
          <a:chOff x="10739147" y="2848280"/>
          <a:chExt cx="1161439" cy="1161439"/>
        </a:xfrm>
      </xdr:grpSpPr>
      <xdr:sp macro="" textlink="">
        <xdr:nvSpPr>
          <xdr:cNvPr id="53" name="Oval 52">
            <a:extLst>
              <a:ext uri="{FF2B5EF4-FFF2-40B4-BE49-F238E27FC236}">
                <a16:creationId xmlns:a16="http://schemas.microsoft.com/office/drawing/2014/main" id="{9E84532F-0A23-F7C6-C6FE-AEE65A172937}"/>
              </a:ext>
            </a:extLst>
          </xdr:cNvPr>
          <xdr:cNvSpPr/>
        </xdr:nvSpPr>
        <xdr:spPr>
          <a:xfrm>
            <a:off x="10739147" y="2848280"/>
            <a:ext cx="1161439" cy="116143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4" name="Oval 43">
            <a:hlinkClick xmlns:r="http://schemas.openxmlformats.org/officeDocument/2006/relationships" r:id="rId14"/>
            <a:extLst>
              <a:ext uri="{FF2B5EF4-FFF2-40B4-BE49-F238E27FC236}">
                <a16:creationId xmlns:a16="http://schemas.microsoft.com/office/drawing/2014/main" id="{3FA3BA5A-0BFC-8DDB-A526-9C05B606AB4E}"/>
              </a:ext>
            </a:extLst>
          </xdr:cNvPr>
          <xdr:cNvSpPr txBox="1"/>
        </xdr:nvSpPr>
        <xdr:spPr>
          <a:xfrm>
            <a:off x="10909236" y="3018369"/>
            <a:ext cx="821261" cy="82126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Fatores de conversão</a:t>
            </a:r>
            <a:endParaRPr lang="pt-PT" sz="1100" kern="1200"/>
          </a:p>
        </xdr:txBody>
      </xdr:sp>
    </xdr:grpSp>
    <xdr:clientData/>
  </xdr:twoCellAnchor>
  <xdr:twoCellAnchor>
    <xdr:from>
      <xdr:col>24</xdr:col>
      <xdr:colOff>59903</xdr:colOff>
      <xdr:row>20</xdr:row>
      <xdr:rowOff>230554</xdr:rowOff>
    </xdr:from>
    <xdr:to>
      <xdr:col>25</xdr:col>
      <xdr:colOff>16211</xdr:colOff>
      <xdr:row>22</xdr:row>
      <xdr:rowOff>217366</xdr:rowOff>
    </xdr:to>
    <xdr:sp macro="" textlink="">
      <xdr:nvSpPr>
        <xdr:cNvPr id="49" name="Isosceles Triangle 48">
          <a:extLst>
            <a:ext uri="{FF2B5EF4-FFF2-40B4-BE49-F238E27FC236}">
              <a16:creationId xmlns:a16="http://schemas.microsoft.com/office/drawing/2014/main" id="{3BC43170-D688-2FBF-756F-84F06525F5E0}"/>
            </a:ext>
          </a:extLst>
        </xdr:cNvPr>
        <xdr:cNvSpPr/>
      </xdr:nvSpPr>
      <xdr:spPr>
        <a:xfrm rot="10800000">
          <a:off x="16660617" y="5156340"/>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23</xdr:col>
      <xdr:colOff>147127</xdr:colOff>
      <xdr:row>23</xdr:row>
      <xdr:rowOff>170301</xdr:rowOff>
    </xdr:from>
    <xdr:to>
      <xdr:col>25</xdr:col>
      <xdr:colOff>582130</xdr:colOff>
      <xdr:row>30</xdr:row>
      <xdr:rowOff>197090</xdr:rowOff>
    </xdr:to>
    <xdr:grpSp>
      <xdr:nvGrpSpPr>
        <xdr:cNvPr id="50" name="Group 49">
          <a:extLst>
            <a:ext uri="{FF2B5EF4-FFF2-40B4-BE49-F238E27FC236}">
              <a16:creationId xmlns:a16="http://schemas.microsoft.com/office/drawing/2014/main" id="{17043A18-BADD-BD14-4ED0-B92BE91C0A60}"/>
            </a:ext>
          </a:extLst>
        </xdr:cNvPr>
        <xdr:cNvGrpSpPr/>
      </xdr:nvGrpSpPr>
      <xdr:grpSpPr>
        <a:xfrm>
          <a:off x="16125315" y="5670989"/>
          <a:ext cx="1744690" cy="1693664"/>
          <a:chOff x="10449222" y="4909095"/>
          <a:chExt cx="1741289" cy="1741289"/>
        </a:xfrm>
      </xdr:grpSpPr>
      <xdr:sp macro="" textlink="">
        <xdr:nvSpPr>
          <xdr:cNvPr id="51" name="Oval 50">
            <a:extLst>
              <a:ext uri="{FF2B5EF4-FFF2-40B4-BE49-F238E27FC236}">
                <a16:creationId xmlns:a16="http://schemas.microsoft.com/office/drawing/2014/main" id="{735A4886-1F7A-B320-2518-D9B626F60802}"/>
              </a:ext>
            </a:extLst>
          </xdr:cNvPr>
          <xdr:cNvSpPr/>
        </xdr:nvSpPr>
        <xdr:spPr>
          <a:xfrm>
            <a:off x="10449222" y="4909095"/>
            <a:ext cx="1741289" cy="174128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2" name="Oval 46">
            <a:hlinkClick xmlns:r="http://schemas.openxmlformats.org/officeDocument/2006/relationships" r:id="rId15"/>
            <a:extLst>
              <a:ext uri="{FF2B5EF4-FFF2-40B4-BE49-F238E27FC236}">
                <a16:creationId xmlns:a16="http://schemas.microsoft.com/office/drawing/2014/main" id="{8530321D-9010-F4C1-18A5-AAD803229377}"/>
              </a:ext>
            </a:extLst>
          </xdr:cNvPr>
          <xdr:cNvSpPr txBox="1"/>
        </xdr:nvSpPr>
        <xdr:spPr>
          <a:xfrm>
            <a:off x="10704228" y="5164101"/>
            <a:ext cx="1231277" cy="123127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25400" tIns="25400" rIns="25400" bIns="2540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889000">
              <a:lnSpc>
                <a:spcPct val="90000"/>
              </a:lnSpc>
              <a:spcBef>
                <a:spcPct val="0"/>
              </a:spcBef>
              <a:spcAft>
                <a:spcPct val="35000"/>
              </a:spcAft>
              <a:buNone/>
            </a:pPr>
            <a:r>
              <a:rPr lang="en-US" sz="2000" kern="1200"/>
              <a:t>Ficha técnica</a:t>
            </a:r>
            <a:endParaRPr lang="pt-PT" sz="2000" kern="12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87086</xdr:colOff>
      <xdr:row>1</xdr:row>
      <xdr:rowOff>126546</xdr:rowOff>
    </xdr:from>
    <xdr:to>
      <xdr:col>3</xdr:col>
      <xdr:colOff>69623</xdr:colOff>
      <xdr:row>5</xdr:row>
      <xdr:rowOff>55789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46FFAF1-3771-4A0A-9BB3-AE2F04FE3E90}"/>
            </a:ext>
          </a:extLst>
        </xdr:cNvPr>
        <xdr:cNvSpPr/>
      </xdr:nvSpPr>
      <xdr:spPr>
        <a:xfrm>
          <a:off x="685800" y="311603"/>
          <a:ext cx="1179966" cy="669472"/>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chemeClr val="tx1"/>
              </a:solidFill>
              <a:effectLst/>
              <a:latin typeface="+mn-lt"/>
              <a:ea typeface="+mn-ea"/>
              <a:cs typeface="Poppins" panose="00000500000000000000" pitchFamily="2" charset="0"/>
            </a:rPr>
            <a:t>Índice de coneúdos</a:t>
          </a:r>
          <a:endParaRPr lang="pt-PT" sz="1200" b="1">
            <a:solidFill>
              <a:schemeClr val="tx1"/>
            </a:solidFill>
            <a:effectLst/>
            <a:latin typeface="+mn-lt"/>
            <a:cs typeface="Poppins" panose="00000500000000000000" pitchFamily="2" charset="0"/>
          </a:endParaRPr>
        </a:p>
      </xdr:txBody>
    </xdr:sp>
    <xdr:clientData/>
  </xdr:twoCellAnchor>
  <xdr:twoCellAnchor>
    <xdr:from>
      <xdr:col>2</xdr:col>
      <xdr:colOff>206827</xdr:colOff>
      <xdr:row>5</xdr:row>
      <xdr:rowOff>119743</xdr:rowOff>
    </xdr:from>
    <xdr:to>
      <xdr:col>2</xdr:col>
      <xdr:colOff>511628</xdr:colOff>
      <xdr:row>7</xdr:row>
      <xdr:rowOff>65314</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7EA52F39-8C96-4D6A-9952-F8D929D131CC}"/>
            </a:ext>
          </a:extLst>
        </xdr:cNvPr>
        <xdr:cNvSpPr/>
      </xdr:nvSpPr>
      <xdr:spPr>
        <a:xfrm>
          <a:off x="1404256" y="1045029"/>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239486</xdr:colOff>
      <xdr:row>5</xdr:row>
      <xdr:rowOff>108857</xdr:rowOff>
    </xdr:from>
    <xdr:to>
      <xdr:col>1</xdr:col>
      <xdr:colOff>544285</xdr:colOff>
      <xdr:row>7</xdr:row>
      <xdr:rowOff>65315</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8ADD03E-9502-4A31-9838-6FEC36421550}"/>
            </a:ext>
          </a:extLst>
        </xdr:cNvPr>
        <xdr:cNvSpPr/>
      </xdr:nvSpPr>
      <xdr:spPr>
        <a:xfrm flipH="1">
          <a:off x="838200" y="1034143"/>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285750</xdr:colOff>
      <xdr:row>1</xdr:row>
      <xdr:rowOff>47625</xdr:rowOff>
    </xdr:from>
    <xdr:to>
      <xdr:col>18</xdr:col>
      <xdr:colOff>493618</xdr:colOff>
      <xdr:row>6</xdr:row>
      <xdr:rowOff>151041</xdr:rowOff>
    </xdr:to>
    <xdr:sp macro="" textlink="">
      <xdr:nvSpPr>
        <xdr:cNvPr id="5" name="CaixaDeTexto 10">
          <a:extLst>
            <a:ext uri="{FF2B5EF4-FFF2-40B4-BE49-F238E27FC236}">
              <a16:creationId xmlns:a16="http://schemas.microsoft.com/office/drawing/2014/main" id="{4214E48F-D092-4B3E-B094-1245D092872C}"/>
            </a:ext>
          </a:extLst>
        </xdr:cNvPr>
        <xdr:cNvSpPr txBox="1"/>
      </xdr:nvSpPr>
      <xdr:spPr>
        <a:xfrm>
          <a:off x="2257425" y="247650"/>
          <a:ext cx="15790768" cy="11035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Identificação do projeto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35379</xdr:colOff>
      <xdr:row>2</xdr:row>
      <xdr:rowOff>105227</xdr:rowOff>
    </xdr:from>
    <xdr:to>
      <xdr:col>1</xdr:col>
      <xdr:colOff>1159329</xdr:colOff>
      <xdr:row>6</xdr:row>
      <xdr:rowOff>35377</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225F1A5-C8A7-4D90-B1FE-E360103A967C}"/>
            </a:ext>
          </a:extLst>
        </xdr:cNvPr>
        <xdr:cNvSpPr/>
      </xdr:nvSpPr>
      <xdr:spPr>
        <a:xfrm>
          <a:off x="634093" y="290284"/>
          <a:ext cx="1123950" cy="670379"/>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707571</xdr:colOff>
      <xdr:row>6</xdr:row>
      <xdr:rowOff>108857</xdr:rowOff>
    </xdr:from>
    <xdr:to>
      <xdr:col>1</xdr:col>
      <xdr:colOff>1012372</xdr:colOff>
      <xdr:row>8</xdr:row>
      <xdr:rowOff>130628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724E515E-3A5E-4208-BE96-8DBC2715AF1D}"/>
            </a:ext>
          </a:extLst>
        </xdr:cNvPr>
        <xdr:cNvSpPr/>
      </xdr:nvSpPr>
      <xdr:spPr>
        <a:xfrm>
          <a:off x="1306285" y="1034143"/>
          <a:ext cx="304801" cy="3918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141515</xdr:colOff>
      <xdr:row>6</xdr:row>
      <xdr:rowOff>97971</xdr:rowOff>
    </xdr:from>
    <xdr:to>
      <xdr:col>1</xdr:col>
      <xdr:colOff>446314</xdr:colOff>
      <xdr:row>8</xdr:row>
      <xdr:rowOff>130629</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204BD14D-6FAE-4460-AF1C-705A07AEC235}"/>
            </a:ext>
          </a:extLst>
        </xdr:cNvPr>
        <xdr:cNvSpPr/>
      </xdr:nvSpPr>
      <xdr:spPr>
        <a:xfrm flipH="1">
          <a:off x="740229" y="1023257"/>
          <a:ext cx="304799" cy="4027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1380325</xdr:colOff>
      <xdr:row>2</xdr:row>
      <xdr:rowOff>9525</xdr:rowOff>
    </xdr:from>
    <xdr:to>
      <xdr:col>6</xdr:col>
      <xdr:colOff>1449240</xdr:colOff>
      <xdr:row>7</xdr:row>
      <xdr:rowOff>105096</xdr:rowOff>
    </xdr:to>
    <xdr:sp macro="" textlink="">
      <xdr:nvSpPr>
        <xdr:cNvPr id="4" name="CaixaDeTexto 10">
          <a:extLst>
            <a:ext uri="{FF2B5EF4-FFF2-40B4-BE49-F238E27FC236}">
              <a16:creationId xmlns:a16="http://schemas.microsoft.com/office/drawing/2014/main" id="{96A0EB17-595F-4AE0-9122-164A4EA1F73A}"/>
            </a:ext>
          </a:extLst>
        </xdr:cNvPr>
        <xdr:cNvSpPr txBox="1"/>
      </xdr:nvSpPr>
      <xdr:spPr>
        <a:xfrm>
          <a:off x="2433678" y="345701"/>
          <a:ext cx="15790768"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Combustão estacionária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25398</xdr:colOff>
      <xdr:row>0</xdr:row>
      <xdr:rowOff>173718</xdr:rowOff>
    </xdr:from>
    <xdr:to>
      <xdr:col>6</xdr:col>
      <xdr:colOff>21771</xdr:colOff>
      <xdr:row>6</xdr:row>
      <xdr:rowOff>81643</xdr:rowOff>
    </xdr:to>
    <xdr:sp macro="" textlink="">
      <xdr:nvSpPr>
        <xdr:cNvPr id="2" name="Retângulo: Cantos Arredondados 1">
          <a:extLst>
            <a:ext uri="{FF2B5EF4-FFF2-40B4-BE49-F238E27FC236}">
              <a16:creationId xmlns:a16="http://schemas.microsoft.com/office/drawing/2014/main" id="{3857ADFE-B8C5-4EE3-9BFF-7A258CB33BFF}"/>
            </a:ext>
          </a:extLst>
        </xdr:cNvPr>
        <xdr:cNvSpPr/>
      </xdr:nvSpPr>
      <xdr:spPr>
        <a:xfrm>
          <a:off x="645884" y="173718"/>
          <a:ext cx="14833601" cy="108358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a:t>
          </a:r>
          <a:r>
            <a:rPr lang="pt-PT" b="0" baseline="0">
              <a:latin typeface="Poppins" panose="00000500000000000000" pitchFamily="2" charset="0"/>
              <a:cs typeface="Poppins" panose="00000500000000000000" pitchFamily="2" charset="0"/>
            </a:rPr>
            <a:t> de Apoio à combustão estacionária</a:t>
          </a:r>
          <a:endParaRPr lang="pt-PT" b="0">
            <a:latin typeface="Poppins" panose="00000500000000000000" pitchFamily="2" charset="0"/>
            <a:cs typeface="Poppins" panose="00000500000000000000" pitchFamily="2"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65555</xdr:colOff>
      <xdr:row>1</xdr:row>
      <xdr:rowOff>132469</xdr:rowOff>
    </xdr:from>
    <xdr:to>
      <xdr:col>1</xdr:col>
      <xdr:colOff>1145054</xdr:colOff>
      <xdr:row>5</xdr:row>
      <xdr:rowOff>69342</xdr:rowOff>
    </xdr:to>
    <xdr:sp macro="" textlink="">
      <xdr:nvSpPr>
        <xdr:cNvPr id="7" name="Retângulo: Cantos Arredondados 3">
          <a:hlinkClick xmlns:r="http://schemas.openxmlformats.org/officeDocument/2006/relationships" r:id="rId1"/>
          <a:extLst>
            <a:ext uri="{FF2B5EF4-FFF2-40B4-BE49-F238E27FC236}">
              <a16:creationId xmlns:a16="http://schemas.microsoft.com/office/drawing/2014/main" id="{2886774B-DBB9-4978-9605-D58A6ECB506D}"/>
            </a:ext>
          </a:extLst>
        </xdr:cNvPr>
        <xdr:cNvSpPr/>
      </xdr:nvSpPr>
      <xdr:spPr>
        <a:xfrm>
          <a:off x="871098" y="317526"/>
          <a:ext cx="1079499" cy="677102"/>
        </a:xfrm>
        <a:prstGeom prst="roundRect">
          <a:avLst/>
        </a:prstGeom>
        <a:solidFill>
          <a:srgbClr val="FFCC66"/>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000" b="1">
              <a:solidFill>
                <a:sysClr val="windowText" lastClr="000000"/>
              </a:solidFill>
              <a:effectLst/>
              <a:latin typeface="Poppins" panose="00000500000000000000" pitchFamily="2" charset="0"/>
              <a:ea typeface="+mn-ea"/>
              <a:cs typeface="Poppins" panose="00000500000000000000" pitchFamily="2" charset="0"/>
            </a:rPr>
            <a:t>Índice de conteúdos</a:t>
          </a:r>
          <a:endParaRPr lang="pt-PT" sz="1000" b="1">
            <a:solidFill>
              <a:sysClr val="windowText" lastClr="000000"/>
            </a:solidFill>
            <a:effectLst/>
            <a:latin typeface="Poppins" panose="00000500000000000000" pitchFamily="2" charset="0"/>
            <a:cs typeface="Poppins" panose="00000500000000000000" pitchFamily="2" charset="0"/>
          </a:endParaRPr>
        </a:p>
      </xdr:txBody>
    </xdr:sp>
    <xdr:clientData/>
  </xdr:twoCellAnchor>
  <xdr:twoCellAnchor>
    <xdr:from>
      <xdr:col>1</xdr:col>
      <xdr:colOff>718456</xdr:colOff>
      <xdr:row>5</xdr:row>
      <xdr:rowOff>100534</xdr:rowOff>
    </xdr:from>
    <xdr:to>
      <xdr:col>1</xdr:col>
      <xdr:colOff>1023257</xdr:colOff>
      <xdr:row>7</xdr:row>
      <xdr:rowOff>110940</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9027052A-6113-4905-A6DB-049AF7D7A246}"/>
            </a:ext>
          </a:extLst>
        </xdr:cNvPr>
        <xdr:cNvSpPr/>
      </xdr:nvSpPr>
      <xdr:spPr>
        <a:xfrm>
          <a:off x="1599519" y="1112565"/>
          <a:ext cx="304801" cy="45093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152399</xdr:colOff>
      <xdr:row>5</xdr:row>
      <xdr:rowOff>89647</xdr:rowOff>
    </xdr:from>
    <xdr:to>
      <xdr:col>1</xdr:col>
      <xdr:colOff>457198</xdr:colOff>
      <xdr:row>7</xdr:row>
      <xdr:rowOff>107156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DD4A5603-252E-4345-B8AB-6C6B1B67E972}"/>
            </a:ext>
          </a:extLst>
        </xdr:cNvPr>
        <xdr:cNvSpPr/>
      </xdr:nvSpPr>
      <xdr:spPr>
        <a:xfrm flipH="1">
          <a:off x="1033462" y="1101678"/>
          <a:ext cx="304799" cy="45804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1265464</xdr:colOff>
      <xdr:row>1</xdr:row>
      <xdr:rowOff>40821</xdr:rowOff>
    </xdr:from>
    <xdr:to>
      <xdr:col>8</xdr:col>
      <xdr:colOff>245807</xdr:colOff>
      <xdr:row>6</xdr:row>
      <xdr:rowOff>44544</xdr:rowOff>
    </xdr:to>
    <xdr:sp macro="" textlink="">
      <xdr:nvSpPr>
        <xdr:cNvPr id="4" name="CaixaDeTexto 10">
          <a:extLst>
            <a:ext uri="{FF2B5EF4-FFF2-40B4-BE49-F238E27FC236}">
              <a16:creationId xmlns:a16="http://schemas.microsoft.com/office/drawing/2014/main" id="{DA10FAE1-9253-4FB4-8E4D-749500AFBFB9}"/>
            </a:ext>
          </a:extLst>
        </xdr:cNvPr>
        <xdr:cNvSpPr txBox="1"/>
      </xdr:nvSpPr>
      <xdr:spPr>
        <a:xfrm>
          <a:off x="2149928" y="244928"/>
          <a:ext cx="15785165" cy="1024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Combustão móvel</a:t>
          </a:r>
          <a:endParaRPr lang="pt-PT" sz="3200" b="1" baseline="0">
            <a:solidFill>
              <a:schemeClr val="accent2"/>
            </a:solidFill>
            <a:latin typeface="+mn-lt"/>
            <a:cs typeface="Poppins" panose="00000500000000000000" pitchFamily="2"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ago\Desktop\Calculadora%20APA\Base\ferramenta_ghg_protocol_v2023.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y%20Drive\Work\Projects\APA\APA%20-%20proj\calculadora_hc_tcm30-485617.xlsx" TargetMode="External"/><Relationship Id="rId1" Type="http://schemas.openxmlformats.org/officeDocument/2006/relationships/externalLinkPath" Target="file:///G:\My%20Drive\Work\Projects\APA\APA%20-%20proj\calculadora_hc_tcm30-4856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iago\Desktop\Calculadora%20APA\Trabalho\Calculadora%20do%20Pro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de agricultura"/>
      <sheetName val="Mudança no uso do solo"/>
      <sheetName val="Resíduos sólidos"/>
      <sheetName val="Efluentes"/>
      <sheetName val="En. elétrica (localização)"/>
      <sheetName val="Perdas T&amp;D (abord. localização)"/>
      <sheetName val="Compra de Energia Térmica"/>
      <sheetName val="En. elétrica(escolha de compra)"/>
      <sheetName val="Perdas T&amp;D (escolha de compra)"/>
      <sheetName val="Categorias de Escopo 3"/>
      <sheetName val="Transp.&amp; Distribuição(Upstream)"/>
      <sheetName val="Resíduos sólidos da operação"/>
      <sheetName val="Efluentes gerados na operação"/>
      <sheetName val="Viagens a Negócios"/>
      <sheetName val="Deslocamento casa-trabalho"/>
      <sheetName val="Transp&amp;Distribuição(Downstream)"/>
      <sheetName val="Resumo"/>
      <sheetName val="Registro Público de Emissões"/>
      <sheetName val="Fatores de Emissão"/>
      <sheetName val="Fatores Variáveis"/>
      <sheetName val="Fugitivas - GEE não Quioto"/>
      <sheetName val="Aeroportos"/>
      <sheetName val="Fatores de conversão"/>
    </sheetNames>
    <sheetDataSet>
      <sheetData sheetId="0" refreshError="1"/>
      <sheetData sheetId="1" refreshError="1">
        <row r="11">
          <cell r="B11" t="str">
            <v>Versão 2023.0.1</v>
          </cell>
        </row>
      </sheetData>
      <sheetData sheetId="2" refreshError="1"/>
      <sheetData sheetId="3" refreshError="1">
        <row r="25">
          <cell r="E25">
            <v>2022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sheetName val="1.Datos generales organización "/>
      <sheetName val="2. Hoja de trabajo. Consumos"/>
      <sheetName val="3. Instalaciones fijas"/>
      <sheetName val="4. Vehículos y maquinaria"/>
      <sheetName val="5. Emisiones Fugitivas"/>
      <sheetName val="6. Emisiones de proceso"/>
      <sheetName val="7. Información adicional"/>
      <sheetName val="8.Electricidad y otras energías"/>
      <sheetName val="9. Informe final. Resultados"/>
      <sheetName val="10. Factores de emisión"/>
      <sheetName val="11. Revisiones calculadora"/>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0">
          <cell r="C710" t="str">
            <v>CO2</v>
          </cell>
        </row>
        <row r="711">
          <cell r="C711" t="str">
            <v>CH4</v>
          </cell>
        </row>
        <row r="712">
          <cell r="C712" t="str">
            <v>N2O</v>
          </cell>
        </row>
        <row r="713">
          <cell r="C713" t="str">
            <v>SF6</v>
          </cell>
        </row>
        <row r="714">
          <cell r="C714" t="str">
            <v>NF3</v>
          </cell>
        </row>
        <row r="715">
          <cell r="C715" t="str">
            <v>HCFE-235da2</v>
          </cell>
        </row>
        <row r="716">
          <cell r="C716" t="str">
            <v>HFE-236ea2</v>
          </cell>
        </row>
        <row r="717">
          <cell r="C717" t="str">
            <v>HFE-347mmz1</v>
          </cell>
        </row>
        <row r="718">
          <cell r="C718" t="str">
            <v>C2F6(PFC-116)</v>
          </cell>
        </row>
        <row r="719">
          <cell r="C719" t="str">
            <v>C3F8 (PFC-218)</v>
          </cell>
        </row>
        <row r="720">
          <cell r="C720" t="str">
            <v>Otro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trodução"/>
      <sheetName val="Combustão estacionária"/>
      <sheetName val="Combustão móvel"/>
      <sheetName val="Emissões fugitivas"/>
      <sheetName val="Processos industriais"/>
      <sheetName val="Agrícolas e uso do solo"/>
      <sheetName val="Resíduos sólidos"/>
      <sheetName val="Listas"/>
      <sheetName val="Efluentes"/>
      <sheetName val="Compra de Energia Elétrica"/>
      <sheetName val="Compra de Energia Térmica"/>
      <sheetName val="Transp.&amp; Distribuição(Upstream)"/>
      <sheetName val="Resíduos sólidos da operação"/>
      <sheetName val="Efluentes gerados na operação"/>
      <sheetName val="Viagens a negócios"/>
      <sheetName val="Fatores de Emissão"/>
      <sheetName val="Permuta casa-trabalho"/>
      <sheetName val="Transp&amp;Distribuição(Downstream)"/>
      <sheetName val="Categorias de Ambito 3"/>
      <sheetName val="Resumo"/>
      <sheetName val="GRI"/>
      <sheetName val="Conversão Unidades"/>
    </sheetNames>
    <sheetDataSet>
      <sheetData sheetId="0"/>
      <sheetData sheetId="1"/>
      <sheetData sheetId="2"/>
      <sheetData sheetId="3"/>
      <sheetData sheetId="4"/>
      <sheetData sheetId="5"/>
      <sheetData sheetId="6"/>
      <sheetData sheetId="7"/>
      <sheetData sheetId="8">
        <row r="2">
          <cell r="D2" t="str">
            <v>Selecione o setor</v>
          </cell>
        </row>
        <row r="3">
          <cell r="D3" t="str">
            <v>Energia</v>
          </cell>
        </row>
        <row r="4">
          <cell r="D4" t="str">
            <v>Manufatura ou Construção</v>
          </cell>
        </row>
        <row r="5">
          <cell r="D5" t="str">
            <v>Comercial ou Institucional</v>
          </cell>
        </row>
        <row r="6">
          <cell r="D6" t="str">
            <v>Residencial, Agricultura, Florestal ou Pesca</v>
          </cell>
        </row>
      </sheetData>
      <sheetData sheetId="9"/>
      <sheetData sheetId="10"/>
      <sheetData sheetId="11"/>
      <sheetData sheetId="12">
        <row r="350">
          <cell r="F350">
            <v>0</v>
          </cell>
        </row>
      </sheetData>
      <sheetData sheetId="13"/>
      <sheetData sheetId="14"/>
      <sheetData sheetId="15"/>
      <sheetData sheetId="16">
        <row r="235">
          <cell r="E235">
            <v>1</v>
          </cell>
        </row>
        <row r="236">
          <cell r="E236">
            <v>25</v>
          </cell>
        </row>
        <row r="237">
          <cell r="E237">
            <v>298</v>
          </cell>
        </row>
      </sheetData>
      <sheetData sheetId="17"/>
      <sheetData sheetId="18"/>
      <sheetData sheetId="19"/>
      <sheetData sheetId="20"/>
      <sheetData sheetId="21"/>
      <sheetData sheetId="22"/>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Corbel">
      <a:majorFont>
        <a:latin typeface="Corbel" panose="020B0503020204020204"/>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Corbel" panose="020B0503020204020204"/>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Glow Edg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17742-937D-4114-AB3A-FC3633EA7D0D}">
  <sheetPr>
    <tabColor rgb="FFFFC000"/>
  </sheetPr>
  <dimension ref="A1:Z43"/>
  <sheetViews>
    <sheetView tabSelected="1" zoomScale="70" zoomScaleNormal="70" workbookViewId="0">
      <selection activeCell="J22" sqref="J22"/>
    </sheetView>
  </sheetViews>
  <sheetFormatPr defaultColWidth="0" defaultRowHeight="0" customHeight="1" zeroHeight="1" x14ac:dyDescent="0.3"/>
  <cols>
    <col min="1" max="3" width="8.625" style="260" customWidth="1"/>
    <col min="4" max="4" width="3.625" style="260" customWidth="1"/>
    <col min="5" max="26" width="8.625" style="260" customWidth="1"/>
    <col min="27" max="16384" width="7.625" style="260" hidden="1"/>
  </cols>
  <sheetData>
    <row r="1" spans="3:23" ht="18.75" x14ac:dyDescent="0.3"/>
    <row r="2" spans="3:23" ht="18.75" x14ac:dyDescent="0.3"/>
    <row r="3" spans="3:23" ht="18.75" x14ac:dyDescent="0.3"/>
    <row r="4" spans="3:23" ht="18.75" x14ac:dyDescent="0.3"/>
    <row r="5" spans="3:23" ht="18.75" x14ac:dyDescent="0.3"/>
    <row r="6" spans="3:23" ht="18.75" x14ac:dyDescent="0.3"/>
    <row r="7" spans="3:23" ht="18.75" x14ac:dyDescent="0.3"/>
    <row r="8" spans="3:23" ht="18.75" x14ac:dyDescent="0.3"/>
    <row r="9" spans="3:23" ht="18.75" x14ac:dyDescent="0.3"/>
    <row r="10" spans="3:23" ht="66" customHeight="1" x14ac:dyDescent="0.3">
      <c r="C10" s="683"/>
      <c r="E10" s="1161" t="s">
        <v>1617</v>
      </c>
      <c r="F10" s="1161"/>
      <c r="G10" s="1161"/>
      <c r="H10" s="1161"/>
      <c r="I10" s="1161"/>
      <c r="J10" s="1161"/>
      <c r="K10" s="1161"/>
      <c r="L10" s="1161"/>
      <c r="M10" s="1161"/>
      <c r="N10" s="1161"/>
      <c r="O10" s="1161"/>
      <c r="P10" s="1161"/>
      <c r="Q10" s="1161"/>
      <c r="R10" s="1161"/>
      <c r="S10" s="1161"/>
      <c r="T10" s="1161"/>
      <c r="U10" s="1161"/>
      <c r="V10" s="683"/>
      <c r="W10" s="683"/>
    </row>
    <row r="11" spans="3:23" ht="63.75" customHeight="1" x14ac:dyDescent="0.3">
      <c r="C11" s="683"/>
      <c r="E11" s="1162" t="s">
        <v>1722</v>
      </c>
      <c r="F11" s="1162"/>
      <c r="G11" s="1162"/>
      <c r="H11" s="1162"/>
      <c r="I11" s="1162"/>
      <c r="J11" s="1162"/>
      <c r="K11" s="1162"/>
      <c r="L11" s="1162"/>
      <c r="M11" s="1162"/>
      <c r="N11" s="1162"/>
      <c r="O11" s="1162"/>
      <c r="P11" s="1162"/>
      <c r="Q11" s="1162"/>
      <c r="R11" s="1162"/>
      <c r="S11" s="1162"/>
      <c r="T11" s="1162"/>
      <c r="U11" s="1162"/>
      <c r="V11" s="683"/>
      <c r="W11" s="683"/>
    </row>
    <row r="12" spans="3:23" ht="45" customHeight="1" x14ac:dyDescent="0.3">
      <c r="C12" s="683"/>
      <c r="E12" s="1163" t="s">
        <v>1708</v>
      </c>
      <c r="F12" s="1163"/>
      <c r="G12" s="1163"/>
      <c r="H12" s="1163"/>
      <c r="I12" s="1163"/>
      <c r="J12" s="1163"/>
      <c r="K12" s="1163"/>
      <c r="L12" s="1163"/>
      <c r="M12" s="1163"/>
      <c r="N12" s="1163"/>
      <c r="O12" s="1163"/>
      <c r="P12" s="1163"/>
      <c r="Q12" s="1163"/>
      <c r="R12" s="1163"/>
      <c r="S12" s="1163"/>
      <c r="T12" s="1163"/>
      <c r="U12" s="1163"/>
      <c r="V12" s="683"/>
      <c r="W12" s="683"/>
    </row>
    <row r="13" spans="3:23" ht="84.75" customHeight="1" x14ac:dyDescent="0.3">
      <c r="E13" s="1160" t="s">
        <v>1618</v>
      </c>
      <c r="F13" s="1160"/>
      <c r="G13" s="1160"/>
      <c r="H13" s="1160"/>
      <c r="I13" s="1160"/>
      <c r="J13" s="1160"/>
      <c r="K13" s="1160"/>
      <c r="L13" s="1160"/>
      <c r="M13" s="1160"/>
      <c r="N13" s="1160"/>
      <c r="O13" s="1160"/>
      <c r="P13" s="1160"/>
      <c r="Q13" s="1160"/>
      <c r="R13" s="1160"/>
      <c r="S13" s="1160"/>
      <c r="T13" s="1160"/>
      <c r="U13" s="1160"/>
    </row>
    <row r="14" spans="3:23" ht="96" customHeight="1" x14ac:dyDescent="0.3">
      <c r="E14" s="1160" t="s">
        <v>1717</v>
      </c>
      <c r="F14" s="1160"/>
      <c r="G14" s="1160"/>
      <c r="H14" s="1160"/>
      <c r="I14" s="1160"/>
      <c r="J14" s="1160"/>
      <c r="K14" s="1160"/>
      <c r="L14" s="1160"/>
      <c r="M14" s="1160"/>
      <c r="N14" s="1160"/>
      <c r="O14" s="1160"/>
      <c r="P14" s="1160"/>
      <c r="Q14" s="1160"/>
      <c r="R14" s="1160"/>
      <c r="S14" s="1160"/>
      <c r="T14" s="1160"/>
      <c r="U14" s="1160"/>
    </row>
    <row r="15" spans="3:23" ht="18.75" x14ac:dyDescent="0.3">
      <c r="E15" s="260" t="s">
        <v>1718</v>
      </c>
    </row>
    <row r="16" spans="3:23" ht="18.75" x14ac:dyDescent="0.3"/>
    <row r="17" ht="18.75" x14ac:dyDescent="0.3"/>
    <row r="18" ht="18.75" x14ac:dyDescent="0.3"/>
    <row r="19" ht="18.75" x14ac:dyDescent="0.3"/>
    <row r="20" ht="18.75" x14ac:dyDescent="0.3"/>
    <row r="21" ht="18.75" x14ac:dyDescent="0.3"/>
    <row r="22" ht="18.75" x14ac:dyDescent="0.3"/>
    <row r="23" ht="14.45" customHeight="1" x14ac:dyDescent="0.3"/>
    <row r="24" ht="14.45" customHeight="1" x14ac:dyDescent="0.3"/>
    <row r="25" ht="14.45" customHeight="1" x14ac:dyDescent="0.3"/>
    <row r="26" ht="14.45" customHeight="1" x14ac:dyDescent="0.3"/>
    <row r="27" ht="14.45" customHeight="1" x14ac:dyDescent="0.3"/>
    <row r="28" ht="14.45" customHeight="1" x14ac:dyDescent="0.3"/>
    <row r="29" ht="14.45" customHeight="1" x14ac:dyDescent="0.3"/>
    <row r="30" ht="14.45" customHeight="1" x14ac:dyDescent="0.3"/>
    <row r="31" ht="14.45" customHeight="1" x14ac:dyDescent="0.3"/>
    <row r="32" ht="14.45" customHeight="1" x14ac:dyDescent="0.3"/>
    <row r="33" ht="14.45" customHeight="1" x14ac:dyDescent="0.3"/>
    <row r="34" ht="14.45" customHeight="1" x14ac:dyDescent="0.3"/>
    <row r="35" ht="14.45" customHeight="1" x14ac:dyDescent="0.3"/>
    <row r="36" ht="14.45" customHeight="1" x14ac:dyDescent="0.3"/>
    <row r="37" ht="14.45" customHeight="1" x14ac:dyDescent="0.3"/>
    <row r="38" ht="14.45" customHeight="1" x14ac:dyDescent="0.3"/>
    <row r="39" ht="14.45" customHeight="1" x14ac:dyDescent="0.3"/>
    <row r="40" ht="14.45" customHeight="1" x14ac:dyDescent="0.3"/>
    <row r="41" ht="14.45" customHeight="1" x14ac:dyDescent="0.3"/>
    <row r="42" ht="14.45" customHeight="1" x14ac:dyDescent="0.3"/>
    <row r="43" ht="14.45" customHeight="1" x14ac:dyDescent="0.3"/>
  </sheetData>
  <sheetProtection algorithmName="SHA-512" hashValue="ZFUsjyZHRiwowXouNvdz6K/uWmSdEZqyKe0R2yQgNdeaumoVkbNPT5EAtE9K5eaJENymlUDTg6kIW7N5D0pT8A==" saltValue="YhPjhj0S/wTeC3yyVRqpDw==" spinCount="100000" sheet="1" objects="1" scenarios="1" selectLockedCells="1" selectUnlockedCells="1"/>
  <mergeCells count="5">
    <mergeCell ref="E13:U13"/>
    <mergeCell ref="E14:U14"/>
    <mergeCell ref="E10:U10"/>
    <mergeCell ref="E11:U11"/>
    <mergeCell ref="E12:U1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6ECD-F13F-462E-A1E9-BF1AF7218894}">
  <dimension ref="A10:X435"/>
  <sheetViews>
    <sheetView showGridLines="0" zoomScale="70" zoomScaleNormal="70" workbookViewId="0">
      <selection activeCell="D17" sqref="D17"/>
    </sheetView>
  </sheetViews>
  <sheetFormatPr defaultRowHeight="15" x14ac:dyDescent="0.25"/>
  <cols>
    <col min="1" max="1" width="10.625" customWidth="1"/>
    <col min="2" max="2" width="37" customWidth="1"/>
    <col min="3" max="3" width="37.75" customWidth="1"/>
    <col min="4" max="4" width="45.625" customWidth="1"/>
    <col min="5" max="5" width="17.625" customWidth="1"/>
    <col min="6" max="6" width="11.875" customWidth="1"/>
    <col min="7" max="7" width="11.625" customWidth="1"/>
    <col min="8" max="8" width="13" customWidth="1"/>
    <col min="9" max="9" width="11.875" customWidth="1"/>
    <col min="10" max="10" width="11.625" customWidth="1"/>
    <col min="11" max="11" width="13" customWidth="1"/>
    <col min="12" max="12" width="21.375" customWidth="1"/>
    <col min="13" max="13" width="21.625" customWidth="1"/>
    <col min="14" max="14" width="1.25" customWidth="1"/>
    <col min="15" max="15" width="16.25" customWidth="1"/>
    <col min="16" max="16" width="1.375" customWidth="1"/>
    <col min="17" max="17" width="1.25" customWidth="1"/>
    <col min="18" max="19" width="20.375" customWidth="1"/>
    <col min="20" max="20" width="17.625" customWidth="1"/>
  </cols>
  <sheetData>
    <row r="10" spans="2:18" x14ac:dyDescent="0.25">
      <c r="B10" s="1025" t="s">
        <v>1594</v>
      </c>
      <c r="C10" s="1024"/>
      <c r="D10" s="1024"/>
      <c r="E10" s="1024"/>
      <c r="F10" s="1024"/>
      <c r="G10" s="1024"/>
      <c r="H10" s="1024"/>
      <c r="I10" s="1024"/>
      <c r="J10" s="1024"/>
      <c r="K10" s="1024"/>
      <c r="L10" s="1024"/>
      <c r="M10" s="1024"/>
      <c r="N10" s="1024"/>
      <c r="O10" s="1024"/>
      <c r="P10" s="1024"/>
      <c r="Q10" s="1024"/>
      <c r="R10" s="1024"/>
    </row>
    <row r="11" spans="2:18" x14ac:dyDescent="0.25">
      <c r="B11" s="49" t="s">
        <v>1595</v>
      </c>
      <c r="C11" s="49" t="s">
        <v>1597</v>
      </c>
      <c r="E11" s="49" t="s">
        <v>1596</v>
      </c>
    </row>
    <row r="12" spans="2:18" x14ac:dyDescent="0.25">
      <c r="B12" t="str">
        <f>'Fatores de Emissão'!D88</f>
        <v xml:space="preserve">Veículo ligeiro de passageiros - Gasolina </v>
      </c>
      <c r="C12" t="s">
        <v>1598</v>
      </c>
      <c r="D12" t="str">
        <f>'Fatores de Emissão'!D108</f>
        <v>Comboio - carga</v>
      </c>
      <c r="E12" t="str">
        <f>'Fatores de Emissão'!D118</f>
        <v>Ferry - carga</v>
      </c>
    </row>
    <row r="13" spans="2:18" x14ac:dyDescent="0.25">
      <c r="B13" t="str">
        <f>'Fatores de Emissão'!D89</f>
        <v xml:space="preserve">Veículo ligeiro de passageiros - Híbrido </v>
      </c>
      <c r="C13" t="s">
        <v>1599</v>
      </c>
      <c r="E13" t="str">
        <f>'Fatores de Emissão'!D119</f>
        <v>Navio pequeno (até 18 370t de tara)</v>
      </c>
    </row>
    <row r="14" spans="2:18" x14ac:dyDescent="0.25">
      <c r="B14" t="str">
        <f>'Fatores de Emissão'!D90</f>
        <v xml:space="preserve">Veículo ligeiro de passageiros - gasóleo </v>
      </c>
      <c r="E14" t="str">
        <f>'Fatores de Emissão'!D120</f>
        <v>Navio grande (tara: entre 18 371t e 99 999t)</v>
      </c>
    </row>
    <row r="15" spans="2:18" x14ac:dyDescent="0.25">
      <c r="B15" t="str">
        <f>'Fatores de Emissão'!D91</f>
        <v xml:space="preserve">Veículo ligeiro de passageiros - GPL </v>
      </c>
      <c r="E15" t="str">
        <f>'Fatores de Emissão'!D121</f>
        <v>Navio muito grande (tara igual ou superior a 100 000t)</v>
      </c>
    </row>
    <row r="16" spans="2:18" x14ac:dyDescent="0.25">
      <c r="B16" t="str">
        <f>'Fatores de Emissão'!D92</f>
        <v>Veículo ligeiro de mercadorias - gasolina</v>
      </c>
    </row>
    <row r="17" spans="1:24" x14ac:dyDescent="0.25">
      <c r="B17" t="str">
        <f>'Fatores de Emissão'!D93</f>
        <v xml:space="preserve">Veículo ligeiro de mercadorias - gasóleo </v>
      </c>
    </row>
    <row r="18" spans="1:24" x14ac:dyDescent="0.25">
      <c r="B18" t="str">
        <f>'Fatores de Emissão'!D96</f>
        <v>Veículo pesado - gasóleo</v>
      </c>
    </row>
    <row r="24" spans="1:24" ht="18.399999999999999" customHeight="1" x14ac:dyDescent="0.25">
      <c r="A24" s="3" t="s">
        <v>34</v>
      </c>
      <c r="C24" s="3" t="s">
        <v>506</v>
      </c>
    </row>
    <row r="25" spans="1:24" ht="22.9" customHeight="1" x14ac:dyDescent="0.25">
      <c r="A25" s="130" t="e">
        <f>'Fatores de Emissão'!#REF!</f>
        <v>#REF!</v>
      </c>
      <c r="B25" s="142" t="s">
        <v>501</v>
      </c>
      <c r="C25" s="141" t="s">
        <v>507</v>
      </c>
    </row>
    <row r="26" spans="1:24" x14ac:dyDescent="0.25">
      <c r="A26" s="130" t="e">
        <f>'Fatores de Emissão'!#REF!</f>
        <v>#REF!</v>
      </c>
      <c r="B26" s="142" t="s">
        <v>502</v>
      </c>
      <c r="C26" s="141" t="s">
        <v>505</v>
      </c>
    </row>
    <row r="27" spans="1:24" ht="18" customHeight="1" x14ac:dyDescent="0.25">
      <c r="A27" s="130" t="e">
        <f>'Fatores de Emissão'!#REF!</f>
        <v>#REF!</v>
      </c>
      <c r="C27" s="141" t="s">
        <v>508</v>
      </c>
    </row>
    <row r="28" spans="1:24" x14ac:dyDescent="0.25">
      <c r="M28" t="str">
        <f>C25</f>
        <v>Transporte a montante da empresa</v>
      </c>
    </row>
    <row r="29" spans="1:24" ht="14.65" customHeight="1" x14ac:dyDescent="0.25">
      <c r="M29" t="str">
        <f>C26</f>
        <v>Viagens a negócios</v>
      </c>
    </row>
    <row r="30" spans="1:24" ht="14.65" customHeight="1" x14ac:dyDescent="0.25">
      <c r="M30" t="str">
        <f>C27</f>
        <v>Transporte a jusante da empresa</v>
      </c>
      <c r="T30" s="1262" t="s">
        <v>503</v>
      </c>
      <c r="U30" s="1262"/>
    </row>
    <row r="31" spans="1:24" ht="15" customHeight="1" thickBot="1" x14ac:dyDescent="0.3">
      <c r="D31" s="1"/>
      <c r="E31" s="8"/>
      <c r="F31" s="1259" t="s">
        <v>897</v>
      </c>
      <c r="G31" s="1260"/>
      <c r="H31" s="1261"/>
      <c r="I31" s="1259" t="s">
        <v>43</v>
      </c>
      <c r="J31" s="1260"/>
      <c r="K31" s="1261"/>
      <c r="L31" s="1255" t="s">
        <v>503</v>
      </c>
      <c r="M31" s="1255" t="s">
        <v>504</v>
      </c>
      <c r="N31" s="1257"/>
      <c r="O31" s="1262" t="str">
        <f>C26</f>
        <v>Viagens a negócios</v>
      </c>
      <c r="P31" s="1257"/>
      <c r="Q31" s="1257"/>
      <c r="R31" s="1264" t="str">
        <f>C25</f>
        <v>Transporte a montante da empresa</v>
      </c>
      <c r="S31" s="1264" t="str">
        <f>C27</f>
        <v>Transporte a jusante da empresa</v>
      </c>
      <c r="T31" s="1262"/>
      <c r="U31" s="1262"/>
    </row>
    <row r="32" spans="1:24" ht="20.25" thickBot="1" x14ac:dyDescent="0.3">
      <c r="C32" s="26" t="s">
        <v>32</v>
      </c>
      <c r="D32" s="27" t="s">
        <v>790</v>
      </c>
      <c r="E32" s="26" t="s">
        <v>42</v>
      </c>
      <c r="F32" s="23" t="e">
        <f>A25</f>
        <v>#REF!</v>
      </c>
      <c r="G32" s="24" t="e">
        <f>A26</f>
        <v>#REF!</v>
      </c>
      <c r="H32" s="25" t="e">
        <f>A27</f>
        <v>#REF!</v>
      </c>
      <c r="I32" s="23" t="e">
        <f>A25</f>
        <v>#REF!</v>
      </c>
      <c r="J32" s="24" t="e">
        <f>A26</f>
        <v>#REF!</v>
      </c>
      <c r="K32" s="37" t="e">
        <f>A27</f>
        <v>#REF!</v>
      </c>
      <c r="L32" s="1256"/>
      <c r="M32" s="1256"/>
      <c r="N32" s="1258"/>
      <c r="O32" s="1262"/>
      <c r="P32" s="1257"/>
      <c r="Q32" s="1257"/>
      <c r="R32" s="1263"/>
      <c r="S32" s="1263"/>
      <c r="T32" s="3" t="s">
        <v>501</v>
      </c>
      <c r="U32" s="3" t="s">
        <v>502</v>
      </c>
      <c r="V32" t="s">
        <v>639</v>
      </c>
      <c r="W32" t="s">
        <v>640</v>
      </c>
      <c r="X32" t="s">
        <v>641</v>
      </c>
    </row>
    <row r="33" spans="2:24" ht="14.65" customHeight="1" thickBot="1" x14ac:dyDescent="0.3">
      <c r="B33" s="1243" t="s">
        <v>226</v>
      </c>
      <c r="C33" s="54" t="e">
        <f>'Combustão Móvel'!#REF!</f>
        <v>#REF!</v>
      </c>
      <c r="D33" s="145" t="e">
        <f>'Combustão Móvel'!#REF!</f>
        <v>#REF!</v>
      </c>
      <c r="E33" s="146">
        <v>0</v>
      </c>
      <c r="F33" s="147" t="e">
        <f>IF(C33=$F$32,D33,0)</f>
        <v>#REF!</v>
      </c>
      <c r="G33" s="147" t="e">
        <f>IF(C33=$G$32,D33,0)</f>
        <v>#REF!</v>
      </c>
      <c r="H33" s="147" t="e">
        <f>IF(C33=$H$32,D33,0)</f>
        <v>#REF!</v>
      </c>
      <c r="I33" s="147" t="e">
        <f>IF(C33=$I$32,E33,0)</f>
        <v>#REF!</v>
      </c>
      <c r="J33" s="147" t="e">
        <f>IF(C33=$J$32,E33,0)</f>
        <v>#REF!</v>
      </c>
      <c r="K33" s="148" t="e">
        <f>IF(C33=$K$32,E33,0)</f>
        <v>#REF!</v>
      </c>
      <c r="L33" s="36" t="e">
        <f>'Combustão Móvel'!#REF!</f>
        <v>#REF!</v>
      </c>
      <c r="M33" s="40" t="e">
        <f>'Combustão Móvel'!#REF!</f>
        <v>#REF!</v>
      </c>
      <c r="N33" s="150"/>
      <c r="O33" s="150" t="e">
        <f>IF($M33=$O$31,IF($L33=$B$26,$D33,0),0)</f>
        <v>#REF!</v>
      </c>
      <c r="P33" s="150"/>
      <c r="Q33" s="150"/>
      <c r="R33" s="150" t="e">
        <f>IF($M33=$R$31,IF($L33=$B$26,$D33,0),0)</f>
        <v>#REF!</v>
      </c>
      <c r="S33" s="150" t="e">
        <f>IF($M33=$S$31,IF($L33=$B$26,$D33,0),0)</f>
        <v>#REF!</v>
      </c>
      <c r="T33" s="161" t="e">
        <f>IF($L33=$T$32,$D33,0)</f>
        <v>#REF!</v>
      </c>
      <c r="U33" s="161" t="e">
        <f>IF($L33=$U$32,$D33,0)</f>
        <v>#REF!</v>
      </c>
      <c r="V33" s="134" t="e">
        <f t="shared" ref="V33:X36" si="0">IF($L33="Não",F33,"")</f>
        <v>#REF!</v>
      </c>
      <c r="W33" s="134" t="e">
        <f t="shared" si="0"/>
        <v>#REF!</v>
      </c>
      <c r="X33" s="134" t="e">
        <f t="shared" si="0"/>
        <v>#REF!</v>
      </c>
    </row>
    <row r="34" spans="2:24" ht="15.75" thickBot="1" x14ac:dyDescent="0.3">
      <c r="B34" s="1244"/>
      <c r="C34" s="54" t="e">
        <f>'Combustão Móvel'!#REF!</f>
        <v>#REF!</v>
      </c>
      <c r="D34" s="145" t="e">
        <f>'Combustão Móvel'!#REF!</f>
        <v>#REF!</v>
      </c>
      <c r="E34" s="149">
        <v>0</v>
      </c>
      <c r="F34" s="150" t="e">
        <f t="shared" ref="F34:F97" si="1">IF(C34=$F$32,D34,0)</f>
        <v>#REF!</v>
      </c>
      <c r="G34" s="150" t="e">
        <f t="shared" ref="G34:G97" si="2">IF(C34=$G$32,D34,0)</f>
        <v>#REF!</v>
      </c>
      <c r="H34" s="150" t="e">
        <f t="shared" ref="H34:H97" si="3">IF(C34=$H$32,D34,0)</f>
        <v>#REF!</v>
      </c>
      <c r="I34" s="150" t="e">
        <f t="shared" ref="I34:I97" si="4">IF(C34=$I$32,E34,0)</f>
        <v>#REF!</v>
      </c>
      <c r="J34" s="150" t="e">
        <f t="shared" ref="J34:J97" si="5">IF(C34=$J$32,E34,0)</f>
        <v>#REF!</v>
      </c>
      <c r="K34" s="151" t="e">
        <f t="shared" ref="K34:K97" si="6">IF(C34=$K$32,E34,0)</f>
        <v>#REF!</v>
      </c>
      <c r="L34" s="36" t="e">
        <f>'Combustão Móvel'!#REF!</f>
        <v>#REF!</v>
      </c>
      <c r="M34" s="40" t="e">
        <f>'Combustão Móvel'!#REF!</f>
        <v>#REF!</v>
      </c>
      <c r="N34" s="150"/>
      <c r="O34" s="150" t="e">
        <f t="shared" ref="O34:O97" si="7">IF($M34=$O$31,IF($L34=$B$26,$D34,0),0)</f>
        <v>#REF!</v>
      </c>
      <c r="P34" s="150"/>
      <c r="Q34" s="150"/>
      <c r="R34" s="150" t="e">
        <f t="shared" ref="R34:R97" si="8">IF($M34=$R$31,IF($L34=$B$26,$D34,0),0)</f>
        <v>#REF!</v>
      </c>
      <c r="S34" s="150" t="e">
        <f t="shared" ref="S34:S97" si="9">IF($M34=$S$31,IF($L34=$B$26,$D34,0),0)</f>
        <v>#REF!</v>
      </c>
      <c r="T34" s="161" t="e">
        <f t="shared" ref="T34:T97" si="10">IF($L34=$T$32,$D34,0)</f>
        <v>#REF!</v>
      </c>
      <c r="U34" s="161" t="e">
        <f t="shared" ref="U34:U97" si="11">IF($L34=$U$32,$D34,0)</f>
        <v>#REF!</v>
      </c>
      <c r="V34" s="134" t="e">
        <f t="shared" si="0"/>
        <v>#REF!</v>
      </c>
      <c r="W34" s="134" t="e">
        <f t="shared" si="0"/>
        <v>#REF!</v>
      </c>
      <c r="X34" s="134" t="e">
        <f t="shared" si="0"/>
        <v>#REF!</v>
      </c>
    </row>
    <row r="35" spans="2:24" ht="15.75" thickBot="1" x14ac:dyDescent="0.3">
      <c r="B35" s="1244"/>
      <c r="C35" s="54" t="e">
        <f>'Combustão Móvel'!#REF!</f>
        <v>#REF!</v>
      </c>
      <c r="D35" s="145" t="e">
        <f>'Combustão Móvel'!#REF!</f>
        <v>#REF!</v>
      </c>
      <c r="E35" s="149">
        <v>0</v>
      </c>
      <c r="F35" s="150" t="e">
        <f t="shared" si="1"/>
        <v>#REF!</v>
      </c>
      <c r="G35" s="150" t="e">
        <f t="shared" si="2"/>
        <v>#REF!</v>
      </c>
      <c r="H35" s="150" t="e">
        <f t="shared" si="3"/>
        <v>#REF!</v>
      </c>
      <c r="I35" s="150" t="e">
        <f t="shared" si="4"/>
        <v>#REF!</v>
      </c>
      <c r="J35" s="150" t="e">
        <f t="shared" si="5"/>
        <v>#REF!</v>
      </c>
      <c r="K35" s="151" t="e">
        <f t="shared" si="6"/>
        <v>#REF!</v>
      </c>
      <c r="L35" s="36" t="e">
        <f>'Combustão Móvel'!#REF!</f>
        <v>#REF!</v>
      </c>
      <c r="M35" s="40" t="e">
        <f>'Combustão Móvel'!#REF!</f>
        <v>#REF!</v>
      </c>
      <c r="N35" s="150"/>
      <c r="O35" s="150" t="e">
        <f t="shared" si="7"/>
        <v>#REF!</v>
      </c>
      <c r="P35" s="150"/>
      <c r="Q35" s="150"/>
      <c r="R35" s="150" t="e">
        <f t="shared" si="8"/>
        <v>#REF!</v>
      </c>
      <c r="S35" s="150" t="e">
        <f t="shared" si="9"/>
        <v>#REF!</v>
      </c>
      <c r="T35" s="161" t="e">
        <f t="shared" si="10"/>
        <v>#REF!</v>
      </c>
      <c r="U35" s="161" t="e">
        <f t="shared" si="11"/>
        <v>#REF!</v>
      </c>
      <c r="V35" s="134" t="e">
        <f t="shared" si="0"/>
        <v>#REF!</v>
      </c>
      <c r="W35" s="134" t="e">
        <f t="shared" si="0"/>
        <v>#REF!</v>
      </c>
      <c r="X35" s="134" t="e">
        <f t="shared" si="0"/>
        <v>#REF!</v>
      </c>
    </row>
    <row r="36" spans="2:24" ht="15.75" thickBot="1" x14ac:dyDescent="0.3">
      <c r="B36" s="1244"/>
      <c r="C36" s="54" t="e">
        <f>'Combustão Móvel'!#REF!</f>
        <v>#REF!</v>
      </c>
      <c r="D36" s="145" t="e">
        <f>'Combustão Móvel'!#REF!</f>
        <v>#REF!</v>
      </c>
      <c r="E36" s="149">
        <v>0</v>
      </c>
      <c r="F36" s="150" t="e">
        <f t="shared" si="1"/>
        <v>#REF!</v>
      </c>
      <c r="G36" s="150" t="e">
        <f t="shared" si="2"/>
        <v>#REF!</v>
      </c>
      <c r="H36" s="150" t="e">
        <f t="shared" si="3"/>
        <v>#REF!</v>
      </c>
      <c r="I36" s="150" t="e">
        <f t="shared" si="4"/>
        <v>#REF!</v>
      </c>
      <c r="J36" s="150" t="e">
        <f t="shared" si="5"/>
        <v>#REF!</v>
      </c>
      <c r="K36" s="151" t="e">
        <f t="shared" si="6"/>
        <v>#REF!</v>
      </c>
      <c r="L36" s="36" t="e">
        <f>'Combustão Móvel'!#REF!</f>
        <v>#REF!</v>
      </c>
      <c r="M36" s="40" t="e">
        <f>'Combustão Móvel'!#REF!</f>
        <v>#REF!</v>
      </c>
      <c r="N36" s="150"/>
      <c r="O36" s="150" t="e">
        <f t="shared" si="7"/>
        <v>#REF!</v>
      </c>
      <c r="P36" s="150"/>
      <c r="Q36" s="150"/>
      <c r="R36" s="150" t="e">
        <f t="shared" si="8"/>
        <v>#REF!</v>
      </c>
      <c r="S36" s="150" t="e">
        <f t="shared" si="9"/>
        <v>#REF!</v>
      </c>
      <c r="T36" s="161" t="e">
        <f t="shared" si="10"/>
        <v>#REF!</v>
      </c>
      <c r="U36" s="161" t="e">
        <f t="shared" si="11"/>
        <v>#REF!</v>
      </c>
      <c r="V36" s="134" t="e">
        <f t="shared" si="0"/>
        <v>#REF!</v>
      </c>
      <c r="W36" s="134" t="e">
        <f t="shared" si="0"/>
        <v>#REF!</v>
      </c>
      <c r="X36" s="134" t="e">
        <f t="shared" si="0"/>
        <v>#REF!</v>
      </c>
    </row>
    <row r="37" spans="2:24" ht="15.75" thickBot="1" x14ac:dyDescent="0.3">
      <c r="B37" s="1244"/>
      <c r="C37" s="54" t="e">
        <f>'Combustão Móvel'!#REF!</f>
        <v>#REF!</v>
      </c>
      <c r="D37" s="145" t="e">
        <f>'Combustão Móvel'!#REF!</f>
        <v>#REF!</v>
      </c>
      <c r="E37" s="149">
        <v>0</v>
      </c>
      <c r="F37" s="150" t="e">
        <f t="shared" si="1"/>
        <v>#REF!</v>
      </c>
      <c r="G37" s="150" t="e">
        <f t="shared" si="2"/>
        <v>#REF!</v>
      </c>
      <c r="H37" s="150" t="e">
        <f t="shared" si="3"/>
        <v>#REF!</v>
      </c>
      <c r="I37" s="150" t="e">
        <f t="shared" si="4"/>
        <v>#REF!</v>
      </c>
      <c r="J37" s="150" t="e">
        <f t="shared" si="5"/>
        <v>#REF!</v>
      </c>
      <c r="K37" s="151" t="e">
        <f t="shared" si="6"/>
        <v>#REF!</v>
      </c>
      <c r="L37" s="36" t="e">
        <f>'Combustão Móvel'!#REF!</f>
        <v>#REF!</v>
      </c>
      <c r="M37" s="40" t="e">
        <f>'Combustão Móvel'!#REF!</f>
        <v>#REF!</v>
      </c>
      <c r="N37" s="150"/>
      <c r="O37" s="150" t="e">
        <f t="shared" si="7"/>
        <v>#REF!</v>
      </c>
      <c r="P37" s="150"/>
      <c r="Q37" s="150"/>
      <c r="R37" s="150" t="e">
        <f t="shared" si="8"/>
        <v>#REF!</v>
      </c>
      <c r="S37" s="150" t="e">
        <f t="shared" si="9"/>
        <v>#REF!</v>
      </c>
      <c r="T37" s="161" t="e">
        <f t="shared" si="10"/>
        <v>#REF!</v>
      </c>
      <c r="U37" s="161" t="e">
        <f t="shared" si="11"/>
        <v>#REF!</v>
      </c>
      <c r="V37" s="134" t="e">
        <f t="shared" ref="V37:V100" si="12">IF($L37="Não",F37,"")</f>
        <v>#REF!</v>
      </c>
      <c r="W37" s="134" t="e">
        <f t="shared" ref="W37:W100" si="13">IF($L37="Não",G37,"")</f>
        <v>#REF!</v>
      </c>
      <c r="X37" s="134" t="e">
        <f t="shared" ref="X37:X100" si="14">IF($L37="Não",H37,"")</f>
        <v>#REF!</v>
      </c>
    </row>
    <row r="38" spans="2:24" ht="15.75" thickBot="1" x14ac:dyDescent="0.3">
      <c r="B38" s="1244"/>
      <c r="C38" s="54" t="e">
        <f>'Combustão Móvel'!#REF!</f>
        <v>#REF!</v>
      </c>
      <c r="D38" s="145" t="e">
        <f>'Combustão Móvel'!#REF!</f>
        <v>#REF!</v>
      </c>
      <c r="E38" s="149">
        <v>0</v>
      </c>
      <c r="F38" s="150" t="e">
        <f t="shared" si="1"/>
        <v>#REF!</v>
      </c>
      <c r="G38" s="150" t="e">
        <f t="shared" si="2"/>
        <v>#REF!</v>
      </c>
      <c r="H38" s="150" t="e">
        <f t="shared" si="3"/>
        <v>#REF!</v>
      </c>
      <c r="I38" s="150" t="e">
        <f t="shared" si="4"/>
        <v>#REF!</v>
      </c>
      <c r="J38" s="150" t="e">
        <f t="shared" si="5"/>
        <v>#REF!</v>
      </c>
      <c r="K38" s="151" t="e">
        <f t="shared" si="6"/>
        <v>#REF!</v>
      </c>
      <c r="L38" s="36" t="e">
        <f>'Combustão Móvel'!#REF!</f>
        <v>#REF!</v>
      </c>
      <c r="M38" s="40" t="e">
        <f>'Combustão Móvel'!#REF!</f>
        <v>#REF!</v>
      </c>
      <c r="N38" s="150"/>
      <c r="O38" s="150" t="e">
        <f t="shared" si="7"/>
        <v>#REF!</v>
      </c>
      <c r="P38" s="150"/>
      <c r="Q38" s="150"/>
      <c r="R38" s="150" t="e">
        <f t="shared" si="8"/>
        <v>#REF!</v>
      </c>
      <c r="S38" s="150" t="e">
        <f t="shared" si="9"/>
        <v>#REF!</v>
      </c>
      <c r="T38" s="161" t="e">
        <f t="shared" si="10"/>
        <v>#REF!</v>
      </c>
      <c r="U38" s="161" t="e">
        <f t="shared" si="11"/>
        <v>#REF!</v>
      </c>
      <c r="V38" s="134" t="e">
        <f t="shared" si="12"/>
        <v>#REF!</v>
      </c>
      <c r="W38" s="134" t="e">
        <f t="shared" si="13"/>
        <v>#REF!</v>
      </c>
      <c r="X38" s="134" t="e">
        <f t="shared" si="14"/>
        <v>#REF!</v>
      </c>
    </row>
    <row r="39" spans="2:24" ht="15.75" thickBot="1" x14ac:dyDescent="0.3">
      <c r="B39" s="1244"/>
      <c r="C39" s="54" t="e">
        <f>'Combustão Móvel'!#REF!</f>
        <v>#REF!</v>
      </c>
      <c r="D39" s="145" t="e">
        <f>'Combustão Móvel'!#REF!</f>
        <v>#REF!</v>
      </c>
      <c r="E39" s="149">
        <v>0</v>
      </c>
      <c r="F39" s="150" t="e">
        <f t="shared" si="1"/>
        <v>#REF!</v>
      </c>
      <c r="G39" s="150" t="e">
        <f t="shared" si="2"/>
        <v>#REF!</v>
      </c>
      <c r="H39" s="150" t="e">
        <f t="shared" si="3"/>
        <v>#REF!</v>
      </c>
      <c r="I39" s="150" t="e">
        <f t="shared" si="4"/>
        <v>#REF!</v>
      </c>
      <c r="J39" s="150" t="e">
        <f t="shared" si="5"/>
        <v>#REF!</v>
      </c>
      <c r="K39" s="151" t="e">
        <f t="shared" si="6"/>
        <v>#REF!</v>
      </c>
      <c r="L39" s="36" t="e">
        <f>'Combustão Móvel'!#REF!</f>
        <v>#REF!</v>
      </c>
      <c r="M39" s="40" t="e">
        <f>'Combustão Móvel'!#REF!</f>
        <v>#REF!</v>
      </c>
      <c r="N39" s="150"/>
      <c r="O39" s="150" t="e">
        <f t="shared" si="7"/>
        <v>#REF!</v>
      </c>
      <c r="P39" s="150"/>
      <c r="Q39" s="150"/>
      <c r="R39" s="150" t="e">
        <f t="shared" si="8"/>
        <v>#REF!</v>
      </c>
      <c r="S39" s="150" t="e">
        <f t="shared" si="9"/>
        <v>#REF!</v>
      </c>
      <c r="T39" s="161" t="e">
        <f t="shared" si="10"/>
        <v>#REF!</v>
      </c>
      <c r="U39" s="161" t="e">
        <f t="shared" si="11"/>
        <v>#REF!</v>
      </c>
      <c r="V39" s="134" t="e">
        <f t="shared" si="12"/>
        <v>#REF!</v>
      </c>
      <c r="W39" s="134" t="e">
        <f t="shared" si="13"/>
        <v>#REF!</v>
      </c>
      <c r="X39" s="134" t="e">
        <f t="shared" si="14"/>
        <v>#REF!</v>
      </c>
    </row>
    <row r="40" spans="2:24" ht="15.75" thickBot="1" x14ac:dyDescent="0.3">
      <c r="B40" s="1244"/>
      <c r="C40" s="54" t="e">
        <f>'Combustão Móvel'!#REF!</f>
        <v>#REF!</v>
      </c>
      <c r="D40" s="145" t="e">
        <f>'Combustão Móvel'!#REF!</f>
        <v>#REF!</v>
      </c>
      <c r="E40" s="149">
        <v>0</v>
      </c>
      <c r="F40" s="150" t="e">
        <f t="shared" si="1"/>
        <v>#REF!</v>
      </c>
      <c r="G40" s="150" t="e">
        <f t="shared" si="2"/>
        <v>#REF!</v>
      </c>
      <c r="H40" s="150" t="e">
        <f t="shared" si="3"/>
        <v>#REF!</v>
      </c>
      <c r="I40" s="150" t="e">
        <f t="shared" si="4"/>
        <v>#REF!</v>
      </c>
      <c r="J40" s="150" t="e">
        <f t="shared" si="5"/>
        <v>#REF!</v>
      </c>
      <c r="K40" s="151" t="e">
        <f t="shared" si="6"/>
        <v>#REF!</v>
      </c>
      <c r="L40" s="36" t="e">
        <f>'Combustão Móvel'!#REF!</f>
        <v>#REF!</v>
      </c>
      <c r="M40" s="40" t="e">
        <f>'Combustão Móvel'!#REF!</f>
        <v>#REF!</v>
      </c>
      <c r="N40" s="150"/>
      <c r="O40" s="150" t="e">
        <f t="shared" si="7"/>
        <v>#REF!</v>
      </c>
      <c r="P40" s="150"/>
      <c r="Q40" s="150"/>
      <c r="R40" s="150" t="e">
        <f t="shared" si="8"/>
        <v>#REF!</v>
      </c>
      <c r="S40" s="150" t="e">
        <f t="shared" si="9"/>
        <v>#REF!</v>
      </c>
      <c r="T40" s="161" t="e">
        <f t="shared" si="10"/>
        <v>#REF!</v>
      </c>
      <c r="U40" s="161" t="e">
        <f t="shared" si="11"/>
        <v>#REF!</v>
      </c>
      <c r="V40" s="134" t="e">
        <f t="shared" si="12"/>
        <v>#REF!</v>
      </c>
      <c r="W40" s="134" t="e">
        <f t="shared" si="13"/>
        <v>#REF!</v>
      </c>
      <c r="X40" s="134" t="e">
        <f t="shared" si="14"/>
        <v>#REF!</v>
      </c>
    </row>
    <row r="41" spans="2:24" ht="15.75" thickBot="1" x14ac:dyDescent="0.3">
      <c r="B41" s="1244"/>
      <c r="C41" s="54" t="e">
        <f>'Combustão Móvel'!#REF!</f>
        <v>#REF!</v>
      </c>
      <c r="D41" s="145" t="e">
        <f>'Combustão Móvel'!#REF!</f>
        <v>#REF!</v>
      </c>
      <c r="E41" s="149">
        <v>0</v>
      </c>
      <c r="F41" s="150" t="e">
        <f t="shared" si="1"/>
        <v>#REF!</v>
      </c>
      <c r="G41" s="150" t="e">
        <f t="shared" si="2"/>
        <v>#REF!</v>
      </c>
      <c r="H41" s="150" t="e">
        <f t="shared" si="3"/>
        <v>#REF!</v>
      </c>
      <c r="I41" s="150" t="e">
        <f t="shared" si="4"/>
        <v>#REF!</v>
      </c>
      <c r="J41" s="150" t="e">
        <f t="shared" si="5"/>
        <v>#REF!</v>
      </c>
      <c r="K41" s="151" t="e">
        <f t="shared" si="6"/>
        <v>#REF!</v>
      </c>
      <c r="L41" s="36" t="e">
        <f>'Combustão Móvel'!#REF!</f>
        <v>#REF!</v>
      </c>
      <c r="M41" s="40" t="e">
        <f>'Combustão Móvel'!#REF!</f>
        <v>#REF!</v>
      </c>
      <c r="N41" s="150"/>
      <c r="O41" s="150" t="e">
        <f t="shared" si="7"/>
        <v>#REF!</v>
      </c>
      <c r="P41" s="150"/>
      <c r="Q41" s="150"/>
      <c r="R41" s="150" t="e">
        <f t="shared" si="8"/>
        <v>#REF!</v>
      </c>
      <c r="S41" s="150" t="e">
        <f t="shared" si="9"/>
        <v>#REF!</v>
      </c>
      <c r="T41" s="161" t="e">
        <f t="shared" si="10"/>
        <v>#REF!</v>
      </c>
      <c r="U41" s="161" t="e">
        <f t="shared" si="11"/>
        <v>#REF!</v>
      </c>
      <c r="V41" s="134" t="e">
        <f t="shared" si="12"/>
        <v>#REF!</v>
      </c>
      <c r="W41" s="134" t="e">
        <f t="shared" si="13"/>
        <v>#REF!</v>
      </c>
      <c r="X41" s="134" t="e">
        <f t="shared" si="14"/>
        <v>#REF!</v>
      </c>
    </row>
    <row r="42" spans="2:24" ht="15.75" thickBot="1" x14ac:dyDescent="0.3">
      <c r="B42" s="1244"/>
      <c r="C42" s="54" t="e">
        <f>'Combustão Móvel'!#REF!</f>
        <v>#REF!</v>
      </c>
      <c r="D42" s="145" t="e">
        <f>'Combustão Móvel'!#REF!</f>
        <v>#REF!</v>
      </c>
      <c r="E42" s="149">
        <v>0</v>
      </c>
      <c r="F42" s="150" t="e">
        <f t="shared" si="1"/>
        <v>#REF!</v>
      </c>
      <c r="G42" s="150" t="e">
        <f t="shared" si="2"/>
        <v>#REF!</v>
      </c>
      <c r="H42" s="150" t="e">
        <f t="shared" si="3"/>
        <v>#REF!</v>
      </c>
      <c r="I42" s="150" t="e">
        <f t="shared" si="4"/>
        <v>#REF!</v>
      </c>
      <c r="J42" s="150" t="e">
        <f t="shared" si="5"/>
        <v>#REF!</v>
      </c>
      <c r="K42" s="151" t="e">
        <f t="shared" si="6"/>
        <v>#REF!</v>
      </c>
      <c r="L42" s="36" t="e">
        <f>'Combustão Móvel'!#REF!</f>
        <v>#REF!</v>
      </c>
      <c r="M42" s="40" t="e">
        <f>'Combustão Móvel'!#REF!</f>
        <v>#REF!</v>
      </c>
      <c r="N42" s="150"/>
      <c r="O42" s="150" t="e">
        <f t="shared" si="7"/>
        <v>#REF!</v>
      </c>
      <c r="P42" s="150"/>
      <c r="Q42" s="150"/>
      <c r="R42" s="150" t="e">
        <f t="shared" si="8"/>
        <v>#REF!</v>
      </c>
      <c r="S42" s="150" t="e">
        <f t="shared" si="9"/>
        <v>#REF!</v>
      </c>
      <c r="T42" s="161" t="e">
        <f t="shared" si="10"/>
        <v>#REF!</v>
      </c>
      <c r="U42" s="161" t="e">
        <f t="shared" si="11"/>
        <v>#REF!</v>
      </c>
      <c r="V42" s="134" t="e">
        <f t="shared" si="12"/>
        <v>#REF!</v>
      </c>
      <c r="W42" s="134" t="e">
        <f t="shared" si="13"/>
        <v>#REF!</v>
      </c>
      <c r="X42" s="134" t="e">
        <f t="shared" si="14"/>
        <v>#REF!</v>
      </c>
    </row>
    <row r="43" spans="2:24" ht="15.75" thickBot="1" x14ac:dyDescent="0.3">
      <c r="B43" s="1244"/>
      <c r="C43" s="54" t="e">
        <f>'Combustão Móvel'!#REF!</f>
        <v>#REF!</v>
      </c>
      <c r="D43" s="145" t="e">
        <f>'Combustão Móvel'!#REF!</f>
        <v>#REF!</v>
      </c>
      <c r="E43" s="149">
        <v>0</v>
      </c>
      <c r="F43" s="150" t="e">
        <f t="shared" si="1"/>
        <v>#REF!</v>
      </c>
      <c r="G43" s="150" t="e">
        <f t="shared" si="2"/>
        <v>#REF!</v>
      </c>
      <c r="H43" s="150" t="e">
        <f t="shared" si="3"/>
        <v>#REF!</v>
      </c>
      <c r="I43" s="150" t="e">
        <f t="shared" si="4"/>
        <v>#REF!</v>
      </c>
      <c r="J43" s="150" t="e">
        <f t="shared" si="5"/>
        <v>#REF!</v>
      </c>
      <c r="K43" s="151" t="e">
        <f t="shared" si="6"/>
        <v>#REF!</v>
      </c>
      <c r="L43" s="36" t="e">
        <f>'Combustão Móvel'!#REF!</f>
        <v>#REF!</v>
      </c>
      <c r="M43" s="40" t="e">
        <f>'Combustão Móvel'!#REF!</f>
        <v>#REF!</v>
      </c>
      <c r="N43" s="150"/>
      <c r="O43" s="150" t="e">
        <f t="shared" si="7"/>
        <v>#REF!</v>
      </c>
      <c r="P43" s="150"/>
      <c r="Q43" s="150"/>
      <c r="R43" s="150" t="e">
        <f t="shared" si="8"/>
        <v>#REF!</v>
      </c>
      <c r="S43" s="150" t="e">
        <f t="shared" si="9"/>
        <v>#REF!</v>
      </c>
      <c r="T43" s="161" t="e">
        <f t="shared" si="10"/>
        <v>#REF!</v>
      </c>
      <c r="U43" s="161" t="e">
        <f t="shared" si="11"/>
        <v>#REF!</v>
      </c>
      <c r="V43" s="134" t="e">
        <f t="shared" si="12"/>
        <v>#REF!</v>
      </c>
      <c r="W43" s="134" t="e">
        <f t="shared" si="13"/>
        <v>#REF!</v>
      </c>
      <c r="X43" s="134" t="e">
        <f t="shared" si="14"/>
        <v>#REF!</v>
      </c>
    </row>
    <row r="44" spans="2:24" ht="15.75" thickBot="1" x14ac:dyDescent="0.3">
      <c r="B44" s="1244"/>
      <c r="C44" s="54" t="e">
        <f>'Combustão Móvel'!#REF!</f>
        <v>#REF!</v>
      </c>
      <c r="D44" s="145" t="e">
        <f>'Combustão Móvel'!#REF!</f>
        <v>#REF!</v>
      </c>
      <c r="E44" s="149">
        <v>0</v>
      </c>
      <c r="F44" s="150" t="e">
        <f t="shared" si="1"/>
        <v>#REF!</v>
      </c>
      <c r="G44" s="150" t="e">
        <f t="shared" si="2"/>
        <v>#REF!</v>
      </c>
      <c r="H44" s="150" t="e">
        <f t="shared" si="3"/>
        <v>#REF!</v>
      </c>
      <c r="I44" s="150" t="e">
        <f t="shared" si="4"/>
        <v>#REF!</v>
      </c>
      <c r="J44" s="150" t="e">
        <f t="shared" si="5"/>
        <v>#REF!</v>
      </c>
      <c r="K44" s="151" t="e">
        <f t="shared" si="6"/>
        <v>#REF!</v>
      </c>
      <c r="L44" s="36" t="e">
        <f>'Combustão Móvel'!#REF!</f>
        <v>#REF!</v>
      </c>
      <c r="M44" s="40" t="e">
        <f>'Combustão Móvel'!#REF!</f>
        <v>#REF!</v>
      </c>
      <c r="N44" s="150"/>
      <c r="O44" s="150" t="e">
        <f t="shared" si="7"/>
        <v>#REF!</v>
      </c>
      <c r="P44" s="150"/>
      <c r="Q44" s="150"/>
      <c r="R44" s="150" t="e">
        <f t="shared" si="8"/>
        <v>#REF!</v>
      </c>
      <c r="S44" s="150" t="e">
        <f t="shared" si="9"/>
        <v>#REF!</v>
      </c>
      <c r="T44" s="161" t="e">
        <f t="shared" si="10"/>
        <v>#REF!</v>
      </c>
      <c r="U44" s="161" t="e">
        <f t="shared" si="11"/>
        <v>#REF!</v>
      </c>
      <c r="V44" s="134" t="e">
        <f t="shared" si="12"/>
        <v>#REF!</v>
      </c>
      <c r="W44" s="134" t="e">
        <f t="shared" si="13"/>
        <v>#REF!</v>
      </c>
      <c r="X44" s="134" t="e">
        <f t="shared" si="14"/>
        <v>#REF!</v>
      </c>
    </row>
    <row r="45" spans="2:24" ht="15.75" thickBot="1" x14ac:dyDescent="0.3">
      <c r="B45" s="1244"/>
      <c r="C45" s="54" t="e">
        <f>'Combustão Móvel'!#REF!</f>
        <v>#REF!</v>
      </c>
      <c r="D45" s="145" t="e">
        <f>'Combustão Móvel'!#REF!</f>
        <v>#REF!</v>
      </c>
      <c r="E45" s="149">
        <v>0</v>
      </c>
      <c r="F45" s="150" t="e">
        <f t="shared" si="1"/>
        <v>#REF!</v>
      </c>
      <c r="G45" s="150" t="e">
        <f t="shared" si="2"/>
        <v>#REF!</v>
      </c>
      <c r="H45" s="150" t="e">
        <f t="shared" si="3"/>
        <v>#REF!</v>
      </c>
      <c r="I45" s="150" t="e">
        <f t="shared" si="4"/>
        <v>#REF!</v>
      </c>
      <c r="J45" s="150" t="e">
        <f t="shared" si="5"/>
        <v>#REF!</v>
      </c>
      <c r="K45" s="151" t="e">
        <f t="shared" si="6"/>
        <v>#REF!</v>
      </c>
      <c r="L45" s="36" t="e">
        <f>'Combustão Móvel'!#REF!</f>
        <v>#REF!</v>
      </c>
      <c r="M45" s="40" t="e">
        <f>'Combustão Móvel'!#REF!</f>
        <v>#REF!</v>
      </c>
      <c r="N45" s="150"/>
      <c r="O45" s="150" t="e">
        <f t="shared" si="7"/>
        <v>#REF!</v>
      </c>
      <c r="P45" s="150"/>
      <c r="Q45" s="150"/>
      <c r="R45" s="150" t="e">
        <f t="shared" si="8"/>
        <v>#REF!</v>
      </c>
      <c r="S45" s="150" t="e">
        <f t="shared" si="9"/>
        <v>#REF!</v>
      </c>
      <c r="T45" s="161" t="e">
        <f t="shared" si="10"/>
        <v>#REF!</v>
      </c>
      <c r="U45" s="161" t="e">
        <f t="shared" si="11"/>
        <v>#REF!</v>
      </c>
      <c r="V45" s="134" t="e">
        <f t="shared" si="12"/>
        <v>#REF!</v>
      </c>
      <c r="W45" s="134" t="e">
        <f t="shared" si="13"/>
        <v>#REF!</v>
      </c>
      <c r="X45" s="134" t="e">
        <f t="shared" si="14"/>
        <v>#REF!</v>
      </c>
    </row>
    <row r="46" spans="2:24" ht="15.75" thickBot="1" x14ac:dyDescent="0.3">
      <c r="B46" s="1244"/>
      <c r="C46" s="54" t="e">
        <f>'Combustão Móvel'!#REF!</f>
        <v>#REF!</v>
      </c>
      <c r="D46" s="145" t="e">
        <f>'Combustão Móvel'!#REF!</f>
        <v>#REF!</v>
      </c>
      <c r="E46" s="149">
        <v>0</v>
      </c>
      <c r="F46" s="150" t="e">
        <f t="shared" si="1"/>
        <v>#REF!</v>
      </c>
      <c r="G46" s="150" t="e">
        <f t="shared" si="2"/>
        <v>#REF!</v>
      </c>
      <c r="H46" s="150" t="e">
        <f t="shared" si="3"/>
        <v>#REF!</v>
      </c>
      <c r="I46" s="150" t="e">
        <f t="shared" si="4"/>
        <v>#REF!</v>
      </c>
      <c r="J46" s="150" t="e">
        <f t="shared" si="5"/>
        <v>#REF!</v>
      </c>
      <c r="K46" s="151" t="e">
        <f t="shared" si="6"/>
        <v>#REF!</v>
      </c>
      <c r="L46" s="36" t="e">
        <f>'Combustão Móvel'!#REF!</f>
        <v>#REF!</v>
      </c>
      <c r="M46" s="40" t="e">
        <f>'Combustão Móvel'!#REF!</f>
        <v>#REF!</v>
      </c>
      <c r="N46" s="150"/>
      <c r="O46" s="150" t="e">
        <f t="shared" si="7"/>
        <v>#REF!</v>
      </c>
      <c r="P46" s="150"/>
      <c r="Q46" s="150"/>
      <c r="R46" s="150" t="e">
        <f t="shared" si="8"/>
        <v>#REF!</v>
      </c>
      <c r="S46" s="150" t="e">
        <f t="shared" si="9"/>
        <v>#REF!</v>
      </c>
      <c r="T46" s="161" t="e">
        <f t="shared" si="10"/>
        <v>#REF!</v>
      </c>
      <c r="U46" s="161" t="e">
        <f t="shared" si="11"/>
        <v>#REF!</v>
      </c>
      <c r="V46" s="134" t="e">
        <f t="shared" si="12"/>
        <v>#REF!</v>
      </c>
      <c r="W46" s="134" t="e">
        <f t="shared" si="13"/>
        <v>#REF!</v>
      </c>
      <c r="X46" s="134" t="e">
        <f t="shared" si="14"/>
        <v>#REF!</v>
      </c>
    </row>
    <row r="47" spans="2:24" ht="15.75" thickBot="1" x14ac:dyDescent="0.3">
      <c r="B47" s="1244"/>
      <c r="C47" s="54" t="e">
        <f>'Combustão Móvel'!#REF!</f>
        <v>#REF!</v>
      </c>
      <c r="D47" s="145" t="e">
        <f>'Combustão Móvel'!#REF!</f>
        <v>#REF!</v>
      </c>
      <c r="E47" s="149">
        <v>0</v>
      </c>
      <c r="F47" s="150" t="e">
        <f t="shared" si="1"/>
        <v>#REF!</v>
      </c>
      <c r="G47" s="150" t="e">
        <f t="shared" si="2"/>
        <v>#REF!</v>
      </c>
      <c r="H47" s="150" t="e">
        <f t="shared" si="3"/>
        <v>#REF!</v>
      </c>
      <c r="I47" s="150" t="e">
        <f t="shared" si="4"/>
        <v>#REF!</v>
      </c>
      <c r="J47" s="150" t="e">
        <f t="shared" si="5"/>
        <v>#REF!</v>
      </c>
      <c r="K47" s="151" t="e">
        <f t="shared" si="6"/>
        <v>#REF!</v>
      </c>
      <c r="L47" s="36" t="e">
        <f>'Combustão Móvel'!#REF!</f>
        <v>#REF!</v>
      </c>
      <c r="M47" s="40" t="e">
        <f>'Combustão Móvel'!#REF!</f>
        <v>#REF!</v>
      </c>
      <c r="N47" s="150"/>
      <c r="O47" s="150" t="e">
        <f t="shared" si="7"/>
        <v>#REF!</v>
      </c>
      <c r="P47" s="150"/>
      <c r="Q47" s="150"/>
      <c r="R47" s="150" t="e">
        <f t="shared" si="8"/>
        <v>#REF!</v>
      </c>
      <c r="S47" s="150" t="e">
        <f t="shared" si="9"/>
        <v>#REF!</v>
      </c>
      <c r="T47" s="161" t="e">
        <f t="shared" si="10"/>
        <v>#REF!</v>
      </c>
      <c r="U47" s="161" t="e">
        <f t="shared" si="11"/>
        <v>#REF!</v>
      </c>
      <c r="V47" s="134" t="e">
        <f t="shared" si="12"/>
        <v>#REF!</v>
      </c>
      <c r="W47" s="134" t="e">
        <f t="shared" si="13"/>
        <v>#REF!</v>
      </c>
      <c r="X47" s="134" t="e">
        <f t="shared" si="14"/>
        <v>#REF!</v>
      </c>
    </row>
    <row r="48" spans="2:24" ht="15.75" thickBot="1" x14ac:dyDescent="0.3">
      <c r="B48" s="1244"/>
      <c r="C48" s="54" t="e">
        <f>'Combustão Móvel'!#REF!</f>
        <v>#REF!</v>
      </c>
      <c r="D48" s="145" t="e">
        <f>'Combustão Móvel'!#REF!</f>
        <v>#REF!</v>
      </c>
      <c r="E48" s="149">
        <v>0</v>
      </c>
      <c r="F48" s="150" t="e">
        <f t="shared" si="1"/>
        <v>#REF!</v>
      </c>
      <c r="G48" s="150" t="e">
        <f t="shared" si="2"/>
        <v>#REF!</v>
      </c>
      <c r="H48" s="150" t="e">
        <f t="shared" si="3"/>
        <v>#REF!</v>
      </c>
      <c r="I48" s="150" t="e">
        <f t="shared" si="4"/>
        <v>#REF!</v>
      </c>
      <c r="J48" s="150" t="e">
        <f t="shared" si="5"/>
        <v>#REF!</v>
      </c>
      <c r="K48" s="151" t="e">
        <f t="shared" si="6"/>
        <v>#REF!</v>
      </c>
      <c r="L48" s="36" t="e">
        <f>'Combustão Móvel'!#REF!</f>
        <v>#REF!</v>
      </c>
      <c r="M48" s="40" t="e">
        <f>'Combustão Móvel'!#REF!</f>
        <v>#REF!</v>
      </c>
      <c r="N48" s="150"/>
      <c r="O48" s="150" t="e">
        <f t="shared" si="7"/>
        <v>#REF!</v>
      </c>
      <c r="P48" s="150"/>
      <c r="Q48" s="150"/>
      <c r="R48" s="150" t="e">
        <f t="shared" si="8"/>
        <v>#REF!</v>
      </c>
      <c r="S48" s="150" t="e">
        <f t="shared" si="9"/>
        <v>#REF!</v>
      </c>
      <c r="T48" s="161" t="e">
        <f t="shared" si="10"/>
        <v>#REF!</v>
      </c>
      <c r="U48" s="161" t="e">
        <f t="shared" si="11"/>
        <v>#REF!</v>
      </c>
      <c r="V48" s="134" t="e">
        <f t="shared" si="12"/>
        <v>#REF!</v>
      </c>
      <c r="W48" s="134" t="e">
        <f t="shared" si="13"/>
        <v>#REF!</v>
      </c>
      <c r="X48" s="134" t="e">
        <f t="shared" si="14"/>
        <v>#REF!</v>
      </c>
    </row>
    <row r="49" spans="2:24" ht="15.75" thickBot="1" x14ac:dyDescent="0.3">
      <c r="B49" s="1244"/>
      <c r="C49" s="54" t="e">
        <f>'Combustão Móvel'!#REF!</f>
        <v>#REF!</v>
      </c>
      <c r="D49" s="145" t="e">
        <f>'Combustão Móvel'!#REF!</f>
        <v>#REF!</v>
      </c>
      <c r="E49" s="149">
        <v>0</v>
      </c>
      <c r="F49" s="150" t="e">
        <f t="shared" si="1"/>
        <v>#REF!</v>
      </c>
      <c r="G49" s="150" t="e">
        <f t="shared" si="2"/>
        <v>#REF!</v>
      </c>
      <c r="H49" s="150" t="e">
        <f t="shared" si="3"/>
        <v>#REF!</v>
      </c>
      <c r="I49" s="150" t="e">
        <f t="shared" si="4"/>
        <v>#REF!</v>
      </c>
      <c r="J49" s="150" t="e">
        <f t="shared" si="5"/>
        <v>#REF!</v>
      </c>
      <c r="K49" s="151" t="e">
        <f t="shared" si="6"/>
        <v>#REF!</v>
      </c>
      <c r="L49" s="36" t="e">
        <f>'Combustão Móvel'!#REF!</f>
        <v>#REF!</v>
      </c>
      <c r="M49" s="40" t="e">
        <f>'Combustão Móvel'!#REF!</f>
        <v>#REF!</v>
      </c>
      <c r="N49" s="150"/>
      <c r="O49" s="150" t="e">
        <f t="shared" si="7"/>
        <v>#REF!</v>
      </c>
      <c r="P49" s="150"/>
      <c r="Q49" s="150"/>
      <c r="R49" s="150" t="e">
        <f t="shared" si="8"/>
        <v>#REF!</v>
      </c>
      <c r="S49" s="150" t="e">
        <f t="shared" si="9"/>
        <v>#REF!</v>
      </c>
      <c r="T49" s="161" t="e">
        <f t="shared" si="10"/>
        <v>#REF!</v>
      </c>
      <c r="U49" s="161" t="e">
        <f t="shared" si="11"/>
        <v>#REF!</v>
      </c>
      <c r="V49" s="134" t="e">
        <f t="shared" si="12"/>
        <v>#REF!</v>
      </c>
      <c r="W49" s="134" t="e">
        <f t="shared" si="13"/>
        <v>#REF!</v>
      </c>
      <c r="X49" s="134" t="e">
        <f t="shared" si="14"/>
        <v>#REF!</v>
      </c>
    </row>
    <row r="50" spans="2:24" ht="15.75" thickBot="1" x14ac:dyDescent="0.3">
      <c r="B50" s="1244"/>
      <c r="C50" s="54" t="e">
        <f>'Combustão Móvel'!#REF!</f>
        <v>#REF!</v>
      </c>
      <c r="D50" s="145" t="e">
        <f>'Combustão Móvel'!#REF!</f>
        <v>#REF!</v>
      </c>
      <c r="E50" s="149">
        <v>0</v>
      </c>
      <c r="F50" s="150" t="e">
        <f t="shared" si="1"/>
        <v>#REF!</v>
      </c>
      <c r="G50" s="150" t="e">
        <f t="shared" si="2"/>
        <v>#REF!</v>
      </c>
      <c r="H50" s="150" t="e">
        <f t="shared" si="3"/>
        <v>#REF!</v>
      </c>
      <c r="I50" s="150" t="e">
        <f t="shared" si="4"/>
        <v>#REF!</v>
      </c>
      <c r="J50" s="150" t="e">
        <f t="shared" si="5"/>
        <v>#REF!</v>
      </c>
      <c r="K50" s="151" t="e">
        <f t="shared" si="6"/>
        <v>#REF!</v>
      </c>
      <c r="L50" s="36" t="e">
        <f>'Combustão Móvel'!#REF!</f>
        <v>#REF!</v>
      </c>
      <c r="M50" s="40" t="e">
        <f>'Combustão Móvel'!#REF!</f>
        <v>#REF!</v>
      </c>
      <c r="N50" s="150"/>
      <c r="O50" s="150" t="e">
        <f t="shared" si="7"/>
        <v>#REF!</v>
      </c>
      <c r="P50" s="150"/>
      <c r="Q50" s="150"/>
      <c r="R50" s="150" t="e">
        <f t="shared" si="8"/>
        <v>#REF!</v>
      </c>
      <c r="S50" s="150" t="e">
        <f t="shared" si="9"/>
        <v>#REF!</v>
      </c>
      <c r="T50" s="161" t="e">
        <f t="shared" si="10"/>
        <v>#REF!</v>
      </c>
      <c r="U50" s="161" t="e">
        <f t="shared" si="11"/>
        <v>#REF!</v>
      </c>
      <c r="V50" s="134" t="e">
        <f t="shared" si="12"/>
        <v>#REF!</v>
      </c>
      <c r="W50" s="134" t="e">
        <f t="shared" si="13"/>
        <v>#REF!</v>
      </c>
      <c r="X50" s="134" t="e">
        <f t="shared" si="14"/>
        <v>#REF!</v>
      </c>
    </row>
    <row r="51" spans="2:24" ht="15.75" thickBot="1" x14ac:dyDescent="0.3">
      <c r="B51" s="1244"/>
      <c r="C51" s="54" t="e">
        <f>'Combustão Móvel'!#REF!</f>
        <v>#REF!</v>
      </c>
      <c r="D51" s="145" t="e">
        <f>'Combustão Móvel'!#REF!</f>
        <v>#REF!</v>
      </c>
      <c r="E51" s="149">
        <v>0</v>
      </c>
      <c r="F51" s="150" t="e">
        <f t="shared" si="1"/>
        <v>#REF!</v>
      </c>
      <c r="G51" s="150" t="e">
        <f t="shared" si="2"/>
        <v>#REF!</v>
      </c>
      <c r="H51" s="150" t="e">
        <f t="shared" si="3"/>
        <v>#REF!</v>
      </c>
      <c r="I51" s="150" t="e">
        <f t="shared" si="4"/>
        <v>#REF!</v>
      </c>
      <c r="J51" s="150" t="e">
        <f t="shared" si="5"/>
        <v>#REF!</v>
      </c>
      <c r="K51" s="151" t="e">
        <f t="shared" si="6"/>
        <v>#REF!</v>
      </c>
      <c r="L51" s="36" t="e">
        <f>'Combustão Móvel'!#REF!</f>
        <v>#REF!</v>
      </c>
      <c r="M51" s="40" t="e">
        <f>'Combustão Móvel'!#REF!</f>
        <v>#REF!</v>
      </c>
      <c r="N51" s="150"/>
      <c r="O51" s="150" t="e">
        <f t="shared" si="7"/>
        <v>#REF!</v>
      </c>
      <c r="P51" s="150"/>
      <c r="Q51" s="150"/>
      <c r="R51" s="150" t="e">
        <f t="shared" si="8"/>
        <v>#REF!</v>
      </c>
      <c r="S51" s="150" t="e">
        <f t="shared" si="9"/>
        <v>#REF!</v>
      </c>
      <c r="T51" s="161" t="e">
        <f t="shared" si="10"/>
        <v>#REF!</v>
      </c>
      <c r="U51" s="161" t="e">
        <f t="shared" si="11"/>
        <v>#REF!</v>
      </c>
      <c r="V51" s="134" t="e">
        <f t="shared" si="12"/>
        <v>#REF!</v>
      </c>
      <c r="W51" s="134" t="e">
        <f t="shared" si="13"/>
        <v>#REF!</v>
      </c>
      <c r="X51" s="134" t="e">
        <f t="shared" si="14"/>
        <v>#REF!</v>
      </c>
    </row>
    <row r="52" spans="2:24" ht="15.75" thickBot="1" x14ac:dyDescent="0.3">
      <c r="B52" s="1244"/>
      <c r="C52" s="54" t="e">
        <f>'Combustão Móvel'!#REF!</f>
        <v>#REF!</v>
      </c>
      <c r="D52" s="145" t="e">
        <f>'Combustão Móvel'!#REF!</f>
        <v>#REF!</v>
      </c>
      <c r="E52" s="149">
        <v>0</v>
      </c>
      <c r="F52" s="150" t="e">
        <f t="shared" si="1"/>
        <v>#REF!</v>
      </c>
      <c r="G52" s="150" t="e">
        <f t="shared" si="2"/>
        <v>#REF!</v>
      </c>
      <c r="H52" s="150" t="e">
        <f t="shared" si="3"/>
        <v>#REF!</v>
      </c>
      <c r="I52" s="150" t="e">
        <f t="shared" si="4"/>
        <v>#REF!</v>
      </c>
      <c r="J52" s="150" t="e">
        <f t="shared" si="5"/>
        <v>#REF!</v>
      </c>
      <c r="K52" s="151" t="e">
        <f t="shared" si="6"/>
        <v>#REF!</v>
      </c>
      <c r="L52" s="36" t="e">
        <f>'Combustão Móvel'!#REF!</f>
        <v>#REF!</v>
      </c>
      <c r="M52" s="40" t="e">
        <f>'Combustão Móvel'!#REF!</f>
        <v>#REF!</v>
      </c>
      <c r="N52" s="150"/>
      <c r="O52" s="150" t="e">
        <f t="shared" si="7"/>
        <v>#REF!</v>
      </c>
      <c r="P52" s="150"/>
      <c r="Q52" s="150"/>
      <c r="R52" s="150" t="e">
        <f t="shared" si="8"/>
        <v>#REF!</v>
      </c>
      <c r="S52" s="150" t="e">
        <f t="shared" si="9"/>
        <v>#REF!</v>
      </c>
      <c r="T52" s="161" t="e">
        <f t="shared" si="10"/>
        <v>#REF!</v>
      </c>
      <c r="U52" s="161" t="e">
        <f t="shared" si="11"/>
        <v>#REF!</v>
      </c>
      <c r="V52" s="134" t="e">
        <f t="shared" si="12"/>
        <v>#REF!</v>
      </c>
      <c r="W52" s="134" t="e">
        <f t="shared" si="13"/>
        <v>#REF!</v>
      </c>
      <c r="X52" s="134" t="e">
        <f t="shared" si="14"/>
        <v>#REF!</v>
      </c>
    </row>
    <row r="53" spans="2:24" ht="15.75" thickBot="1" x14ac:dyDescent="0.3">
      <c r="B53" s="1244"/>
      <c r="C53" s="54" t="e">
        <f>'Combustão Móvel'!#REF!</f>
        <v>#REF!</v>
      </c>
      <c r="D53" s="145" t="e">
        <f>'Combustão Móvel'!#REF!</f>
        <v>#REF!</v>
      </c>
      <c r="E53" s="149">
        <v>0</v>
      </c>
      <c r="F53" s="150" t="e">
        <f t="shared" si="1"/>
        <v>#REF!</v>
      </c>
      <c r="G53" s="150" t="e">
        <f t="shared" si="2"/>
        <v>#REF!</v>
      </c>
      <c r="H53" s="150" t="e">
        <f t="shared" si="3"/>
        <v>#REF!</v>
      </c>
      <c r="I53" s="150" t="e">
        <f t="shared" si="4"/>
        <v>#REF!</v>
      </c>
      <c r="J53" s="150" t="e">
        <f t="shared" si="5"/>
        <v>#REF!</v>
      </c>
      <c r="K53" s="151" t="e">
        <f t="shared" si="6"/>
        <v>#REF!</v>
      </c>
      <c r="L53" s="36" t="e">
        <f>'Combustão Móvel'!#REF!</f>
        <v>#REF!</v>
      </c>
      <c r="M53" s="40" t="e">
        <f>'Combustão Móvel'!#REF!</f>
        <v>#REF!</v>
      </c>
      <c r="N53" s="150"/>
      <c r="O53" s="150" t="e">
        <f t="shared" si="7"/>
        <v>#REF!</v>
      </c>
      <c r="P53" s="150"/>
      <c r="Q53" s="150"/>
      <c r="R53" s="150" t="e">
        <f t="shared" si="8"/>
        <v>#REF!</v>
      </c>
      <c r="S53" s="150" t="e">
        <f t="shared" si="9"/>
        <v>#REF!</v>
      </c>
      <c r="T53" s="161" t="e">
        <f t="shared" si="10"/>
        <v>#REF!</v>
      </c>
      <c r="U53" s="161" t="e">
        <f t="shared" si="11"/>
        <v>#REF!</v>
      </c>
      <c r="V53" s="134" t="e">
        <f t="shared" si="12"/>
        <v>#REF!</v>
      </c>
      <c r="W53" s="134" t="e">
        <f t="shared" si="13"/>
        <v>#REF!</v>
      </c>
      <c r="X53" s="134" t="e">
        <f t="shared" si="14"/>
        <v>#REF!</v>
      </c>
    </row>
    <row r="54" spans="2:24" ht="15.75" thickBot="1" x14ac:dyDescent="0.3">
      <c r="B54" s="1244"/>
      <c r="C54" s="54" t="e">
        <f>'Combustão Móvel'!#REF!</f>
        <v>#REF!</v>
      </c>
      <c r="D54" s="145" t="e">
        <f>'Combustão Móvel'!#REF!</f>
        <v>#REF!</v>
      </c>
      <c r="E54" s="149">
        <v>0</v>
      </c>
      <c r="F54" s="150" t="e">
        <f t="shared" si="1"/>
        <v>#REF!</v>
      </c>
      <c r="G54" s="150" t="e">
        <f t="shared" si="2"/>
        <v>#REF!</v>
      </c>
      <c r="H54" s="150" t="e">
        <f t="shared" si="3"/>
        <v>#REF!</v>
      </c>
      <c r="I54" s="150" t="e">
        <f t="shared" si="4"/>
        <v>#REF!</v>
      </c>
      <c r="J54" s="150" t="e">
        <f t="shared" si="5"/>
        <v>#REF!</v>
      </c>
      <c r="K54" s="151" t="e">
        <f t="shared" si="6"/>
        <v>#REF!</v>
      </c>
      <c r="L54" s="36" t="e">
        <f>'Combustão Móvel'!#REF!</f>
        <v>#REF!</v>
      </c>
      <c r="M54" s="40" t="e">
        <f>'Combustão Móvel'!#REF!</f>
        <v>#REF!</v>
      </c>
      <c r="N54" s="150"/>
      <c r="O54" s="150" t="e">
        <f t="shared" si="7"/>
        <v>#REF!</v>
      </c>
      <c r="P54" s="150"/>
      <c r="Q54" s="150"/>
      <c r="R54" s="150" t="e">
        <f t="shared" si="8"/>
        <v>#REF!</v>
      </c>
      <c r="S54" s="150" t="e">
        <f t="shared" si="9"/>
        <v>#REF!</v>
      </c>
      <c r="T54" s="161" t="e">
        <f t="shared" si="10"/>
        <v>#REF!</v>
      </c>
      <c r="U54" s="161" t="e">
        <f t="shared" si="11"/>
        <v>#REF!</v>
      </c>
      <c r="V54" s="134" t="e">
        <f t="shared" si="12"/>
        <v>#REF!</v>
      </c>
      <c r="W54" s="134" t="e">
        <f t="shared" si="13"/>
        <v>#REF!</v>
      </c>
      <c r="X54" s="134" t="e">
        <f t="shared" si="14"/>
        <v>#REF!</v>
      </c>
    </row>
    <row r="55" spans="2:24" ht="15.75" thickBot="1" x14ac:dyDescent="0.3">
      <c r="B55" s="1244"/>
      <c r="C55" s="54" t="e">
        <f>'Combustão Móvel'!#REF!</f>
        <v>#REF!</v>
      </c>
      <c r="D55" s="145" t="e">
        <f>'Combustão Móvel'!#REF!</f>
        <v>#REF!</v>
      </c>
      <c r="E55" s="149">
        <v>0</v>
      </c>
      <c r="F55" s="150" t="e">
        <f t="shared" si="1"/>
        <v>#REF!</v>
      </c>
      <c r="G55" s="150" t="e">
        <f t="shared" si="2"/>
        <v>#REF!</v>
      </c>
      <c r="H55" s="150" t="e">
        <f t="shared" si="3"/>
        <v>#REF!</v>
      </c>
      <c r="I55" s="150" t="e">
        <f t="shared" si="4"/>
        <v>#REF!</v>
      </c>
      <c r="J55" s="150" t="e">
        <f t="shared" si="5"/>
        <v>#REF!</v>
      </c>
      <c r="K55" s="151" t="e">
        <f t="shared" si="6"/>
        <v>#REF!</v>
      </c>
      <c r="L55" s="36" t="e">
        <f>'Combustão Móvel'!#REF!</f>
        <v>#REF!</v>
      </c>
      <c r="M55" s="40" t="e">
        <f>'Combustão Móvel'!#REF!</f>
        <v>#REF!</v>
      </c>
      <c r="N55" s="150"/>
      <c r="O55" s="150" t="e">
        <f t="shared" si="7"/>
        <v>#REF!</v>
      </c>
      <c r="P55" s="150"/>
      <c r="Q55" s="150"/>
      <c r="R55" s="150" t="e">
        <f t="shared" si="8"/>
        <v>#REF!</v>
      </c>
      <c r="S55" s="150" t="e">
        <f t="shared" si="9"/>
        <v>#REF!</v>
      </c>
      <c r="T55" s="161" t="e">
        <f t="shared" si="10"/>
        <v>#REF!</v>
      </c>
      <c r="U55" s="161" t="e">
        <f t="shared" si="11"/>
        <v>#REF!</v>
      </c>
      <c r="V55" s="134" t="e">
        <f t="shared" si="12"/>
        <v>#REF!</v>
      </c>
      <c r="W55" s="134" t="e">
        <f t="shared" si="13"/>
        <v>#REF!</v>
      </c>
      <c r="X55" s="134" t="e">
        <f t="shared" si="14"/>
        <v>#REF!</v>
      </c>
    </row>
    <row r="56" spans="2:24" ht="15.75" thickBot="1" x14ac:dyDescent="0.3">
      <c r="B56" s="1244"/>
      <c r="C56" s="54" t="e">
        <f>'Combustão Móvel'!#REF!</f>
        <v>#REF!</v>
      </c>
      <c r="D56" s="145" t="e">
        <f>'Combustão Móvel'!#REF!</f>
        <v>#REF!</v>
      </c>
      <c r="E56" s="149">
        <v>0</v>
      </c>
      <c r="F56" s="150" t="e">
        <f t="shared" si="1"/>
        <v>#REF!</v>
      </c>
      <c r="G56" s="150" t="e">
        <f t="shared" si="2"/>
        <v>#REF!</v>
      </c>
      <c r="H56" s="150" t="e">
        <f t="shared" si="3"/>
        <v>#REF!</v>
      </c>
      <c r="I56" s="150" t="e">
        <f t="shared" si="4"/>
        <v>#REF!</v>
      </c>
      <c r="J56" s="150" t="e">
        <f t="shared" si="5"/>
        <v>#REF!</v>
      </c>
      <c r="K56" s="151" t="e">
        <f t="shared" si="6"/>
        <v>#REF!</v>
      </c>
      <c r="L56" s="36" t="e">
        <f>'Combustão Móvel'!#REF!</f>
        <v>#REF!</v>
      </c>
      <c r="M56" s="40" t="e">
        <f>'Combustão Móvel'!#REF!</f>
        <v>#REF!</v>
      </c>
      <c r="N56" s="150"/>
      <c r="O56" s="150" t="e">
        <f t="shared" si="7"/>
        <v>#REF!</v>
      </c>
      <c r="P56" s="150"/>
      <c r="Q56" s="150"/>
      <c r="R56" s="150" t="e">
        <f t="shared" si="8"/>
        <v>#REF!</v>
      </c>
      <c r="S56" s="150" t="e">
        <f t="shared" si="9"/>
        <v>#REF!</v>
      </c>
      <c r="T56" s="161" t="e">
        <f t="shared" si="10"/>
        <v>#REF!</v>
      </c>
      <c r="U56" s="161" t="e">
        <f t="shared" si="11"/>
        <v>#REF!</v>
      </c>
      <c r="V56" s="134" t="e">
        <f t="shared" si="12"/>
        <v>#REF!</v>
      </c>
      <c r="W56" s="134" t="e">
        <f t="shared" si="13"/>
        <v>#REF!</v>
      </c>
      <c r="X56" s="134" t="e">
        <f t="shared" si="14"/>
        <v>#REF!</v>
      </c>
    </row>
    <row r="57" spans="2:24" ht="15.75" thickBot="1" x14ac:dyDescent="0.3">
      <c r="B57" s="1244"/>
      <c r="C57" s="54" t="e">
        <f>'Combustão Móvel'!#REF!</f>
        <v>#REF!</v>
      </c>
      <c r="D57" s="145" t="e">
        <f>'Combustão Móvel'!#REF!</f>
        <v>#REF!</v>
      </c>
      <c r="E57" s="149">
        <v>0</v>
      </c>
      <c r="F57" s="150" t="e">
        <f t="shared" si="1"/>
        <v>#REF!</v>
      </c>
      <c r="G57" s="150" t="e">
        <f t="shared" si="2"/>
        <v>#REF!</v>
      </c>
      <c r="H57" s="150" t="e">
        <f t="shared" si="3"/>
        <v>#REF!</v>
      </c>
      <c r="I57" s="150" t="e">
        <f t="shared" si="4"/>
        <v>#REF!</v>
      </c>
      <c r="J57" s="150" t="e">
        <f t="shared" si="5"/>
        <v>#REF!</v>
      </c>
      <c r="K57" s="151" t="e">
        <f t="shared" si="6"/>
        <v>#REF!</v>
      </c>
      <c r="L57" s="36" t="e">
        <f>'Combustão Móvel'!#REF!</f>
        <v>#REF!</v>
      </c>
      <c r="M57" s="40" t="e">
        <f>'Combustão Móvel'!#REF!</f>
        <v>#REF!</v>
      </c>
      <c r="N57" s="150"/>
      <c r="O57" s="150" t="e">
        <f t="shared" si="7"/>
        <v>#REF!</v>
      </c>
      <c r="P57" s="150"/>
      <c r="Q57" s="150"/>
      <c r="R57" s="150" t="e">
        <f t="shared" si="8"/>
        <v>#REF!</v>
      </c>
      <c r="S57" s="150" t="e">
        <f t="shared" si="9"/>
        <v>#REF!</v>
      </c>
      <c r="T57" s="161" t="e">
        <f t="shared" si="10"/>
        <v>#REF!</v>
      </c>
      <c r="U57" s="161" t="e">
        <f t="shared" si="11"/>
        <v>#REF!</v>
      </c>
      <c r="V57" s="134" t="e">
        <f t="shared" si="12"/>
        <v>#REF!</v>
      </c>
      <c r="W57" s="134" t="e">
        <f t="shared" si="13"/>
        <v>#REF!</v>
      </c>
      <c r="X57" s="134" t="e">
        <f t="shared" si="14"/>
        <v>#REF!</v>
      </c>
    </row>
    <row r="58" spans="2:24" ht="15.75" thickBot="1" x14ac:dyDescent="0.3">
      <c r="B58" s="1244"/>
      <c r="C58" s="54" t="e">
        <f>'Combustão Móvel'!#REF!</f>
        <v>#REF!</v>
      </c>
      <c r="D58" s="145" t="e">
        <f>'Combustão Móvel'!#REF!</f>
        <v>#REF!</v>
      </c>
      <c r="E58" s="149">
        <v>0</v>
      </c>
      <c r="F58" s="150" t="e">
        <f t="shared" si="1"/>
        <v>#REF!</v>
      </c>
      <c r="G58" s="150" t="e">
        <f t="shared" si="2"/>
        <v>#REF!</v>
      </c>
      <c r="H58" s="150" t="e">
        <f t="shared" si="3"/>
        <v>#REF!</v>
      </c>
      <c r="I58" s="150" t="e">
        <f t="shared" si="4"/>
        <v>#REF!</v>
      </c>
      <c r="J58" s="150" t="e">
        <f t="shared" si="5"/>
        <v>#REF!</v>
      </c>
      <c r="K58" s="151" t="e">
        <f t="shared" si="6"/>
        <v>#REF!</v>
      </c>
      <c r="L58" s="36" t="e">
        <f>'Combustão Móvel'!#REF!</f>
        <v>#REF!</v>
      </c>
      <c r="M58" s="40" t="e">
        <f>'Combustão Móvel'!#REF!</f>
        <v>#REF!</v>
      </c>
      <c r="N58" s="150"/>
      <c r="O58" s="150" t="e">
        <f t="shared" si="7"/>
        <v>#REF!</v>
      </c>
      <c r="P58" s="150"/>
      <c r="Q58" s="150"/>
      <c r="R58" s="150" t="e">
        <f t="shared" si="8"/>
        <v>#REF!</v>
      </c>
      <c r="S58" s="150" t="e">
        <f t="shared" si="9"/>
        <v>#REF!</v>
      </c>
      <c r="T58" s="161" t="e">
        <f t="shared" si="10"/>
        <v>#REF!</v>
      </c>
      <c r="U58" s="161" t="e">
        <f t="shared" si="11"/>
        <v>#REF!</v>
      </c>
      <c r="V58" s="134" t="e">
        <f t="shared" si="12"/>
        <v>#REF!</v>
      </c>
      <c r="W58" s="134" t="e">
        <f t="shared" si="13"/>
        <v>#REF!</v>
      </c>
      <c r="X58" s="134" t="e">
        <f t="shared" si="14"/>
        <v>#REF!</v>
      </c>
    </row>
    <row r="59" spans="2:24" ht="15.75" thickBot="1" x14ac:dyDescent="0.3">
      <c r="B59" s="1244"/>
      <c r="C59" s="54" t="e">
        <f>'Combustão Móvel'!#REF!</f>
        <v>#REF!</v>
      </c>
      <c r="D59" s="145" t="e">
        <f>'Combustão Móvel'!#REF!</f>
        <v>#REF!</v>
      </c>
      <c r="E59" s="149">
        <v>0</v>
      </c>
      <c r="F59" s="150" t="e">
        <f t="shared" si="1"/>
        <v>#REF!</v>
      </c>
      <c r="G59" s="150" t="e">
        <f t="shared" si="2"/>
        <v>#REF!</v>
      </c>
      <c r="H59" s="150" t="e">
        <f t="shared" si="3"/>
        <v>#REF!</v>
      </c>
      <c r="I59" s="150" t="e">
        <f t="shared" si="4"/>
        <v>#REF!</v>
      </c>
      <c r="J59" s="150" t="e">
        <f t="shared" si="5"/>
        <v>#REF!</v>
      </c>
      <c r="K59" s="151" t="e">
        <f t="shared" si="6"/>
        <v>#REF!</v>
      </c>
      <c r="L59" s="36" t="e">
        <f>'Combustão Móvel'!#REF!</f>
        <v>#REF!</v>
      </c>
      <c r="M59" s="40" t="e">
        <f>'Combustão Móvel'!#REF!</f>
        <v>#REF!</v>
      </c>
      <c r="N59" s="150"/>
      <c r="O59" s="150" t="e">
        <f t="shared" si="7"/>
        <v>#REF!</v>
      </c>
      <c r="P59" s="150"/>
      <c r="Q59" s="150"/>
      <c r="R59" s="150" t="e">
        <f t="shared" si="8"/>
        <v>#REF!</v>
      </c>
      <c r="S59" s="150" t="e">
        <f t="shared" si="9"/>
        <v>#REF!</v>
      </c>
      <c r="T59" s="161" t="e">
        <f t="shared" si="10"/>
        <v>#REF!</v>
      </c>
      <c r="U59" s="161" t="e">
        <f t="shared" si="11"/>
        <v>#REF!</v>
      </c>
      <c r="V59" s="134" t="e">
        <f t="shared" si="12"/>
        <v>#REF!</v>
      </c>
      <c r="W59" s="134" t="e">
        <f t="shared" si="13"/>
        <v>#REF!</v>
      </c>
      <c r="X59" s="134" t="e">
        <f t="shared" si="14"/>
        <v>#REF!</v>
      </c>
    </row>
    <row r="60" spans="2:24" ht="15.75" thickBot="1" x14ac:dyDescent="0.3">
      <c r="B60" s="1244"/>
      <c r="C60" s="54" t="e">
        <f>'Combustão Móvel'!#REF!</f>
        <v>#REF!</v>
      </c>
      <c r="D60" s="145" t="e">
        <f>'Combustão Móvel'!#REF!</f>
        <v>#REF!</v>
      </c>
      <c r="E60" s="149">
        <v>0</v>
      </c>
      <c r="F60" s="150" t="e">
        <f t="shared" si="1"/>
        <v>#REF!</v>
      </c>
      <c r="G60" s="150" t="e">
        <f t="shared" si="2"/>
        <v>#REF!</v>
      </c>
      <c r="H60" s="150" t="e">
        <f t="shared" si="3"/>
        <v>#REF!</v>
      </c>
      <c r="I60" s="150" t="e">
        <f t="shared" si="4"/>
        <v>#REF!</v>
      </c>
      <c r="J60" s="150" t="e">
        <f t="shared" si="5"/>
        <v>#REF!</v>
      </c>
      <c r="K60" s="151" t="e">
        <f t="shared" si="6"/>
        <v>#REF!</v>
      </c>
      <c r="L60" s="36" t="e">
        <f>'Combustão Móvel'!#REF!</f>
        <v>#REF!</v>
      </c>
      <c r="M60" s="40" t="e">
        <f>'Combustão Móvel'!#REF!</f>
        <v>#REF!</v>
      </c>
      <c r="N60" s="150"/>
      <c r="O60" s="150" t="e">
        <f t="shared" si="7"/>
        <v>#REF!</v>
      </c>
      <c r="P60" s="150"/>
      <c r="Q60" s="150"/>
      <c r="R60" s="150" t="e">
        <f t="shared" si="8"/>
        <v>#REF!</v>
      </c>
      <c r="S60" s="150" t="e">
        <f t="shared" si="9"/>
        <v>#REF!</v>
      </c>
      <c r="T60" s="161" t="e">
        <f t="shared" si="10"/>
        <v>#REF!</v>
      </c>
      <c r="U60" s="161" t="e">
        <f t="shared" si="11"/>
        <v>#REF!</v>
      </c>
      <c r="V60" s="134" t="e">
        <f t="shared" si="12"/>
        <v>#REF!</v>
      </c>
      <c r="W60" s="134" t="e">
        <f t="shared" si="13"/>
        <v>#REF!</v>
      </c>
      <c r="X60" s="134" t="e">
        <f t="shared" si="14"/>
        <v>#REF!</v>
      </c>
    </row>
    <row r="61" spans="2:24" ht="15.75" thickBot="1" x14ac:dyDescent="0.3">
      <c r="B61" s="1244"/>
      <c r="C61" s="54" t="e">
        <f>'Combustão Móvel'!#REF!</f>
        <v>#REF!</v>
      </c>
      <c r="D61" s="145" t="e">
        <f>'Combustão Móvel'!#REF!</f>
        <v>#REF!</v>
      </c>
      <c r="E61" s="149">
        <v>0</v>
      </c>
      <c r="F61" s="150" t="e">
        <f t="shared" si="1"/>
        <v>#REF!</v>
      </c>
      <c r="G61" s="150" t="e">
        <f t="shared" si="2"/>
        <v>#REF!</v>
      </c>
      <c r="H61" s="150" t="e">
        <f t="shared" si="3"/>
        <v>#REF!</v>
      </c>
      <c r="I61" s="150" t="e">
        <f t="shared" si="4"/>
        <v>#REF!</v>
      </c>
      <c r="J61" s="150" t="e">
        <f t="shared" si="5"/>
        <v>#REF!</v>
      </c>
      <c r="K61" s="151" t="e">
        <f t="shared" si="6"/>
        <v>#REF!</v>
      </c>
      <c r="L61" s="36" t="e">
        <f>'Combustão Móvel'!#REF!</f>
        <v>#REF!</v>
      </c>
      <c r="M61" s="40" t="e">
        <f>'Combustão Móvel'!#REF!</f>
        <v>#REF!</v>
      </c>
      <c r="N61" s="150"/>
      <c r="O61" s="150" t="e">
        <f t="shared" si="7"/>
        <v>#REF!</v>
      </c>
      <c r="P61" s="150"/>
      <c r="Q61" s="150"/>
      <c r="R61" s="150" t="e">
        <f t="shared" si="8"/>
        <v>#REF!</v>
      </c>
      <c r="S61" s="150" t="e">
        <f t="shared" si="9"/>
        <v>#REF!</v>
      </c>
      <c r="T61" s="161" t="e">
        <f t="shared" si="10"/>
        <v>#REF!</v>
      </c>
      <c r="U61" s="161" t="e">
        <f t="shared" si="11"/>
        <v>#REF!</v>
      </c>
      <c r="V61" s="134" t="e">
        <f t="shared" si="12"/>
        <v>#REF!</v>
      </c>
      <c r="W61" s="134" t="e">
        <f t="shared" si="13"/>
        <v>#REF!</v>
      </c>
      <c r="X61" s="134" t="e">
        <f t="shared" si="14"/>
        <v>#REF!</v>
      </c>
    </row>
    <row r="62" spans="2:24" ht="15.75" thickBot="1" x14ac:dyDescent="0.3">
      <c r="B62" s="1244"/>
      <c r="C62" s="54" t="e">
        <f>'Combustão Móvel'!#REF!</f>
        <v>#REF!</v>
      </c>
      <c r="D62" s="145" t="e">
        <f>'Combustão Móvel'!#REF!</f>
        <v>#REF!</v>
      </c>
      <c r="E62" s="149">
        <v>0</v>
      </c>
      <c r="F62" s="150" t="e">
        <f t="shared" si="1"/>
        <v>#REF!</v>
      </c>
      <c r="G62" s="150" t="e">
        <f t="shared" si="2"/>
        <v>#REF!</v>
      </c>
      <c r="H62" s="150" t="e">
        <f t="shared" si="3"/>
        <v>#REF!</v>
      </c>
      <c r="I62" s="150" t="e">
        <f t="shared" si="4"/>
        <v>#REF!</v>
      </c>
      <c r="J62" s="150" t="e">
        <f t="shared" si="5"/>
        <v>#REF!</v>
      </c>
      <c r="K62" s="151" t="e">
        <f t="shared" si="6"/>
        <v>#REF!</v>
      </c>
      <c r="L62" s="36" t="e">
        <f>'Combustão Móvel'!#REF!</f>
        <v>#REF!</v>
      </c>
      <c r="M62" s="40" t="e">
        <f>'Combustão Móvel'!#REF!</f>
        <v>#REF!</v>
      </c>
      <c r="N62" s="150"/>
      <c r="O62" s="150" t="e">
        <f t="shared" si="7"/>
        <v>#REF!</v>
      </c>
      <c r="P62" s="150"/>
      <c r="Q62" s="150"/>
      <c r="R62" s="150" t="e">
        <f t="shared" si="8"/>
        <v>#REF!</v>
      </c>
      <c r="S62" s="150" t="e">
        <f t="shared" si="9"/>
        <v>#REF!</v>
      </c>
      <c r="T62" s="161" t="e">
        <f t="shared" si="10"/>
        <v>#REF!</v>
      </c>
      <c r="U62" s="161" t="e">
        <f t="shared" si="11"/>
        <v>#REF!</v>
      </c>
      <c r="V62" s="134" t="e">
        <f t="shared" si="12"/>
        <v>#REF!</v>
      </c>
      <c r="W62" s="134" t="e">
        <f t="shared" si="13"/>
        <v>#REF!</v>
      </c>
      <c r="X62" s="134" t="e">
        <f t="shared" si="14"/>
        <v>#REF!</v>
      </c>
    </row>
    <row r="63" spans="2:24" ht="15.75" thickBot="1" x14ac:dyDescent="0.3">
      <c r="B63" s="1244"/>
      <c r="C63" s="54" t="e">
        <f>'Combustão Móvel'!#REF!</f>
        <v>#REF!</v>
      </c>
      <c r="D63" s="145" t="e">
        <f>'Combustão Móvel'!#REF!</f>
        <v>#REF!</v>
      </c>
      <c r="E63" s="149">
        <v>0</v>
      </c>
      <c r="F63" s="150" t="e">
        <f t="shared" si="1"/>
        <v>#REF!</v>
      </c>
      <c r="G63" s="150" t="e">
        <f t="shared" si="2"/>
        <v>#REF!</v>
      </c>
      <c r="H63" s="150" t="e">
        <f t="shared" si="3"/>
        <v>#REF!</v>
      </c>
      <c r="I63" s="150" t="e">
        <f t="shared" si="4"/>
        <v>#REF!</v>
      </c>
      <c r="J63" s="150" t="e">
        <f t="shared" si="5"/>
        <v>#REF!</v>
      </c>
      <c r="K63" s="151" t="e">
        <f t="shared" si="6"/>
        <v>#REF!</v>
      </c>
      <c r="L63" s="36" t="e">
        <f>'Combustão Móvel'!#REF!</f>
        <v>#REF!</v>
      </c>
      <c r="M63" s="40" t="e">
        <f>'Combustão Móvel'!#REF!</f>
        <v>#REF!</v>
      </c>
      <c r="N63" s="150"/>
      <c r="O63" s="150" t="e">
        <f t="shared" si="7"/>
        <v>#REF!</v>
      </c>
      <c r="P63" s="150"/>
      <c r="Q63" s="150"/>
      <c r="R63" s="150" t="e">
        <f t="shared" si="8"/>
        <v>#REF!</v>
      </c>
      <c r="S63" s="150" t="e">
        <f t="shared" si="9"/>
        <v>#REF!</v>
      </c>
      <c r="T63" s="161" t="e">
        <f t="shared" si="10"/>
        <v>#REF!</v>
      </c>
      <c r="U63" s="161" t="e">
        <f t="shared" si="11"/>
        <v>#REF!</v>
      </c>
      <c r="V63" s="134" t="e">
        <f t="shared" si="12"/>
        <v>#REF!</v>
      </c>
      <c r="W63" s="134" t="e">
        <f t="shared" si="13"/>
        <v>#REF!</v>
      </c>
      <c r="X63" s="134" t="e">
        <f t="shared" si="14"/>
        <v>#REF!</v>
      </c>
    </row>
    <row r="64" spans="2:24" ht="15.75" thickBot="1" x14ac:dyDescent="0.3">
      <c r="B64" s="1244"/>
      <c r="C64" s="54" t="e">
        <f>'Combustão Móvel'!#REF!</f>
        <v>#REF!</v>
      </c>
      <c r="D64" s="145" t="e">
        <f>'Combustão Móvel'!#REF!</f>
        <v>#REF!</v>
      </c>
      <c r="E64" s="149">
        <v>0</v>
      </c>
      <c r="F64" s="150" t="e">
        <f t="shared" si="1"/>
        <v>#REF!</v>
      </c>
      <c r="G64" s="150" t="e">
        <f t="shared" si="2"/>
        <v>#REF!</v>
      </c>
      <c r="H64" s="150" t="e">
        <f t="shared" si="3"/>
        <v>#REF!</v>
      </c>
      <c r="I64" s="150" t="e">
        <f t="shared" si="4"/>
        <v>#REF!</v>
      </c>
      <c r="J64" s="150" t="e">
        <f t="shared" si="5"/>
        <v>#REF!</v>
      </c>
      <c r="K64" s="151" t="e">
        <f t="shared" si="6"/>
        <v>#REF!</v>
      </c>
      <c r="L64" s="36" t="e">
        <f>'Combustão Móvel'!#REF!</f>
        <v>#REF!</v>
      </c>
      <c r="M64" s="40" t="e">
        <f>'Combustão Móvel'!#REF!</f>
        <v>#REF!</v>
      </c>
      <c r="N64" s="150"/>
      <c r="O64" s="150" t="e">
        <f t="shared" si="7"/>
        <v>#REF!</v>
      </c>
      <c r="P64" s="150"/>
      <c r="Q64" s="150"/>
      <c r="R64" s="150" t="e">
        <f t="shared" si="8"/>
        <v>#REF!</v>
      </c>
      <c r="S64" s="150" t="e">
        <f t="shared" si="9"/>
        <v>#REF!</v>
      </c>
      <c r="T64" s="161" t="e">
        <f t="shared" si="10"/>
        <v>#REF!</v>
      </c>
      <c r="U64" s="161" t="e">
        <f t="shared" si="11"/>
        <v>#REF!</v>
      </c>
      <c r="V64" s="134" t="e">
        <f t="shared" si="12"/>
        <v>#REF!</v>
      </c>
      <c r="W64" s="134" t="e">
        <f t="shared" si="13"/>
        <v>#REF!</v>
      </c>
      <c r="X64" s="134" t="e">
        <f t="shared" si="14"/>
        <v>#REF!</v>
      </c>
    </row>
    <row r="65" spans="2:24" ht="15.75" thickBot="1" x14ac:dyDescent="0.3">
      <c r="B65" s="1244"/>
      <c r="C65" s="54" t="e">
        <f>'Combustão Móvel'!#REF!</f>
        <v>#REF!</v>
      </c>
      <c r="D65" s="145" t="e">
        <f>'Combustão Móvel'!#REF!</f>
        <v>#REF!</v>
      </c>
      <c r="E65" s="149">
        <v>0</v>
      </c>
      <c r="F65" s="150" t="e">
        <f t="shared" si="1"/>
        <v>#REF!</v>
      </c>
      <c r="G65" s="150" t="e">
        <f t="shared" si="2"/>
        <v>#REF!</v>
      </c>
      <c r="H65" s="150" t="e">
        <f t="shared" si="3"/>
        <v>#REF!</v>
      </c>
      <c r="I65" s="150" t="e">
        <f t="shared" si="4"/>
        <v>#REF!</v>
      </c>
      <c r="J65" s="150" t="e">
        <f t="shared" si="5"/>
        <v>#REF!</v>
      </c>
      <c r="K65" s="151" t="e">
        <f t="shared" si="6"/>
        <v>#REF!</v>
      </c>
      <c r="L65" s="36" t="e">
        <f>'Combustão Móvel'!#REF!</f>
        <v>#REF!</v>
      </c>
      <c r="M65" s="40" t="e">
        <f>'Combustão Móvel'!#REF!</f>
        <v>#REF!</v>
      </c>
      <c r="N65" s="150"/>
      <c r="O65" s="150" t="e">
        <f t="shared" si="7"/>
        <v>#REF!</v>
      </c>
      <c r="P65" s="150"/>
      <c r="Q65" s="150"/>
      <c r="R65" s="150" t="e">
        <f t="shared" si="8"/>
        <v>#REF!</v>
      </c>
      <c r="S65" s="150" t="e">
        <f t="shared" si="9"/>
        <v>#REF!</v>
      </c>
      <c r="T65" s="161" t="e">
        <f t="shared" si="10"/>
        <v>#REF!</v>
      </c>
      <c r="U65" s="161" t="e">
        <f t="shared" si="11"/>
        <v>#REF!</v>
      </c>
      <c r="V65" s="134" t="e">
        <f t="shared" si="12"/>
        <v>#REF!</v>
      </c>
      <c r="W65" s="134" t="e">
        <f t="shared" si="13"/>
        <v>#REF!</v>
      </c>
      <c r="X65" s="134" t="e">
        <f t="shared" si="14"/>
        <v>#REF!</v>
      </c>
    </row>
    <row r="66" spans="2:24" ht="15.75" thickBot="1" x14ac:dyDescent="0.3">
      <c r="B66" s="1244"/>
      <c r="C66" s="54" t="e">
        <f>'Combustão Móvel'!#REF!</f>
        <v>#REF!</v>
      </c>
      <c r="D66" s="145" t="e">
        <f>'Combustão Móvel'!#REF!</f>
        <v>#REF!</v>
      </c>
      <c r="E66" s="149">
        <v>0</v>
      </c>
      <c r="F66" s="150" t="e">
        <f t="shared" si="1"/>
        <v>#REF!</v>
      </c>
      <c r="G66" s="150" t="e">
        <f t="shared" si="2"/>
        <v>#REF!</v>
      </c>
      <c r="H66" s="150" t="e">
        <f t="shared" si="3"/>
        <v>#REF!</v>
      </c>
      <c r="I66" s="150" t="e">
        <f t="shared" si="4"/>
        <v>#REF!</v>
      </c>
      <c r="J66" s="150" t="e">
        <f t="shared" si="5"/>
        <v>#REF!</v>
      </c>
      <c r="K66" s="151" t="e">
        <f t="shared" si="6"/>
        <v>#REF!</v>
      </c>
      <c r="L66" s="36" t="e">
        <f>'Combustão Móvel'!#REF!</f>
        <v>#REF!</v>
      </c>
      <c r="M66" s="40" t="e">
        <f>'Combustão Móvel'!#REF!</f>
        <v>#REF!</v>
      </c>
      <c r="N66" s="150"/>
      <c r="O66" s="150" t="e">
        <f t="shared" si="7"/>
        <v>#REF!</v>
      </c>
      <c r="P66" s="150"/>
      <c r="Q66" s="150"/>
      <c r="R66" s="150" t="e">
        <f t="shared" si="8"/>
        <v>#REF!</v>
      </c>
      <c r="S66" s="150" t="e">
        <f t="shared" si="9"/>
        <v>#REF!</v>
      </c>
      <c r="T66" s="161" t="e">
        <f t="shared" si="10"/>
        <v>#REF!</v>
      </c>
      <c r="U66" s="161" t="e">
        <f t="shared" si="11"/>
        <v>#REF!</v>
      </c>
      <c r="V66" s="134" t="e">
        <f t="shared" si="12"/>
        <v>#REF!</v>
      </c>
      <c r="W66" s="134" t="e">
        <f t="shared" si="13"/>
        <v>#REF!</v>
      </c>
      <c r="X66" s="134" t="e">
        <f t="shared" si="14"/>
        <v>#REF!</v>
      </c>
    </row>
    <row r="67" spans="2:24" ht="15.75" thickBot="1" x14ac:dyDescent="0.3">
      <c r="B67" s="1244"/>
      <c r="C67" s="54" t="e">
        <f>'Combustão Móvel'!#REF!</f>
        <v>#REF!</v>
      </c>
      <c r="D67" s="145" t="e">
        <f>'Combustão Móvel'!#REF!</f>
        <v>#REF!</v>
      </c>
      <c r="E67" s="149">
        <v>0</v>
      </c>
      <c r="F67" s="150" t="e">
        <f t="shared" si="1"/>
        <v>#REF!</v>
      </c>
      <c r="G67" s="150" t="e">
        <f t="shared" si="2"/>
        <v>#REF!</v>
      </c>
      <c r="H67" s="150" t="e">
        <f t="shared" si="3"/>
        <v>#REF!</v>
      </c>
      <c r="I67" s="150" t="e">
        <f t="shared" si="4"/>
        <v>#REF!</v>
      </c>
      <c r="J67" s="150" t="e">
        <f t="shared" si="5"/>
        <v>#REF!</v>
      </c>
      <c r="K67" s="151" t="e">
        <f t="shared" si="6"/>
        <v>#REF!</v>
      </c>
      <c r="L67" s="36" t="e">
        <f>'Combustão Móvel'!#REF!</f>
        <v>#REF!</v>
      </c>
      <c r="M67" s="40" t="e">
        <f>'Combustão Móvel'!#REF!</f>
        <v>#REF!</v>
      </c>
      <c r="N67" s="150"/>
      <c r="O67" s="150" t="e">
        <f t="shared" si="7"/>
        <v>#REF!</v>
      </c>
      <c r="P67" s="150"/>
      <c r="Q67" s="150"/>
      <c r="R67" s="150" t="e">
        <f t="shared" si="8"/>
        <v>#REF!</v>
      </c>
      <c r="S67" s="150" t="e">
        <f t="shared" si="9"/>
        <v>#REF!</v>
      </c>
      <c r="T67" s="161" t="e">
        <f t="shared" si="10"/>
        <v>#REF!</v>
      </c>
      <c r="U67" s="161" t="e">
        <f t="shared" si="11"/>
        <v>#REF!</v>
      </c>
      <c r="V67" s="134" t="e">
        <f t="shared" si="12"/>
        <v>#REF!</v>
      </c>
      <c r="W67" s="134" t="e">
        <f t="shared" si="13"/>
        <v>#REF!</v>
      </c>
      <c r="X67" s="134" t="e">
        <f t="shared" si="14"/>
        <v>#REF!</v>
      </c>
    </row>
    <row r="68" spans="2:24" ht="15.75" thickBot="1" x14ac:dyDescent="0.3">
      <c r="B68" s="1244"/>
      <c r="C68" s="54" t="e">
        <f>'Combustão Móvel'!#REF!</f>
        <v>#REF!</v>
      </c>
      <c r="D68" s="145" t="e">
        <f>'Combustão Móvel'!#REF!</f>
        <v>#REF!</v>
      </c>
      <c r="E68" s="149">
        <v>0</v>
      </c>
      <c r="F68" s="150" t="e">
        <f t="shared" si="1"/>
        <v>#REF!</v>
      </c>
      <c r="G68" s="150" t="e">
        <f t="shared" si="2"/>
        <v>#REF!</v>
      </c>
      <c r="H68" s="150" t="e">
        <f t="shared" si="3"/>
        <v>#REF!</v>
      </c>
      <c r="I68" s="150" t="e">
        <f t="shared" si="4"/>
        <v>#REF!</v>
      </c>
      <c r="J68" s="150" t="e">
        <f t="shared" si="5"/>
        <v>#REF!</v>
      </c>
      <c r="K68" s="151" t="e">
        <f t="shared" si="6"/>
        <v>#REF!</v>
      </c>
      <c r="L68" s="36" t="e">
        <f>'Combustão Móvel'!#REF!</f>
        <v>#REF!</v>
      </c>
      <c r="M68" s="40" t="e">
        <f>'Combustão Móvel'!#REF!</f>
        <v>#REF!</v>
      </c>
      <c r="N68" s="150"/>
      <c r="O68" s="150" t="e">
        <f t="shared" si="7"/>
        <v>#REF!</v>
      </c>
      <c r="P68" s="150"/>
      <c r="Q68" s="150"/>
      <c r="R68" s="150" t="e">
        <f t="shared" si="8"/>
        <v>#REF!</v>
      </c>
      <c r="S68" s="150" t="e">
        <f t="shared" si="9"/>
        <v>#REF!</v>
      </c>
      <c r="T68" s="161" t="e">
        <f t="shared" si="10"/>
        <v>#REF!</v>
      </c>
      <c r="U68" s="161" t="e">
        <f t="shared" si="11"/>
        <v>#REF!</v>
      </c>
      <c r="V68" s="134" t="e">
        <f t="shared" si="12"/>
        <v>#REF!</v>
      </c>
      <c r="W68" s="134" t="e">
        <f t="shared" si="13"/>
        <v>#REF!</v>
      </c>
      <c r="X68" s="134" t="e">
        <f t="shared" si="14"/>
        <v>#REF!</v>
      </c>
    </row>
    <row r="69" spans="2:24" ht="15.75" thickBot="1" x14ac:dyDescent="0.3">
      <c r="B69" s="1244"/>
      <c r="C69" s="54" t="e">
        <f>'Combustão Móvel'!#REF!</f>
        <v>#REF!</v>
      </c>
      <c r="D69" s="145" t="e">
        <f>'Combustão Móvel'!#REF!</f>
        <v>#REF!</v>
      </c>
      <c r="E69" s="149">
        <v>0</v>
      </c>
      <c r="F69" s="150" t="e">
        <f t="shared" si="1"/>
        <v>#REF!</v>
      </c>
      <c r="G69" s="150" t="e">
        <f t="shared" si="2"/>
        <v>#REF!</v>
      </c>
      <c r="H69" s="150" t="e">
        <f t="shared" si="3"/>
        <v>#REF!</v>
      </c>
      <c r="I69" s="150" t="e">
        <f t="shared" si="4"/>
        <v>#REF!</v>
      </c>
      <c r="J69" s="150" t="e">
        <f t="shared" si="5"/>
        <v>#REF!</v>
      </c>
      <c r="K69" s="151" t="e">
        <f t="shared" si="6"/>
        <v>#REF!</v>
      </c>
      <c r="L69" s="36" t="e">
        <f>'Combustão Móvel'!#REF!</f>
        <v>#REF!</v>
      </c>
      <c r="M69" s="40" t="e">
        <f>'Combustão Móvel'!#REF!</f>
        <v>#REF!</v>
      </c>
      <c r="N69" s="150"/>
      <c r="O69" s="150" t="e">
        <f t="shared" si="7"/>
        <v>#REF!</v>
      </c>
      <c r="P69" s="150"/>
      <c r="Q69" s="150"/>
      <c r="R69" s="150" t="e">
        <f t="shared" si="8"/>
        <v>#REF!</v>
      </c>
      <c r="S69" s="150" t="e">
        <f t="shared" si="9"/>
        <v>#REF!</v>
      </c>
      <c r="T69" s="161" t="e">
        <f t="shared" si="10"/>
        <v>#REF!</v>
      </c>
      <c r="U69" s="161" t="e">
        <f t="shared" si="11"/>
        <v>#REF!</v>
      </c>
      <c r="V69" s="134" t="e">
        <f t="shared" si="12"/>
        <v>#REF!</v>
      </c>
      <c r="W69" s="134" t="e">
        <f t="shared" si="13"/>
        <v>#REF!</v>
      </c>
      <c r="X69" s="134" t="e">
        <f t="shared" si="14"/>
        <v>#REF!</v>
      </c>
    </row>
    <row r="70" spans="2:24" ht="15.75" thickBot="1" x14ac:dyDescent="0.3">
      <c r="B70" s="1244"/>
      <c r="C70" s="54" t="e">
        <f>'Combustão Móvel'!#REF!</f>
        <v>#REF!</v>
      </c>
      <c r="D70" s="145" t="e">
        <f>'Combustão Móvel'!#REF!</f>
        <v>#REF!</v>
      </c>
      <c r="E70" s="149">
        <v>0</v>
      </c>
      <c r="F70" s="150" t="e">
        <f t="shared" si="1"/>
        <v>#REF!</v>
      </c>
      <c r="G70" s="150" t="e">
        <f t="shared" si="2"/>
        <v>#REF!</v>
      </c>
      <c r="H70" s="150" t="e">
        <f t="shared" si="3"/>
        <v>#REF!</v>
      </c>
      <c r="I70" s="150" t="e">
        <f t="shared" si="4"/>
        <v>#REF!</v>
      </c>
      <c r="J70" s="150" t="e">
        <f t="shared" si="5"/>
        <v>#REF!</v>
      </c>
      <c r="K70" s="151" t="e">
        <f t="shared" si="6"/>
        <v>#REF!</v>
      </c>
      <c r="L70" s="36" t="e">
        <f>'Combustão Móvel'!#REF!</f>
        <v>#REF!</v>
      </c>
      <c r="M70" s="40" t="e">
        <f>'Combustão Móvel'!#REF!</f>
        <v>#REF!</v>
      </c>
      <c r="N70" s="150"/>
      <c r="O70" s="150" t="e">
        <f t="shared" si="7"/>
        <v>#REF!</v>
      </c>
      <c r="P70" s="150"/>
      <c r="Q70" s="150"/>
      <c r="R70" s="150" t="e">
        <f t="shared" si="8"/>
        <v>#REF!</v>
      </c>
      <c r="S70" s="150" t="e">
        <f t="shared" si="9"/>
        <v>#REF!</v>
      </c>
      <c r="T70" s="161" t="e">
        <f t="shared" si="10"/>
        <v>#REF!</v>
      </c>
      <c r="U70" s="161" t="e">
        <f t="shared" si="11"/>
        <v>#REF!</v>
      </c>
      <c r="V70" s="134" t="e">
        <f t="shared" si="12"/>
        <v>#REF!</v>
      </c>
      <c r="W70" s="134" t="e">
        <f t="shared" si="13"/>
        <v>#REF!</v>
      </c>
      <c r="X70" s="134" t="e">
        <f t="shared" si="14"/>
        <v>#REF!</v>
      </c>
    </row>
    <row r="71" spans="2:24" ht="15.75" thickBot="1" x14ac:dyDescent="0.3">
      <c r="B71" s="1244"/>
      <c r="C71" s="54" t="e">
        <f>'Combustão Móvel'!#REF!</f>
        <v>#REF!</v>
      </c>
      <c r="D71" s="145" t="e">
        <f>'Combustão Móvel'!#REF!</f>
        <v>#REF!</v>
      </c>
      <c r="E71" s="149">
        <v>0</v>
      </c>
      <c r="F71" s="150" t="e">
        <f t="shared" si="1"/>
        <v>#REF!</v>
      </c>
      <c r="G71" s="150" t="e">
        <f t="shared" si="2"/>
        <v>#REF!</v>
      </c>
      <c r="H71" s="150" t="e">
        <f t="shared" si="3"/>
        <v>#REF!</v>
      </c>
      <c r="I71" s="150" t="e">
        <f t="shared" si="4"/>
        <v>#REF!</v>
      </c>
      <c r="J71" s="150" t="e">
        <f t="shared" si="5"/>
        <v>#REF!</v>
      </c>
      <c r="K71" s="151" t="e">
        <f t="shared" si="6"/>
        <v>#REF!</v>
      </c>
      <c r="L71" s="36" t="e">
        <f>'Combustão Móvel'!#REF!</f>
        <v>#REF!</v>
      </c>
      <c r="M71" s="40" t="e">
        <f>'Combustão Móvel'!#REF!</f>
        <v>#REF!</v>
      </c>
      <c r="N71" s="150"/>
      <c r="O71" s="150" t="e">
        <f t="shared" si="7"/>
        <v>#REF!</v>
      </c>
      <c r="P71" s="150"/>
      <c r="Q71" s="150"/>
      <c r="R71" s="150" t="e">
        <f t="shared" si="8"/>
        <v>#REF!</v>
      </c>
      <c r="S71" s="150" t="e">
        <f t="shared" si="9"/>
        <v>#REF!</v>
      </c>
      <c r="T71" s="161" t="e">
        <f t="shared" si="10"/>
        <v>#REF!</v>
      </c>
      <c r="U71" s="161" t="e">
        <f t="shared" si="11"/>
        <v>#REF!</v>
      </c>
      <c r="V71" s="134" t="e">
        <f t="shared" si="12"/>
        <v>#REF!</v>
      </c>
      <c r="W71" s="134" t="e">
        <f t="shared" si="13"/>
        <v>#REF!</v>
      </c>
      <c r="X71" s="134" t="e">
        <f t="shared" si="14"/>
        <v>#REF!</v>
      </c>
    </row>
    <row r="72" spans="2:24" ht="15.75" thickBot="1" x14ac:dyDescent="0.3">
      <c r="B72" s="1244"/>
      <c r="C72" s="54" t="e">
        <f>'Combustão Móvel'!#REF!</f>
        <v>#REF!</v>
      </c>
      <c r="D72" s="145" t="e">
        <f>'Combustão Móvel'!#REF!</f>
        <v>#REF!</v>
      </c>
      <c r="E72" s="149">
        <v>0</v>
      </c>
      <c r="F72" s="150" t="e">
        <f t="shared" si="1"/>
        <v>#REF!</v>
      </c>
      <c r="G72" s="150" t="e">
        <f t="shared" si="2"/>
        <v>#REF!</v>
      </c>
      <c r="H72" s="150" t="e">
        <f t="shared" si="3"/>
        <v>#REF!</v>
      </c>
      <c r="I72" s="150" t="e">
        <f t="shared" si="4"/>
        <v>#REF!</v>
      </c>
      <c r="J72" s="150" t="e">
        <f t="shared" si="5"/>
        <v>#REF!</v>
      </c>
      <c r="K72" s="151" t="e">
        <f t="shared" si="6"/>
        <v>#REF!</v>
      </c>
      <c r="L72" s="36" t="e">
        <f>'Combustão Móvel'!#REF!</f>
        <v>#REF!</v>
      </c>
      <c r="M72" s="40" t="e">
        <f>'Combustão Móvel'!#REF!</f>
        <v>#REF!</v>
      </c>
      <c r="N72" s="150"/>
      <c r="O72" s="150" t="e">
        <f t="shared" si="7"/>
        <v>#REF!</v>
      </c>
      <c r="P72" s="150"/>
      <c r="Q72" s="150"/>
      <c r="R72" s="150" t="e">
        <f t="shared" si="8"/>
        <v>#REF!</v>
      </c>
      <c r="S72" s="150" t="e">
        <f t="shared" si="9"/>
        <v>#REF!</v>
      </c>
      <c r="T72" s="161" t="e">
        <f t="shared" si="10"/>
        <v>#REF!</v>
      </c>
      <c r="U72" s="161" t="e">
        <f t="shared" si="11"/>
        <v>#REF!</v>
      </c>
      <c r="V72" s="134" t="e">
        <f t="shared" si="12"/>
        <v>#REF!</v>
      </c>
      <c r="W72" s="134" t="e">
        <f t="shared" si="13"/>
        <v>#REF!</v>
      </c>
      <c r="X72" s="134" t="e">
        <f t="shared" si="14"/>
        <v>#REF!</v>
      </c>
    </row>
    <row r="73" spans="2:24" ht="15.75" thickBot="1" x14ac:dyDescent="0.3">
      <c r="B73" s="1244"/>
      <c r="C73" s="54" t="e">
        <f>'Combustão Móvel'!#REF!</f>
        <v>#REF!</v>
      </c>
      <c r="D73" s="145" t="e">
        <f>'Combustão Móvel'!#REF!</f>
        <v>#REF!</v>
      </c>
      <c r="E73" s="149">
        <v>0</v>
      </c>
      <c r="F73" s="150" t="e">
        <f t="shared" si="1"/>
        <v>#REF!</v>
      </c>
      <c r="G73" s="150" t="e">
        <f t="shared" si="2"/>
        <v>#REF!</v>
      </c>
      <c r="H73" s="150" t="e">
        <f t="shared" si="3"/>
        <v>#REF!</v>
      </c>
      <c r="I73" s="150" t="e">
        <f t="shared" si="4"/>
        <v>#REF!</v>
      </c>
      <c r="J73" s="150" t="e">
        <f t="shared" si="5"/>
        <v>#REF!</v>
      </c>
      <c r="K73" s="151" t="e">
        <f t="shared" si="6"/>
        <v>#REF!</v>
      </c>
      <c r="L73" s="36" t="e">
        <f>'Combustão Móvel'!#REF!</f>
        <v>#REF!</v>
      </c>
      <c r="M73" s="40" t="e">
        <f>'Combustão Móvel'!#REF!</f>
        <v>#REF!</v>
      </c>
      <c r="N73" s="150"/>
      <c r="O73" s="150" t="e">
        <f t="shared" si="7"/>
        <v>#REF!</v>
      </c>
      <c r="P73" s="150"/>
      <c r="Q73" s="150"/>
      <c r="R73" s="150" t="e">
        <f t="shared" si="8"/>
        <v>#REF!</v>
      </c>
      <c r="S73" s="150" t="e">
        <f t="shared" si="9"/>
        <v>#REF!</v>
      </c>
      <c r="T73" s="161" t="e">
        <f t="shared" si="10"/>
        <v>#REF!</v>
      </c>
      <c r="U73" s="161" t="e">
        <f t="shared" si="11"/>
        <v>#REF!</v>
      </c>
      <c r="V73" s="134" t="e">
        <f t="shared" si="12"/>
        <v>#REF!</v>
      </c>
      <c r="W73" s="134" t="e">
        <f t="shared" si="13"/>
        <v>#REF!</v>
      </c>
      <c r="X73" s="134" t="e">
        <f t="shared" si="14"/>
        <v>#REF!</v>
      </c>
    </row>
    <row r="74" spans="2:24" ht="15.75" thickBot="1" x14ac:dyDescent="0.3">
      <c r="B74" s="1244"/>
      <c r="C74" s="54" t="e">
        <f>'Combustão Móvel'!#REF!</f>
        <v>#REF!</v>
      </c>
      <c r="D74" s="145" t="e">
        <f>'Combustão Móvel'!#REF!</f>
        <v>#REF!</v>
      </c>
      <c r="E74" s="149">
        <v>0</v>
      </c>
      <c r="F74" s="150" t="e">
        <f t="shared" si="1"/>
        <v>#REF!</v>
      </c>
      <c r="G74" s="150" t="e">
        <f t="shared" si="2"/>
        <v>#REF!</v>
      </c>
      <c r="H74" s="150" t="e">
        <f t="shared" si="3"/>
        <v>#REF!</v>
      </c>
      <c r="I74" s="150" t="e">
        <f t="shared" si="4"/>
        <v>#REF!</v>
      </c>
      <c r="J74" s="150" t="e">
        <f t="shared" si="5"/>
        <v>#REF!</v>
      </c>
      <c r="K74" s="151" t="e">
        <f t="shared" si="6"/>
        <v>#REF!</v>
      </c>
      <c r="L74" s="36" t="e">
        <f>'Combustão Móvel'!#REF!</f>
        <v>#REF!</v>
      </c>
      <c r="M74" s="40" t="e">
        <f>'Combustão Móvel'!#REF!</f>
        <v>#REF!</v>
      </c>
      <c r="N74" s="150"/>
      <c r="O74" s="150" t="e">
        <f t="shared" si="7"/>
        <v>#REF!</v>
      </c>
      <c r="P74" s="150"/>
      <c r="Q74" s="150"/>
      <c r="R74" s="150" t="e">
        <f t="shared" si="8"/>
        <v>#REF!</v>
      </c>
      <c r="S74" s="150" t="e">
        <f t="shared" si="9"/>
        <v>#REF!</v>
      </c>
      <c r="T74" s="161" t="e">
        <f t="shared" si="10"/>
        <v>#REF!</v>
      </c>
      <c r="U74" s="161" t="e">
        <f t="shared" si="11"/>
        <v>#REF!</v>
      </c>
      <c r="V74" s="134" t="e">
        <f t="shared" si="12"/>
        <v>#REF!</v>
      </c>
      <c r="W74" s="134" t="e">
        <f t="shared" si="13"/>
        <v>#REF!</v>
      </c>
      <c r="X74" s="134" t="e">
        <f t="shared" si="14"/>
        <v>#REF!</v>
      </c>
    </row>
    <row r="75" spans="2:24" ht="15.75" thickBot="1" x14ac:dyDescent="0.3">
      <c r="B75" s="1244"/>
      <c r="C75" s="54" t="e">
        <f>'Combustão Móvel'!#REF!</f>
        <v>#REF!</v>
      </c>
      <c r="D75" s="145" t="e">
        <f>'Combustão Móvel'!#REF!</f>
        <v>#REF!</v>
      </c>
      <c r="E75" s="149">
        <v>0</v>
      </c>
      <c r="F75" s="150" t="e">
        <f t="shared" si="1"/>
        <v>#REF!</v>
      </c>
      <c r="G75" s="150" t="e">
        <f t="shared" si="2"/>
        <v>#REF!</v>
      </c>
      <c r="H75" s="150" t="e">
        <f t="shared" si="3"/>
        <v>#REF!</v>
      </c>
      <c r="I75" s="150" t="e">
        <f t="shared" si="4"/>
        <v>#REF!</v>
      </c>
      <c r="J75" s="150" t="e">
        <f t="shared" si="5"/>
        <v>#REF!</v>
      </c>
      <c r="K75" s="151" t="e">
        <f t="shared" si="6"/>
        <v>#REF!</v>
      </c>
      <c r="L75" s="36" t="e">
        <f>'Combustão Móvel'!#REF!</f>
        <v>#REF!</v>
      </c>
      <c r="M75" s="40" t="e">
        <f>'Combustão Móvel'!#REF!</f>
        <v>#REF!</v>
      </c>
      <c r="N75" s="150"/>
      <c r="O75" s="150" t="e">
        <f t="shared" si="7"/>
        <v>#REF!</v>
      </c>
      <c r="P75" s="150"/>
      <c r="Q75" s="150"/>
      <c r="R75" s="150" t="e">
        <f t="shared" si="8"/>
        <v>#REF!</v>
      </c>
      <c r="S75" s="150" t="e">
        <f t="shared" si="9"/>
        <v>#REF!</v>
      </c>
      <c r="T75" s="161" t="e">
        <f t="shared" si="10"/>
        <v>#REF!</v>
      </c>
      <c r="U75" s="161" t="e">
        <f t="shared" si="11"/>
        <v>#REF!</v>
      </c>
      <c r="V75" s="134" t="e">
        <f t="shared" si="12"/>
        <v>#REF!</v>
      </c>
      <c r="W75" s="134" t="e">
        <f t="shared" si="13"/>
        <v>#REF!</v>
      </c>
      <c r="X75" s="134" t="e">
        <f t="shared" si="14"/>
        <v>#REF!</v>
      </c>
    </row>
    <row r="76" spans="2:24" ht="15.75" thickBot="1" x14ac:dyDescent="0.3">
      <c r="B76" s="1244"/>
      <c r="C76" s="54" t="e">
        <f>'Combustão Móvel'!#REF!</f>
        <v>#REF!</v>
      </c>
      <c r="D76" s="145" t="e">
        <f>'Combustão Móvel'!#REF!</f>
        <v>#REF!</v>
      </c>
      <c r="E76" s="149">
        <v>0</v>
      </c>
      <c r="F76" s="150" t="e">
        <f t="shared" si="1"/>
        <v>#REF!</v>
      </c>
      <c r="G76" s="150" t="e">
        <f t="shared" si="2"/>
        <v>#REF!</v>
      </c>
      <c r="H76" s="150" t="e">
        <f t="shared" si="3"/>
        <v>#REF!</v>
      </c>
      <c r="I76" s="150" t="e">
        <f t="shared" si="4"/>
        <v>#REF!</v>
      </c>
      <c r="J76" s="150" t="e">
        <f t="shared" si="5"/>
        <v>#REF!</v>
      </c>
      <c r="K76" s="151" t="e">
        <f t="shared" si="6"/>
        <v>#REF!</v>
      </c>
      <c r="L76" s="36" t="e">
        <f>'Combustão Móvel'!#REF!</f>
        <v>#REF!</v>
      </c>
      <c r="M76" s="40" t="e">
        <f>'Combustão Móvel'!#REF!</f>
        <v>#REF!</v>
      </c>
      <c r="N76" s="150"/>
      <c r="O76" s="150" t="e">
        <f t="shared" si="7"/>
        <v>#REF!</v>
      </c>
      <c r="P76" s="150"/>
      <c r="Q76" s="150"/>
      <c r="R76" s="150" t="e">
        <f t="shared" si="8"/>
        <v>#REF!</v>
      </c>
      <c r="S76" s="150" t="e">
        <f t="shared" si="9"/>
        <v>#REF!</v>
      </c>
      <c r="T76" s="161" t="e">
        <f t="shared" si="10"/>
        <v>#REF!</v>
      </c>
      <c r="U76" s="161" t="e">
        <f t="shared" si="11"/>
        <v>#REF!</v>
      </c>
      <c r="V76" s="134" t="e">
        <f t="shared" si="12"/>
        <v>#REF!</v>
      </c>
      <c r="W76" s="134" t="e">
        <f t="shared" si="13"/>
        <v>#REF!</v>
      </c>
      <c r="X76" s="134" t="e">
        <f t="shared" si="14"/>
        <v>#REF!</v>
      </c>
    </row>
    <row r="77" spans="2:24" ht="15.75" thickBot="1" x14ac:dyDescent="0.3">
      <c r="B77" s="1244"/>
      <c r="C77" s="54" t="e">
        <f>'Combustão Móvel'!#REF!</f>
        <v>#REF!</v>
      </c>
      <c r="D77" s="145" t="e">
        <f>'Combustão Móvel'!#REF!</f>
        <v>#REF!</v>
      </c>
      <c r="E77" s="149">
        <v>0</v>
      </c>
      <c r="F77" s="150" t="e">
        <f t="shared" si="1"/>
        <v>#REF!</v>
      </c>
      <c r="G77" s="150" t="e">
        <f t="shared" si="2"/>
        <v>#REF!</v>
      </c>
      <c r="H77" s="150" t="e">
        <f t="shared" si="3"/>
        <v>#REF!</v>
      </c>
      <c r="I77" s="150" t="e">
        <f t="shared" si="4"/>
        <v>#REF!</v>
      </c>
      <c r="J77" s="150" t="e">
        <f t="shared" si="5"/>
        <v>#REF!</v>
      </c>
      <c r="K77" s="151" t="e">
        <f t="shared" si="6"/>
        <v>#REF!</v>
      </c>
      <c r="L77" s="36" t="e">
        <f>'Combustão Móvel'!#REF!</f>
        <v>#REF!</v>
      </c>
      <c r="M77" s="40" t="e">
        <f>'Combustão Móvel'!#REF!</f>
        <v>#REF!</v>
      </c>
      <c r="N77" s="150"/>
      <c r="O77" s="150" t="e">
        <f t="shared" si="7"/>
        <v>#REF!</v>
      </c>
      <c r="P77" s="150"/>
      <c r="Q77" s="150"/>
      <c r="R77" s="150" t="e">
        <f t="shared" si="8"/>
        <v>#REF!</v>
      </c>
      <c r="S77" s="150" t="e">
        <f t="shared" si="9"/>
        <v>#REF!</v>
      </c>
      <c r="T77" s="161" t="e">
        <f t="shared" si="10"/>
        <v>#REF!</v>
      </c>
      <c r="U77" s="161" t="e">
        <f t="shared" si="11"/>
        <v>#REF!</v>
      </c>
      <c r="V77" s="134" t="e">
        <f t="shared" si="12"/>
        <v>#REF!</v>
      </c>
      <c r="W77" s="134" t="e">
        <f t="shared" si="13"/>
        <v>#REF!</v>
      </c>
      <c r="X77" s="134" t="e">
        <f t="shared" si="14"/>
        <v>#REF!</v>
      </c>
    </row>
    <row r="78" spans="2:24" ht="15.75" thickBot="1" x14ac:dyDescent="0.3">
      <c r="B78" s="1244"/>
      <c r="C78" s="54" t="e">
        <f>'Combustão Móvel'!#REF!</f>
        <v>#REF!</v>
      </c>
      <c r="D78" s="145" t="e">
        <f>'Combustão Móvel'!#REF!</f>
        <v>#REF!</v>
      </c>
      <c r="E78" s="149">
        <v>0</v>
      </c>
      <c r="F78" s="150" t="e">
        <f t="shared" si="1"/>
        <v>#REF!</v>
      </c>
      <c r="G78" s="150" t="e">
        <f t="shared" si="2"/>
        <v>#REF!</v>
      </c>
      <c r="H78" s="150" t="e">
        <f t="shared" si="3"/>
        <v>#REF!</v>
      </c>
      <c r="I78" s="150" t="e">
        <f t="shared" si="4"/>
        <v>#REF!</v>
      </c>
      <c r="J78" s="150" t="e">
        <f t="shared" si="5"/>
        <v>#REF!</v>
      </c>
      <c r="K78" s="151" t="e">
        <f t="shared" si="6"/>
        <v>#REF!</v>
      </c>
      <c r="L78" s="36" t="e">
        <f>'Combustão Móvel'!#REF!</f>
        <v>#REF!</v>
      </c>
      <c r="M78" s="40" t="e">
        <f>'Combustão Móvel'!#REF!</f>
        <v>#REF!</v>
      </c>
      <c r="N78" s="150"/>
      <c r="O78" s="150" t="e">
        <f t="shared" si="7"/>
        <v>#REF!</v>
      </c>
      <c r="P78" s="150"/>
      <c r="Q78" s="150"/>
      <c r="R78" s="150" t="e">
        <f t="shared" si="8"/>
        <v>#REF!</v>
      </c>
      <c r="S78" s="150" t="e">
        <f t="shared" si="9"/>
        <v>#REF!</v>
      </c>
      <c r="T78" s="161" t="e">
        <f t="shared" si="10"/>
        <v>#REF!</v>
      </c>
      <c r="U78" s="161" t="e">
        <f t="shared" si="11"/>
        <v>#REF!</v>
      </c>
      <c r="V78" s="134" t="e">
        <f t="shared" si="12"/>
        <v>#REF!</v>
      </c>
      <c r="W78" s="134" t="e">
        <f t="shared" si="13"/>
        <v>#REF!</v>
      </c>
      <c r="X78" s="134" t="e">
        <f t="shared" si="14"/>
        <v>#REF!</v>
      </c>
    </row>
    <row r="79" spans="2:24" ht="15.75" thickBot="1" x14ac:dyDescent="0.3">
      <c r="B79" s="1244"/>
      <c r="C79" s="54" t="e">
        <f>'Combustão Móvel'!#REF!</f>
        <v>#REF!</v>
      </c>
      <c r="D79" s="145" t="e">
        <f>'Combustão Móvel'!#REF!</f>
        <v>#REF!</v>
      </c>
      <c r="E79" s="149">
        <v>0</v>
      </c>
      <c r="F79" s="150" t="e">
        <f t="shared" si="1"/>
        <v>#REF!</v>
      </c>
      <c r="G79" s="150" t="e">
        <f t="shared" si="2"/>
        <v>#REF!</v>
      </c>
      <c r="H79" s="150" t="e">
        <f t="shared" si="3"/>
        <v>#REF!</v>
      </c>
      <c r="I79" s="150" t="e">
        <f t="shared" si="4"/>
        <v>#REF!</v>
      </c>
      <c r="J79" s="150" t="e">
        <f t="shared" si="5"/>
        <v>#REF!</v>
      </c>
      <c r="K79" s="151" t="e">
        <f t="shared" si="6"/>
        <v>#REF!</v>
      </c>
      <c r="L79" s="36" t="e">
        <f>'Combustão Móvel'!#REF!</f>
        <v>#REF!</v>
      </c>
      <c r="M79" s="40" t="e">
        <f>'Combustão Móvel'!#REF!</f>
        <v>#REF!</v>
      </c>
      <c r="N79" s="150"/>
      <c r="O79" s="150" t="e">
        <f t="shared" si="7"/>
        <v>#REF!</v>
      </c>
      <c r="P79" s="150"/>
      <c r="Q79" s="150"/>
      <c r="R79" s="150" t="e">
        <f t="shared" si="8"/>
        <v>#REF!</v>
      </c>
      <c r="S79" s="150" t="e">
        <f t="shared" si="9"/>
        <v>#REF!</v>
      </c>
      <c r="T79" s="161" t="e">
        <f t="shared" si="10"/>
        <v>#REF!</v>
      </c>
      <c r="U79" s="161" t="e">
        <f t="shared" si="11"/>
        <v>#REF!</v>
      </c>
      <c r="V79" s="134" t="e">
        <f t="shared" si="12"/>
        <v>#REF!</v>
      </c>
      <c r="W79" s="134" t="e">
        <f t="shared" si="13"/>
        <v>#REF!</v>
      </c>
      <c r="X79" s="134" t="e">
        <f t="shared" si="14"/>
        <v>#REF!</v>
      </c>
    </row>
    <row r="80" spans="2:24" ht="15.75" thickBot="1" x14ac:dyDescent="0.3">
      <c r="B80" s="1244"/>
      <c r="C80" s="54" t="e">
        <f>'Combustão Móvel'!#REF!</f>
        <v>#REF!</v>
      </c>
      <c r="D80" s="145" t="e">
        <f>'Combustão Móvel'!#REF!</f>
        <v>#REF!</v>
      </c>
      <c r="E80" s="149">
        <v>0</v>
      </c>
      <c r="F80" s="150" t="e">
        <f t="shared" si="1"/>
        <v>#REF!</v>
      </c>
      <c r="G80" s="150" t="e">
        <f t="shared" si="2"/>
        <v>#REF!</v>
      </c>
      <c r="H80" s="150" t="e">
        <f t="shared" si="3"/>
        <v>#REF!</v>
      </c>
      <c r="I80" s="150" t="e">
        <f t="shared" si="4"/>
        <v>#REF!</v>
      </c>
      <c r="J80" s="150" t="e">
        <f t="shared" si="5"/>
        <v>#REF!</v>
      </c>
      <c r="K80" s="151" t="e">
        <f t="shared" si="6"/>
        <v>#REF!</v>
      </c>
      <c r="L80" s="36" t="e">
        <f>'Combustão Móvel'!#REF!</f>
        <v>#REF!</v>
      </c>
      <c r="M80" s="40" t="e">
        <f>'Combustão Móvel'!#REF!</f>
        <v>#REF!</v>
      </c>
      <c r="N80" s="150"/>
      <c r="O80" s="150" t="e">
        <f t="shared" si="7"/>
        <v>#REF!</v>
      </c>
      <c r="P80" s="150"/>
      <c r="Q80" s="150"/>
      <c r="R80" s="150" t="e">
        <f t="shared" si="8"/>
        <v>#REF!</v>
      </c>
      <c r="S80" s="150" t="e">
        <f t="shared" si="9"/>
        <v>#REF!</v>
      </c>
      <c r="T80" s="161" t="e">
        <f t="shared" si="10"/>
        <v>#REF!</v>
      </c>
      <c r="U80" s="161" t="e">
        <f t="shared" si="11"/>
        <v>#REF!</v>
      </c>
      <c r="V80" s="134" t="e">
        <f t="shared" si="12"/>
        <v>#REF!</v>
      </c>
      <c r="W80" s="134" t="e">
        <f t="shared" si="13"/>
        <v>#REF!</v>
      </c>
      <c r="X80" s="134" t="e">
        <f t="shared" si="14"/>
        <v>#REF!</v>
      </c>
    </row>
    <row r="81" spans="2:24" ht="15.75" thickBot="1" x14ac:dyDescent="0.3">
      <c r="B81" s="1244"/>
      <c r="C81" s="54" t="e">
        <f>'Combustão Móvel'!#REF!</f>
        <v>#REF!</v>
      </c>
      <c r="D81" s="145" t="e">
        <f>'Combustão Móvel'!#REF!</f>
        <v>#REF!</v>
      </c>
      <c r="E81" s="149">
        <v>0</v>
      </c>
      <c r="F81" s="150" t="e">
        <f t="shared" si="1"/>
        <v>#REF!</v>
      </c>
      <c r="G81" s="150" t="e">
        <f t="shared" si="2"/>
        <v>#REF!</v>
      </c>
      <c r="H81" s="150" t="e">
        <f t="shared" si="3"/>
        <v>#REF!</v>
      </c>
      <c r="I81" s="150" t="e">
        <f t="shared" si="4"/>
        <v>#REF!</v>
      </c>
      <c r="J81" s="150" t="e">
        <f t="shared" si="5"/>
        <v>#REF!</v>
      </c>
      <c r="K81" s="151" t="e">
        <f t="shared" si="6"/>
        <v>#REF!</v>
      </c>
      <c r="L81" s="36" t="e">
        <f>'Combustão Móvel'!#REF!</f>
        <v>#REF!</v>
      </c>
      <c r="M81" s="40" t="e">
        <f>'Combustão Móvel'!#REF!</f>
        <v>#REF!</v>
      </c>
      <c r="N81" s="150"/>
      <c r="O81" s="150" t="e">
        <f t="shared" si="7"/>
        <v>#REF!</v>
      </c>
      <c r="P81" s="150"/>
      <c r="Q81" s="150"/>
      <c r="R81" s="150" t="e">
        <f t="shared" si="8"/>
        <v>#REF!</v>
      </c>
      <c r="S81" s="150" t="e">
        <f t="shared" si="9"/>
        <v>#REF!</v>
      </c>
      <c r="T81" s="161" t="e">
        <f t="shared" si="10"/>
        <v>#REF!</v>
      </c>
      <c r="U81" s="161" t="e">
        <f t="shared" si="11"/>
        <v>#REF!</v>
      </c>
      <c r="V81" s="134" t="e">
        <f t="shared" si="12"/>
        <v>#REF!</v>
      </c>
      <c r="W81" s="134" t="e">
        <f t="shared" si="13"/>
        <v>#REF!</v>
      </c>
      <c r="X81" s="134" t="e">
        <f t="shared" si="14"/>
        <v>#REF!</v>
      </c>
    </row>
    <row r="82" spans="2:24" ht="15.75" thickBot="1" x14ac:dyDescent="0.3">
      <c r="B82" s="1244"/>
      <c r="C82" s="54" t="e">
        <f>'Combustão Móvel'!#REF!</f>
        <v>#REF!</v>
      </c>
      <c r="D82" s="145" t="e">
        <f>'Combustão Móvel'!#REF!</f>
        <v>#REF!</v>
      </c>
      <c r="E82" s="149">
        <v>0</v>
      </c>
      <c r="F82" s="150" t="e">
        <f t="shared" si="1"/>
        <v>#REF!</v>
      </c>
      <c r="G82" s="150" t="e">
        <f t="shared" si="2"/>
        <v>#REF!</v>
      </c>
      <c r="H82" s="150" t="e">
        <f t="shared" si="3"/>
        <v>#REF!</v>
      </c>
      <c r="I82" s="150" t="e">
        <f t="shared" si="4"/>
        <v>#REF!</v>
      </c>
      <c r="J82" s="150" t="e">
        <f t="shared" si="5"/>
        <v>#REF!</v>
      </c>
      <c r="K82" s="151" t="e">
        <f t="shared" si="6"/>
        <v>#REF!</v>
      </c>
      <c r="L82" s="36" t="e">
        <f>'Combustão Móvel'!#REF!</f>
        <v>#REF!</v>
      </c>
      <c r="M82" s="40" t="e">
        <f>'Combustão Móvel'!#REF!</f>
        <v>#REF!</v>
      </c>
      <c r="N82" s="150"/>
      <c r="O82" s="150" t="e">
        <f t="shared" si="7"/>
        <v>#REF!</v>
      </c>
      <c r="P82" s="150"/>
      <c r="Q82" s="150"/>
      <c r="R82" s="150" t="e">
        <f t="shared" si="8"/>
        <v>#REF!</v>
      </c>
      <c r="S82" s="150" t="e">
        <f t="shared" si="9"/>
        <v>#REF!</v>
      </c>
      <c r="T82" s="161" t="e">
        <f t="shared" si="10"/>
        <v>#REF!</v>
      </c>
      <c r="U82" s="161" t="e">
        <f t="shared" si="11"/>
        <v>#REF!</v>
      </c>
      <c r="V82" s="134" t="e">
        <f t="shared" si="12"/>
        <v>#REF!</v>
      </c>
      <c r="W82" s="134" t="e">
        <f t="shared" si="13"/>
        <v>#REF!</v>
      </c>
      <c r="X82" s="134" t="e">
        <f t="shared" si="14"/>
        <v>#REF!</v>
      </c>
    </row>
    <row r="83" spans="2:24" ht="15.75" thickBot="1" x14ac:dyDescent="0.3">
      <c r="B83" s="1244"/>
      <c r="C83" s="54" t="e">
        <f>'Combustão Móvel'!#REF!</f>
        <v>#REF!</v>
      </c>
      <c r="D83" s="145" t="e">
        <f>'Combustão Móvel'!#REF!</f>
        <v>#REF!</v>
      </c>
      <c r="E83" s="149">
        <v>0</v>
      </c>
      <c r="F83" s="150" t="e">
        <f t="shared" si="1"/>
        <v>#REF!</v>
      </c>
      <c r="G83" s="150" t="e">
        <f t="shared" si="2"/>
        <v>#REF!</v>
      </c>
      <c r="H83" s="150" t="e">
        <f t="shared" si="3"/>
        <v>#REF!</v>
      </c>
      <c r="I83" s="150" t="e">
        <f t="shared" si="4"/>
        <v>#REF!</v>
      </c>
      <c r="J83" s="150" t="e">
        <f t="shared" si="5"/>
        <v>#REF!</v>
      </c>
      <c r="K83" s="151" t="e">
        <f t="shared" si="6"/>
        <v>#REF!</v>
      </c>
      <c r="L83" s="36" t="e">
        <f>'Combustão Móvel'!#REF!</f>
        <v>#REF!</v>
      </c>
      <c r="M83" s="40" t="e">
        <f>'Combustão Móvel'!#REF!</f>
        <v>#REF!</v>
      </c>
      <c r="N83" s="150"/>
      <c r="O83" s="150" t="e">
        <f t="shared" si="7"/>
        <v>#REF!</v>
      </c>
      <c r="P83" s="150"/>
      <c r="Q83" s="150"/>
      <c r="R83" s="150" t="e">
        <f t="shared" si="8"/>
        <v>#REF!</v>
      </c>
      <c r="S83" s="150" t="e">
        <f t="shared" si="9"/>
        <v>#REF!</v>
      </c>
      <c r="T83" s="161" t="e">
        <f t="shared" si="10"/>
        <v>#REF!</v>
      </c>
      <c r="U83" s="161" t="e">
        <f t="shared" si="11"/>
        <v>#REF!</v>
      </c>
      <c r="V83" s="134" t="e">
        <f t="shared" si="12"/>
        <v>#REF!</v>
      </c>
      <c r="W83" s="134" t="e">
        <f t="shared" si="13"/>
        <v>#REF!</v>
      </c>
      <c r="X83" s="134" t="e">
        <f t="shared" si="14"/>
        <v>#REF!</v>
      </c>
    </row>
    <row r="84" spans="2:24" ht="15.75" thickBot="1" x14ac:dyDescent="0.3">
      <c r="B84" s="1244"/>
      <c r="C84" s="54" t="e">
        <f>'Combustão Móvel'!#REF!</f>
        <v>#REF!</v>
      </c>
      <c r="D84" s="145" t="e">
        <f>'Combustão Móvel'!#REF!</f>
        <v>#REF!</v>
      </c>
      <c r="E84" s="149">
        <v>0</v>
      </c>
      <c r="F84" s="150" t="e">
        <f t="shared" si="1"/>
        <v>#REF!</v>
      </c>
      <c r="G84" s="150" t="e">
        <f t="shared" si="2"/>
        <v>#REF!</v>
      </c>
      <c r="H84" s="150" t="e">
        <f t="shared" si="3"/>
        <v>#REF!</v>
      </c>
      <c r="I84" s="150" t="e">
        <f t="shared" si="4"/>
        <v>#REF!</v>
      </c>
      <c r="J84" s="150" t="e">
        <f t="shared" si="5"/>
        <v>#REF!</v>
      </c>
      <c r="K84" s="151" t="e">
        <f t="shared" si="6"/>
        <v>#REF!</v>
      </c>
      <c r="L84" s="36" t="e">
        <f>'Combustão Móvel'!#REF!</f>
        <v>#REF!</v>
      </c>
      <c r="M84" s="40" t="e">
        <f>'Combustão Móvel'!#REF!</f>
        <v>#REF!</v>
      </c>
      <c r="N84" s="150"/>
      <c r="O84" s="150" t="e">
        <f t="shared" si="7"/>
        <v>#REF!</v>
      </c>
      <c r="P84" s="150"/>
      <c r="Q84" s="150"/>
      <c r="R84" s="150" t="e">
        <f t="shared" si="8"/>
        <v>#REF!</v>
      </c>
      <c r="S84" s="150" t="e">
        <f t="shared" si="9"/>
        <v>#REF!</v>
      </c>
      <c r="T84" s="161" t="e">
        <f t="shared" si="10"/>
        <v>#REF!</v>
      </c>
      <c r="U84" s="161" t="e">
        <f t="shared" si="11"/>
        <v>#REF!</v>
      </c>
      <c r="V84" s="134" t="e">
        <f t="shared" si="12"/>
        <v>#REF!</v>
      </c>
      <c r="W84" s="134" t="e">
        <f t="shared" si="13"/>
        <v>#REF!</v>
      </c>
      <c r="X84" s="134" t="e">
        <f t="shared" si="14"/>
        <v>#REF!</v>
      </c>
    </row>
    <row r="85" spans="2:24" ht="15.75" thickBot="1" x14ac:dyDescent="0.3">
      <c r="B85" s="1244"/>
      <c r="C85" s="54" t="e">
        <f>'Combustão Móvel'!#REF!</f>
        <v>#REF!</v>
      </c>
      <c r="D85" s="145" t="e">
        <f>'Combustão Móvel'!#REF!</f>
        <v>#REF!</v>
      </c>
      <c r="E85" s="149">
        <v>0</v>
      </c>
      <c r="F85" s="150" t="e">
        <f t="shared" si="1"/>
        <v>#REF!</v>
      </c>
      <c r="G85" s="150" t="e">
        <f t="shared" si="2"/>
        <v>#REF!</v>
      </c>
      <c r="H85" s="150" t="e">
        <f t="shared" si="3"/>
        <v>#REF!</v>
      </c>
      <c r="I85" s="150" t="e">
        <f t="shared" si="4"/>
        <v>#REF!</v>
      </c>
      <c r="J85" s="150" t="e">
        <f t="shared" si="5"/>
        <v>#REF!</v>
      </c>
      <c r="K85" s="151" t="e">
        <f t="shared" si="6"/>
        <v>#REF!</v>
      </c>
      <c r="L85" s="36" t="e">
        <f>'Combustão Móvel'!#REF!</f>
        <v>#REF!</v>
      </c>
      <c r="M85" s="40" t="e">
        <f>'Combustão Móvel'!#REF!</f>
        <v>#REF!</v>
      </c>
      <c r="N85" s="150"/>
      <c r="O85" s="150" t="e">
        <f t="shared" si="7"/>
        <v>#REF!</v>
      </c>
      <c r="P85" s="150"/>
      <c r="Q85" s="150"/>
      <c r="R85" s="150" t="e">
        <f t="shared" si="8"/>
        <v>#REF!</v>
      </c>
      <c r="S85" s="150" t="e">
        <f t="shared" si="9"/>
        <v>#REF!</v>
      </c>
      <c r="T85" s="161" t="e">
        <f t="shared" si="10"/>
        <v>#REF!</v>
      </c>
      <c r="U85" s="161" t="e">
        <f t="shared" si="11"/>
        <v>#REF!</v>
      </c>
      <c r="V85" s="134" t="e">
        <f t="shared" si="12"/>
        <v>#REF!</v>
      </c>
      <c r="W85" s="134" t="e">
        <f t="shared" si="13"/>
        <v>#REF!</v>
      </c>
      <c r="X85" s="134" t="e">
        <f t="shared" si="14"/>
        <v>#REF!</v>
      </c>
    </row>
    <row r="86" spans="2:24" ht="15.75" thickBot="1" x14ac:dyDescent="0.3">
      <c r="B86" s="1244"/>
      <c r="C86" s="54" t="e">
        <f>'Combustão Móvel'!#REF!</f>
        <v>#REF!</v>
      </c>
      <c r="D86" s="145" t="e">
        <f>'Combustão Móvel'!#REF!</f>
        <v>#REF!</v>
      </c>
      <c r="E86" s="149">
        <v>0</v>
      </c>
      <c r="F86" s="150" t="e">
        <f t="shared" si="1"/>
        <v>#REF!</v>
      </c>
      <c r="G86" s="150" t="e">
        <f t="shared" si="2"/>
        <v>#REF!</v>
      </c>
      <c r="H86" s="150" t="e">
        <f t="shared" si="3"/>
        <v>#REF!</v>
      </c>
      <c r="I86" s="150" t="e">
        <f t="shared" si="4"/>
        <v>#REF!</v>
      </c>
      <c r="J86" s="150" t="e">
        <f t="shared" si="5"/>
        <v>#REF!</v>
      </c>
      <c r="K86" s="151" t="e">
        <f t="shared" si="6"/>
        <v>#REF!</v>
      </c>
      <c r="L86" s="36" t="e">
        <f>'Combustão Móvel'!#REF!</f>
        <v>#REF!</v>
      </c>
      <c r="M86" s="40" t="e">
        <f>'Combustão Móvel'!#REF!</f>
        <v>#REF!</v>
      </c>
      <c r="N86" s="150"/>
      <c r="O86" s="150" t="e">
        <f t="shared" si="7"/>
        <v>#REF!</v>
      </c>
      <c r="P86" s="150"/>
      <c r="Q86" s="150"/>
      <c r="R86" s="150" t="e">
        <f t="shared" si="8"/>
        <v>#REF!</v>
      </c>
      <c r="S86" s="150" t="e">
        <f t="shared" si="9"/>
        <v>#REF!</v>
      </c>
      <c r="T86" s="161" t="e">
        <f t="shared" si="10"/>
        <v>#REF!</v>
      </c>
      <c r="U86" s="161" t="e">
        <f t="shared" si="11"/>
        <v>#REF!</v>
      </c>
      <c r="V86" s="134" t="e">
        <f t="shared" si="12"/>
        <v>#REF!</v>
      </c>
      <c r="W86" s="134" t="e">
        <f t="shared" si="13"/>
        <v>#REF!</v>
      </c>
      <c r="X86" s="134" t="e">
        <f t="shared" si="14"/>
        <v>#REF!</v>
      </c>
    </row>
    <row r="87" spans="2:24" ht="15.75" thickBot="1" x14ac:dyDescent="0.3">
      <c r="B87" s="1244"/>
      <c r="C87" s="54" t="e">
        <f>'Combustão Móvel'!#REF!</f>
        <v>#REF!</v>
      </c>
      <c r="D87" s="145" t="e">
        <f>'Combustão Móvel'!#REF!</f>
        <v>#REF!</v>
      </c>
      <c r="E87" s="149">
        <v>0</v>
      </c>
      <c r="F87" s="150" t="e">
        <f t="shared" si="1"/>
        <v>#REF!</v>
      </c>
      <c r="G87" s="150" t="e">
        <f t="shared" si="2"/>
        <v>#REF!</v>
      </c>
      <c r="H87" s="150" t="e">
        <f t="shared" si="3"/>
        <v>#REF!</v>
      </c>
      <c r="I87" s="150" t="e">
        <f t="shared" si="4"/>
        <v>#REF!</v>
      </c>
      <c r="J87" s="150" t="e">
        <f t="shared" si="5"/>
        <v>#REF!</v>
      </c>
      <c r="K87" s="151" t="e">
        <f t="shared" si="6"/>
        <v>#REF!</v>
      </c>
      <c r="L87" s="36" t="e">
        <f>'Combustão Móvel'!#REF!</f>
        <v>#REF!</v>
      </c>
      <c r="M87" s="40" t="e">
        <f>'Combustão Móvel'!#REF!</f>
        <v>#REF!</v>
      </c>
      <c r="N87" s="150"/>
      <c r="O87" s="150" t="e">
        <f t="shared" si="7"/>
        <v>#REF!</v>
      </c>
      <c r="P87" s="150"/>
      <c r="Q87" s="150"/>
      <c r="R87" s="150" t="e">
        <f t="shared" si="8"/>
        <v>#REF!</v>
      </c>
      <c r="S87" s="150" t="e">
        <f t="shared" si="9"/>
        <v>#REF!</v>
      </c>
      <c r="T87" s="161" t="e">
        <f t="shared" si="10"/>
        <v>#REF!</v>
      </c>
      <c r="U87" s="161" t="e">
        <f t="shared" si="11"/>
        <v>#REF!</v>
      </c>
      <c r="V87" s="134" t="e">
        <f t="shared" si="12"/>
        <v>#REF!</v>
      </c>
      <c r="W87" s="134" t="e">
        <f t="shared" si="13"/>
        <v>#REF!</v>
      </c>
      <c r="X87" s="134" t="e">
        <f t="shared" si="14"/>
        <v>#REF!</v>
      </c>
    </row>
    <row r="88" spans="2:24" ht="15.75" thickBot="1" x14ac:dyDescent="0.3">
      <c r="B88" s="1244"/>
      <c r="C88" s="54" t="e">
        <f>'Combustão Móvel'!#REF!</f>
        <v>#REF!</v>
      </c>
      <c r="D88" s="145" t="e">
        <f>'Combustão Móvel'!#REF!</f>
        <v>#REF!</v>
      </c>
      <c r="E88" s="149">
        <v>0</v>
      </c>
      <c r="F88" s="150" t="e">
        <f t="shared" si="1"/>
        <v>#REF!</v>
      </c>
      <c r="G88" s="150" t="e">
        <f t="shared" si="2"/>
        <v>#REF!</v>
      </c>
      <c r="H88" s="150" t="e">
        <f t="shared" si="3"/>
        <v>#REF!</v>
      </c>
      <c r="I88" s="150" t="e">
        <f t="shared" si="4"/>
        <v>#REF!</v>
      </c>
      <c r="J88" s="150" t="e">
        <f t="shared" si="5"/>
        <v>#REF!</v>
      </c>
      <c r="K88" s="151" t="e">
        <f t="shared" si="6"/>
        <v>#REF!</v>
      </c>
      <c r="L88" s="36" t="e">
        <f>'Combustão Móvel'!#REF!</f>
        <v>#REF!</v>
      </c>
      <c r="M88" s="40" t="e">
        <f>'Combustão Móvel'!#REF!</f>
        <v>#REF!</v>
      </c>
      <c r="N88" s="150"/>
      <c r="O88" s="150" t="e">
        <f t="shared" si="7"/>
        <v>#REF!</v>
      </c>
      <c r="P88" s="150"/>
      <c r="Q88" s="150"/>
      <c r="R88" s="150" t="e">
        <f t="shared" si="8"/>
        <v>#REF!</v>
      </c>
      <c r="S88" s="150" t="e">
        <f t="shared" si="9"/>
        <v>#REF!</v>
      </c>
      <c r="T88" s="161" t="e">
        <f t="shared" si="10"/>
        <v>#REF!</v>
      </c>
      <c r="U88" s="161" t="e">
        <f t="shared" si="11"/>
        <v>#REF!</v>
      </c>
      <c r="V88" s="134" t="e">
        <f t="shared" si="12"/>
        <v>#REF!</v>
      </c>
      <c r="W88" s="134" t="e">
        <f t="shared" si="13"/>
        <v>#REF!</v>
      </c>
      <c r="X88" s="134" t="e">
        <f t="shared" si="14"/>
        <v>#REF!</v>
      </c>
    </row>
    <row r="89" spans="2:24" ht="15.75" thickBot="1" x14ac:dyDescent="0.3">
      <c r="B89" s="1244"/>
      <c r="C89" s="54" t="e">
        <f>'Combustão Móvel'!#REF!</f>
        <v>#REF!</v>
      </c>
      <c r="D89" s="145" t="e">
        <f>'Combustão Móvel'!#REF!</f>
        <v>#REF!</v>
      </c>
      <c r="E89" s="149">
        <v>0</v>
      </c>
      <c r="F89" s="150" t="e">
        <f t="shared" si="1"/>
        <v>#REF!</v>
      </c>
      <c r="G89" s="150" t="e">
        <f t="shared" si="2"/>
        <v>#REF!</v>
      </c>
      <c r="H89" s="150" t="e">
        <f t="shared" si="3"/>
        <v>#REF!</v>
      </c>
      <c r="I89" s="150" t="e">
        <f t="shared" si="4"/>
        <v>#REF!</v>
      </c>
      <c r="J89" s="150" t="e">
        <f t="shared" si="5"/>
        <v>#REF!</v>
      </c>
      <c r="K89" s="151" t="e">
        <f t="shared" si="6"/>
        <v>#REF!</v>
      </c>
      <c r="L89" s="36" t="e">
        <f>'Combustão Móvel'!#REF!</f>
        <v>#REF!</v>
      </c>
      <c r="M89" s="40" t="e">
        <f>'Combustão Móvel'!#REF!</f>
        <v>#REF!</v>
      </c>
      <c r="N89" s="150"/>
      <c r="O89" s="150" t="e">
        <f t="shared" si="7"/>
        <v>#REF!</v>
      </c>
      <c r="P89" s="150"/>
      <c r="Q89" s="150"/>
      <c r="R89" s="150" t="e">
        <f t="shared" si="8"/>
        <v>#REF!</v>
      </c>
      <c r="S89" s="150" t="e">
        <f t="shared" si="9"/>
        <v>#REF!</v>
      </c>
      <c r="T89" s="161" t="e">
        <f t="shared" si="10"/>
        <v>#REF!</v>
      </c>
      <c r="U89" s="161" t="e">
        <f t="shared" si="11"/>
        <v>#REF!</v>
      </c>
      <c r="V89" s="134" t="e">
        <f t="shared" si="12"/>
        <v>#REF!</v>
      </c>
      <c r="W89" s="134" t="e">
        <f t="shared" si="13"/>
        <v>#REF!</v>
      </c>
      <c r="X89" s="134" t="e">
        <f t="shared" si="14"/>
        <v>#REF!</v>
      </c>
    </row>
    <row r="90" spans="2:24" ht="15.75" thickBot="1" x14ac:dyDescent="0.3">
      <c r="B90" s="1244"/>
      <c r="C90" s="54" t="e">
        <f>'Combustão Móvel'!#REF!</f>
        <v>#REF!</v>
      </c>
      <c r="D90" s="145" t="e">
        <f>'Combustão Móvel'!#REF!</f>
        <v>#REF!</v>
      </c>
      <c r="E90" s="149">
        <v>0</v>
      </c>
      <c r="F90" s="150" t="e">
        <f t="shared" si="1"/>
        <v>#REF!</v>
      </c>
      <c r="G90" s="150" t="e">
        <f t="shared" si="2"/>
        <v>#REF!</v>
      </c>
      <c r="H90" s="150" t="e">
        <f t="shared" si="3"/>
        <v>#REF!</v>
      </c>
      <c r="I90" s="150" t="e">
        <f t="shared" si="4"/>
        <v>#REF!</v>
      </c>
      <c r="J90" s="150" t="e">
        <f t="shared" si="5"/>
        <v>#REF!</v>
      </c>
      <c r="K90" s="151" t="e">
        <f t="shared" si="6"/>
        <v>#REF!</v>
      </c>
      <c r="L90" s="36" t="e">
        <f>'Combustão Móvel'!#REF!</f>
        <v>#REF!</v>
      </c>
      <c r="M90" s="40" t="e">
        <f>'Combustão Móvel'!#REF!</f>
        <v>#REF!</v>
      </c>
      <c r="N90" s="150"/>
      <c r="O90" s="150" t="e">
        <f t="shared" si="7"/>
        <v>#REF!</v>
      </c>
      <c r="P90" s="150"/>
      <c r="Q90" s="150"/>
      <c r="R90" s="150" t="e">
        <f t="shared" si="8"/>
        <v>#REF!</v>
      </c>
      <c r="S90" s="150" t="e">
        <f t="shared" si="9"/>
        <v>#REF!</v>
      </c>
      <c r="T90" s="161" t="e">
        <f t="shared" si="10"/>
        <v>#REF!</v>
      </c>
      <c r="U90" s="161" t="e">
        <f t="shared" si="11"/>
        <v>#REF!</v>
      </c>
      <c r="V90" s="134" t="e">
        <f t="shared" si="12"/>
        <v>#REF!</v>
      </c>
      <c r="W90" s="134" t="e">
        <f t="shared" si="13"/>
        <v>#REF!</v>
      </c>
      <c r="X90" s="134" t="e">
        <f t="shared" si="14"/>
        <v>#REF!</v>
      </c>
    </row>
    <row r="91" spans="2:24" ht="15.75" thickBot="1" x14ac:dyDescent="0.3">
      <c r="B91" s="1244"/>
      <c r="C91" s="54" t="e">
        <f>'Combustão Móvel'!#REF!</f>
        <v>#REF!</v>
      </c>
      <c r="D91" s="145" t="e">
        <f>'Combustão Móvel'!#REF!</f>
        <v>#REF!</v>
      </c>
      <c r="E91" s="149">
        <v>0</v>
      </c>
      <c r="F91" s="150" t="e">
        <f t="shared" si="1"/>
        <v>#REF!</v>
      </c>
      <c r="G91" s="150" t="e">
        <f t="shared" si="2"/>
        <v>#REF!</v>
      </c>
      <c r="H91" s="150" t="e">
        <f t="shared" si="3"/>
        <v>#REF!</v>
      </c>
      <c r="I91" s="150" t="e">
        <f t="shared" si="4"/>
        <v>#REF!</v>
      </c>
      <c r="J91" s="150" t="e">
        <f t="shared" si="5"/>
        <v>#REF!</v>
      </c>
      <c r="K91" s="151" t="e">
        <f t="shared" si="6"/>
        <v>#REF!</v>
      </c>
      <c r="L91" s="36" t="e">
        <f>'Combustão Móvel'!#REF!</f>
        <v>#REF!</v>
      </c>
      <c r="M91" s="40" t="e">
        <f>'Combustão Móvel'!#REF!</f>
        <v>#REF!</v>
      </c>
      <c r="N91" s="150"/>
      <c r="O91" s="150" t="e">
        <f t="shared" si="7"/>
        <v>#REF!</v>
      </c>
      <c r="P91" s="150"/>
      <c r="Q91" s="150"/>
      <c r="R91" s="150" t="e">
        <f t="shared" si="8"/>
        <v>#REF!</v>
      </c>
      <c r="S91" s="150" t="e">
        <f t="shared" si="9"/>
        <v>#REF!</v>
      </c>
      <c r="T91" s="161" t="e">
        <f t="shared" si="10"/>
        <v>#REF!</v>
      </c>
      <c r="U91" s="161" t="e">
        <f t="shared" si="11"/>
        <v>#REF!</v>
      </c>
      <c r="V91" s="134" t="e">
        <f t="shared" si="12"/>
        <v>#REF!</v>
      </c>
      <c r="W91" s="134" t="e">
        <f t="shared" si="13"/>
        <v>#REF!</v>
      </c>
      <c r="X91" s="134" t="e">
        <f t="shared" si="14"/>
        <v>#REF!</v>
      </c>
    </row>
    <row r="92" spans="2:24" ht="15.75" thickBot="1" x14ac:dyDescent="0.3">
      <c r="B92" s="1244"/>
      <c r="C92" s="54" t="e">
        <f>'Combustão Móvel'!#REF!</f>
        <v>#REF!</v>
      </c>
      <c r="D92" s="145" t="e">
        <f>'Combustão Móvel'!#REF!</f>
        <v>#REF!</v>
      </c>
      <c r="E92" s="149">
        <v>0</v>
      </c>
      <c r="F92" s="150" t="e">
        <f t="shared" si="1"/>
        <v>#REF!</v>
      </c>
      <c r="G92" s="150" t="e">
        <f t="shared" si="2"/>
        <v>#REF!</v>
      </c>
      <c r="H92" s="150" t="e">
        <f t="shared" si="3"/>
        <v>#REF!</v>
      </c>
      <c r="I92" s="150" t="e">
        <f t="shared" si="4"/>
        <v>#REF!</v>
      </c>
      <c r="J92" s="150" t="e">
        <f t="shared" si="5"/>
        <v>#REF!</v>
      </c>
      <c r="K92" s="151" t="e">
        <f t="shared" si="6"/>
        <v>#REF!</v>
      </c>
      <c r="L92" s="36" t="e">
        <f>'Combustão Móvel'!#REF!</f>
        <v>#REF!</v>
      </c>
      <c r="M92" s="40" t="e">
        <f>'Combustão Móvel'!#REF!</f>
        <v>#REF!</v>
      </c>
      <c r="N92" s="150"/>
      <c r="O92" s="150" t="e">
        <f t="shared" si="7"/>
        <v>#REF!</v>
      </c>
      <c r="P92" s="150"/>
      <c r="Q92" s="150"/>
      <c r="R92" s="150" t="e">
        <f t="shared" si="8"/>
        <v>#REF!</v>
      </c>
      <c r="S92" s="150" t="e">
        <f t="shared" si="9"/>
        <v>#REF!</v>
      </c>
      <c r="T92" s="161" t="e">
        <f t="shared" si="10"/>
        <v>#REF!</v>
      </c>
      <c r="U92" s="161" t="e">
        <f t="shared" si="11"/>
        <v>#REF!</v>
      </c>
      <c r="V92" s="134" t="e">
        <f t="shared" si="12"/>
        <v>#REF!</v>
      </c>
      <c r="W92" s="134" t="e">
        <f t="shared" si="13"/>
        <v>#REF!</v>
      </c>
      <c r="X92" s="134" t="e">
        <f t="shared" si="14"/>
        <v>#REF!</v>
      </c>
    </row>
    <row r="93" spans="2:24" ht="15.75" thickBot="1" x14ac:dyDescent="0.3">
      <c r="B93" s="1244"/>
      <c r="C93" s="54" t="e">
        <f>'Combustão Móvel'!#REF!</f>
        <v>#REF!</v>
      </c>
      <c r="D93" s="145" t="e">
        <f>'Combustão Móvel'!#REF!</f>
        <v>#REF!</v>
      </c>
      <c r="E93" s="149">
        <v>0</v>
      </c>
      <c r="F93" s="150" t="e">
        <f t="shared" si="1"/>
        <v>#REF!</v>
      </c>
      <c r="G93" s="150" t="e">
        <f t="shared" si="2"/>
        <v>#REF!</v>
      </c>
      <c r="H93" s="150" t="e">
        <f t="shared" si="3"/>
        <v>#REF!</v>
      </c>
      <c r="I93" s="150" t="e">
        <f t="shared" si="4"/>
        <v>#REF!</v>
      </c>
      <c r="J93" s="150" t="e">
        <f t="shared" si="5"/>
        <v>#REF!</v>
      </c>
      <c r="K93" s="151" t="e">
        <f t="shared" si="6"/>
        <v>#REF!</v>
      </c>
      <c r="L93" s="36" t="e">
        <f>'Combustão Móvel'!#REF!</f>
        <v>#REF!</v>
      </c>
      <c r="M93" s="40" t="e">
        <f>'Combustão Móvel'!#REF!</f>
        <v>#REF!</v>
      </c>
      <c r="N93" s="150"/>
      <c r="O93" s="150" t="e">
        <f t="shared" si="7"/>
        <v>#REF!</v>
      </c>
      <c r="P93" s="150"/>
      <c r="Q93" s="150"/>
      <c r="R93" s="150" t="e">
        <f t="shared" si="8"/>
        <v>#REF!</v>
      </c>
      <c r="S93" s="150" t="e">
        <f t="shared" si="9"/>
        <v>#REF!</v>
      </c>
      <c r="T93" s="161" t="e">
        <f t="shared" si="10"/>
        <v>#REF!</v>
      </c>
      <c r="U93" s="161" t="e">
        <f t="shared" si="11"/>
        <v>#REF!</v>
      </c>
      <c r="V93" s="134" t="e">
        <f t="shared" si="12"/>
        <v>#REF!</v>
      </c>
      <c r="W93" s="134" t="e">
        <f t="shared" si="13"/>
        <v>#REF!</v>
      </c>
      <c r="X93" s="134" t="e">
        <f t="shared" si="14"/>
        <v>#REF!</v>
      </c>
    </row>
    <row r="94" spans="2:24" ht="15.75" thickBot="1" x14ac:dyDescent="0.3">
      <c r="B94" s="1244"/>
      <c r="C94" s="54" t="e">
        <f>'Combustão Móvel'!#REF!</f>
        <v>#REF!</v>
      </c>
      <c r="D94" s="145" t="e">
        <f>'Combustão Móvel'!#REF!</f>
        <v>#REF!</v>
      </c>
      <c r="E94" s="149">
        <v>0</v>
      </c>
      <c r="F94" s="150" t="e">
        <f t="shared" si="1"/>
        <v>#REF!</v>
      </c>
      <c r="G94" s="150" t="e">
        <f t="shared" si="2"/>
        <v>#REF!</v>
      </c>
      <c r="H94" s="150" t="e">
        <f t="shared" si="3"/>
        <v>#REF!</v>
      </c>
      <c r="I94" s="150" t="e">
        <f t="shared" si="4"/>
        <v>#REF!</v>
      </c>
      <c r="J94" s="150" t="e">
        <f t="shared" si="5"/>
        <v>#REF!</v>
      </c>
      <c r="K94" s="151" t="e">
        <f t="shared" si="6"/>
        <v>#REF!</v>
      </c>
      <c r="L94" s="36" t="e">
        <f>'Combustão Móvel'!#REF!</f>
        <v>#REF!</v>
      </c>
      <c r="M94" s="40" t="e">
        <f>'Combustão Móvel'!#REF!</f>
        <v>#REF!</v>
      </c>
      <c r="N94" s="150"/>
      <c r="O94" s="150" t="e">
        <f t="shared" si="7"/>
        <v>#REF!</v>
      </c>
      <c r="P94" s="150"/>
      <c r="Q94" s="150"/>
      <c r="R94" s="150" t="e">
        <f t="shared" si="8"/>
        <v>#REF!</v>
      </c>
      <c r="S94" s="150" t="e">
        <f t="shared" si="9"/>
        <v>#REF!</v>
      </c>
      <c r="T94" s="161" t="e">
        <f t="shared" si="10"/>
        <v>#REF!</v>
      </c>
      <c r="U94" s="161" t="e">
        <f t="shared" si="11"/>
        <v>#REF!</v>
      </c>
      <c r="V94" s="134" t="e">
        <f t="shared" si="12"/>
        <v>#REF!</v>
      </c>
      <c r="W94" s="134" t="e">
        <f t="shared" si="13"/>
        <v>#REF!</v>
      </c>
      <c r="X94" s="134" t="e">
        <f t="shared" si="14"/>
        <v>#REF!</v>
      </c>
    </row>
    <row r="95" spans="2:24" ht="15.75" thickBot="1" x14ac:dyDescent="0.3">
      <c r="B95" s="1244"/>
      <c r="C95" s="54" t="e">
        <f>'Combustão Móvel'!#REF!</f>
        <v>#REF!</v>
      </c>
      <c r="D95" s="145" t="e">
        <f>'Combustão Móvel'!#REF!</f>
        <v>#REF!</v>
      </c>
      <c r="E95" s="149">
        <v>0</v>
      </c>
      <c r="F95" s="150" t="e">
        <f t="shared" si="1"/>
        <v>#REF!</v>
      </c>
      <c r="G95" s="150" t="e">
        <f t="shared" si="2"/>
        <v>#REF!</v>
      </c>
      <c r="H95" s="150" t="e">
        <f t="shared" si="3"/>
        <v>#REF!</v>
      </c>
      <c r="I95" s="150" t="e">
        <f t="shared" si="4"/>
        <v>#REF!</v>
      </c>
      <c r="J95" s="150" t="e">
        <f t="shared" si="5"/>
        <v>#REF!</v>
      </c>
      <c r="K95" s="151" t="e">
        <f t="shared" si="6"/>
        <v>#REF!</v>
      </c>
      <c r="L95" s="36" t="e">
        <f>'Combustão Móvel'!#REF!</f>
        <v>#REF!</v>
      </c>
      <c r="M95" s="40" t="e">
        <f>'Combustão Móvel'!#REF!</f>
        <v>#REF!</v>
      </c>
      <c r="N95" s="150"/>
      <c r="O95" s="150" t="e">
        <f t="shared" si="7"/>
        <v>#REF!</v>
      </c>
      <c r="P95" s="150"/>
      <c r="Q95" s="150"/>
      <c r="R95" s="150" t="e">
        <f t="shared" si="8"/>
        <v>#REF!</v>
      </c>
      <c r="S95" s="150" t="e">
        <f t="shared" si="9"/>
        <v>#REF!</v>
      </c>
      <c r="T95" s="161" t="e">
        <f t="shared" si="10"/>
        <v>#REF!</v>
      </c>
      <c r="U95" s="161" t="e">
        <f t="shared" si="11"/>
        <v>#REF!</v>
      </c>
      <c r="V95" s="134" t="e">
        <f t="shared" si="12"/>
        <v>#REF!</v>
      </c>
      <c r="W95" s="134" t="e">
        <f t="shared" si="13"/>
        <v>#REF!</v>
      </c>
      <c r="X95" s="134" t="e">
        <f t="shared" si="14"/>
        <v>#REF!</v>
      </c>
    </row>
    <row r="96" spans="2:24" ht="15.75" thickBot="1" x14ac:dyDescent="0.3">
      <c r="B96" s="1244"/>
      <c r="C96" s="54" t="e">
        <f>'Combustão Móvel'!#REF!</f>
        <v>#REF!</v>
      </c>
      <c r="D96" s="145" t="e">
        <f>'Combustão Móvel'!#REF!</f>
        <v>#REF!</v>
      </c>
      <c r="E96" s="149">
        <v>0</v>
      </c>
      <c r="F96" s="150" t="e">
        <f t="shared" si="1"/>
        <v>#REF!</v>
      </c>
      <c r="G96" s="150" t="e">
        <f t="shared" si="2"/>
        <v>#REF!</v>
      </c>
      <c r="H96" s="150" t="e">
        <f t="shared" si="3"/>
        <v>#REF!</v>
      </c>
      <c r="I96" s="150" t="e">
        <f t="shared" si="4"/>
        <v>#REF!</v>
      </c>
      <c r="J96" s="150" t="e">
        <f t="shared" si="5"/>
        <v>#REF!</v>
      </c>
      <c r="K96" s="151" t="e">
        <f t="shared" si="6"/>
        <v>#REF!</v>
      </c>
      <c r="L96" s="36" t="e">
        <f>'Combustão Móvel'!#REF!</f>
        <v>#REF!</v>
      </c>
      <c r="M96" s="40" t="e">
        <f>'Combustão Móvel'!#REF!</f>
        <v>#REF!</v>
      </c>
      <c r="N96" s="150"/>
      <c r="O96" s="150" t="e">
        <f t="shared" si="7"/>
        <v>#REF!</v>
      </c>
      <c r="P96" s="150"/>
      <c r="Q96" s="150"/>
      <c r="R96" s="150" t="e">
        <f t="shared" si="8"/>
        <v>#REF!</v>
      </c>
      <c r="S96" s="150" t="e">
        <f t="shared" si="9"/>
        <v>#REF!</v>
      </c>
      <c r="T96" s="161" t="e">
        <f t="shared" si="10"/>
        <v>#REF!</v>
      </c>
      <c r="U96" s="161" t="e">
        <f t="shared" si="11"/>
        <v>#REF!</v>
      </c>
      <c r="V96" s="134" t="e">
        <f t="shared" si="12"/>
        <v>#REF!</v>
      </c>
      <c r="W96" s="134" t="e">
        <f t="shared" si="13"/>
        <v>#REF!</v>
      </c>
      <c r="X96" s="134" t="e">
        <f t="shared" si="14"/>
        <v>#REF!</v>
      </c>
    </row>
    <row r="97" spans="2:24" ht="15.75" thickBot="1" x14ac:dyDescent="0.3">
      <c r="B97" s="1244"/>
      <c r="C97" s="54" t="e">
        <f>'Combustão Móvel'!#REF!</f>
        <v>#REF!</v>
      </c>
      <c r="D97" s="145" t="e">
        <f>'Combustão Móvel'!#REF!</f>
        <v>#REF!</v>
      </c>
      <c r="E97" s="149">
        <v>0</v>
      </c>
      <c r="F97" s="150" t="e">
        <f t="shared" si="1"/>
        <v>#REF!</v>
      </c>
      <c r="G97" s="150" t="e">
        <f t="shared" si="2"/>
        <v>#REF!</v>
      </c>
      <c r="H97" s="150" t="e">
        <f t="shared" si="3"/>
        <v>#REF!</v>
      </c>
      <c r="I97" s="150" t="e">
        <f t="shared" si="4"/>
        <v>#REF!</v>
      </c>
      <c r="J97" s="150" t="e">
        <f t="shared" si="5"/>
        <v>#REF!</v>
      </c>
      <c r="K97" s="151" t="e">
        <f t="shared" si="6"/>
        <v>#REF!</v>
      </c>
      <c r="L97" s="36" t="e">
        <f>'Combustão Móvel'!#REF!</f>
        <v>#REF!</v>
      </c>
      <c r="M97" s="40" t="e">
        <f>'Combustão Móvel'!#REF!</f>
        <v>#REF!</v>
      </c>
      <c r="N97" s="150"/>
      <c r="O97" s="150" t="e">
        <f t="shared" si="7"/>
        <v>#REF!</v>
      </c>
      <c r="P97" s="150"/>
      <c r="Q97" s="150"/>
      <c r="R97" s="150" t="e">
        <f t="shared" si="8"/>
        <v>#REF!</v>
      </c>
      <c r="S97" s="150" t="e">
        <f t="shared" si="9"/>
        <v>#REF!</v>
      </c>
      <c r="T97" s="161" t="e">
        <f t="shared" si="10"/>
        <v>#REF!</v>
      </c>
      <c r="U97" s="161" t="e">
        <f t="shared" si="11"/>
        <v>#REF!</v>
      </c>
      <c r="V97" s="134" t="e">
        <f t="shared" si="12"/>
        <v>#REF!</v>
      </c>
      <c r="W97" s="134" t="e">
        <f t="shared" si="13"/>
        <v>#REF!</v>
      </c>
      <c r="X97" s="134" t="e">
        <f t="shared" si="14"/>
        <v>#REF!</v>
      </c>
    </row>
    <row r="98" spans="2:24" ht="15.75" thickBot="1" x14ac:dyDescent="0.3">
      <c r="B98" s="1244"/>
      <c r="C98" s="54" t="e">
        <f>'Combustão Móvel'!#REF!</f>
        <v>#REF!</v>
      </c>
      <c r="D98" s="145" t="e">
        <f>'Combustão Móvel'!#REF!</f>
        <v>#REF!</v>
      </c>
      <c r="E98" s="149">
        <v>0</v>
      </c>
      <c r="F98" s="150" t="e">
        <f t="shared" ref="F98:F132" si="15">IF(C98=$F$32,D98,0)</f>
        <v>#REF!</v>
      </c>
      <c r="G98" s="150" t="e">
        <f t="shared" ref="G98:G132" si="16">IF(C98=$G$32,D98,0)</f>
        <v>#REF!</v>
      </c>
      <c r="H98" s="150" t="e">
        <f t="shared" ref="H98:H132" si="17">IF(C98=$H$32,D98,0)</f>
        <v>#REF!</v>
      </c>
      <c r="I98" s="150" t="e">
        <f t="shared" ref="I98:I132" si="18">IF(C98=$I$32,E98,0)</f>
        <v>#REF!</v>
      </c>
      <c r="J98" s="150" t="e">
        <f t="shared" ref="J98:J132" si="19">IF(C98=$J$32,E98,0)</f>
        <v>#REF!</v>
      </c>
      <c r="K98" s="151" t="e">
        <f t="shared" ref="K98:K132" si="20">IF(C98=$K$32,E98,0)</f>
        <v>#REF!</v>
      </c>
      <c r="L98" s="36" t="e">
        <f>'Combustão Móvel'!#REF!</f>
        <v>#REF!</v>
      </c>
      <c r="M98" s="40" t="e">
        <f>'Combustão Móvel'!#REF!</f>
        <v>#REF!</v>
      </c>
      <c r="N98" s="150"/>
      <c r="O98" s="150" t="e">
        <f t="shared" ref="O98:O161" si="21">IF($M98=$O$31,IF($L98=$B$26,$D98,0),0)</f>
        <v>#REF!</v>
      </c>
      <c r="P98" s="150"/>
      <c r="Q98" s="150"/>
      <c r="R98" s="150" t="e">
        <f t="shared" ref="R98:R161" si="22">IF($M98=$R$31,IF($L98=$B$26,$D98,0),0)</f>
        <v>#REF!</v>
      </c>
      <c r="S98" s="150" t="e">
        <f t="shared" ref="S98:S161" si="23">IF($M98=$S$31,IF($L98=$B$26,$D98,0),0)</f>
        <v>#REF!</v>
      </c>
      <c r="T98" s="161" t="e">
        <f t="shared" ref="T98:T161" si="24">IF($L98=$T$32,$D98,0)</f>
        <v>#REF!</v>
      </c>
      <c r="U98" s="161" t="e">
        <f t="shared" ref="U98:U161" si="25">IF($L98=$U$32,$D98,0)</f>
        <v>#REF!</v>
      </c>
      <c r="V98" s="134" t="e">
        <f t="shared" si="12"/>
        <v>#REF!</v>
      </c>
      <c r="W98" s="134" t="e">
        <f t="shared" si="13"/>
        <v>#REF!</v>
      </c>
      <c r="X98" s="134" t="e">
        <f t="shared" si="14"/>
        <v>#REF!</v>
      </c>
    </row>
    <row r="99" spans="2:24" ht="15.75" thickBot="1" x14ac:dyDescent="0.3">
      <c r="B99" s="1244"/>
      <c r="C99" s="54" t="e">
        <f>'Combustão Móvel'!#REF!</f>
        <v>#REF!</v>
      </c>
      <c r="D99" s="145" t="e">
        <f>'Combustão Móvel'!#REF!</f>
        <v>#REF!</v>
      </c>
      <c r="E99" s="149">
        <v>0</v>
      </c>
      <c r="F99" s="150" t="e">
        <f t="shared" si="15"/>
        <v>#REF!</v>
      </c>
      <c r="G99" s="150" t="e">
        <f t="shared" si="16"/>
        <v>#REF!</v>
      </c>
      <c r="H99" s="150" t="e">
        <f t="shared" si="17"/>
        <v>#REF!</v>
      </c>
      <c r="I99" s="150" t="e">
        <f t="shared" si="18"/>
        <v>#REF!</v>
      </c>
      <c r="J99" s="150" t="e">
        <f t="shared" si="19"/>
        <v>#REF!</v>
      </c>
      <c r="K99" s="151" t="e">
        <f t="shared" si="20"/>
        <v>#REF!</v>
      </c>
      <c r="L99" s="36" t="e">
        <f>'Combustão Móvel'!#REF!</f>
        <v>#REF!</v>
      </c>
      <c r="M99" s="40" t="e">
        <f>'Combustão Móvel'!#REF!</f>
        <v>#REF!</v>
      </c>
      <c r="N99" s="150"/>
      <c r="O99" s="150" t="e">
        <f t="shared" si="21"/>
        <v>#REF!</v>
      </c>
      <c r="P99" s="150"/>
      <c r="Q99" s="150"/>
      <c r="R99" s="150" t="e">
        <f t="shared" si="22"/>
        <v>#REF!</v>
      </c>
      <c r="S99" s="150" t="e">
        <f t="shared" si="23"/>
        <v>#REF!</v>
      </c>
      <c r="T99" s="161" t="e">
        <f t="shared" si="24"/>
        <v>#REF!</v>
      </c>
      <c r="U99" s="161" t="e">
        <f t="shared" si="25"/>
        <v>#REF!</v>
      </c>
      <c r="V99" s="134" t="e">
        <f t="shared" si="12"/>
        <v>#REF!</v>
      </c>
      <c r="W99" s="134" t="e">
        <f t="shared" si="13"/>
        <v>#REF!</v>
      </c>
      <c r="X99" s="134" t="e">
        <f t="shared" si="14"/>
        <v>#REF!</v>
      </c>
    </row>
    <row r="100" spans="2:24" ht="15.75" thickBot="1" x14ac:dyDescent="0.3">
      <c r="B100" s="1244"/>
      <c r="C100" s="54" t="e">
        <f>'Combustão Móvel'!#REF!</f>
        <v>#REF!</v>
      </c>
      <c r="D100" s="145" t="e">
        <f>'Combustão Móvel'!#REF!</f>
        <v>#REF!</v>
      </c>
      <c r="E100" s="149">
        <v>0</v>
      </c>
      <c r="F100" s="150" t="e">
        <f t="shared" si="15"/>
        <v>#REF!</v>
      </c>
      <c r="G100" s="150" t="e">
        <f t="shared" si="16"/>
        <v>#REF!</v>
      </c>
      <c r="H100" s="150" t="e">
        <f t="shared" si="17"/>
        <v>#REF!</v>
      </c>
      <c r="I100" s="150" t="e">
        <f t="shared" si="18"/>
        <v>#REF!</v>
      </c>
      <c r="J100" s="150" t="e">
        <f t="shared" si="19"/>
        <v>#REF!</v>
      </c>
      <c r="K100" s="151" t="e">
        <f t="shared" si="20"/>
        <v>#REF!</v>
      </c>
      <c r="L100" s="36" t="e">
        <f>'Combustão Móvel'!#REF!</f>
        <v>#REF!</v>
      </c>
      <c r="M100" s="40" t="e">
        <f>'Combustão Móvel'!#REF!</f>
        <v>#REF!</v>
      </c>
      <c r="N100" s="150"/>
      <c r="O100" s="150" t="e">
        <f t="shared" si="21"/>
        <v>#REF!</v>
      </c>
      <c r="P100" s="150"/>
      <c r="Q100" s="150"/>
      <c r="R100" s="150" t="e">
        <f t="shared" si="22"/>
        <v>#REF!</v>
      </c>
      <c r="S100" s="150" t="e">
        <f t="shared" si="23"/>
        <v>#REF!</v>
      </c>
      <c r="T100" s="161" t="e">
        <f t="shared" si="24"/>
        <v>#REF!</v>
      </c>
      <c r="U100" s="161" t="e">
        <f t="shared" si="25"/>
        <v>#REF!</v>
      </c>
      <c r="V100" s="134" t="e">
        <f t="shared" si="12"/>
        <v>#REF!</v>
      </c>
      <c r="W100" s="134" t="e">
        <f t="shared" si="13"/>
        <v>#REF!</v>
      </c>
      <c r="X100" s="134" t="e">
        <f t="shared" si="14"/>
        <v>#REF!</v>
      </c>
    </row>
    <row r="101" spans="2:24" ht="15.75" thickBot="1" x14ac:dyDescent="0.3">
      <c r="B101" s="1244"/>
      <c r="C101" s="54" t="e">
        <f>'Combustão Móvel'!#REF!</f>
        <v>#REF!</v>
      </c>
      <c r="D101" s="145" t="e">
        <f>'Combustão Móvel'!#REF!</f>
        <v>#REF!</v>
      </c>
      <c r="E101" s="149">
        <v>0</v>
      </c>
      <c r="F101" s="150" t="e">
        <f t="shared" si="15"/>
        <v>#REF!</v>
      </c>
      <c r="G101" s="150" t="e">
        <f t="shared" si="16"/>
        <v>#REF!</v>
      </c>
      <c r="H101" s="150" t="e">
        <f t="shared" si="17"/>
        <v>#REF!</v>
      </c>
      <c r="I101" s="150" t="e">
        <f t="shared" si="18"/>
        <v>#REF!</v>
      </c>
      <c r="J101" s="150" t="e">
        <f t="shared" si="19"/>
        <v>#REF!</v>
      </c>
      <c r="K101" s="151" t="e">
        <f t="shared" si="20"/>
        <v>#REF!</v>
      </c>
      <c r="L101" s="36" t="e">
        <f>'Combustão Móvel'!#REF!</f>
        <v>#REF!</v>
      </c>
      <c r="M101" s="40" t="e">
        <f>'Combustão Móvel'!#REF!</f>
        <v>#REF!</v>
      </c>
      <c r="N101" s="150"/>
      <c r="O101" s="150" t="e">
        <f t="shared" si="21"/>
        <v>#REF!</v>
      </c>
      <c r="P101" s="150"/>
      <c r="Q101" s="150"/>
      <c r="R101" s="150" t="e">
        <f t="shared" si="22"/>
        <v>#REF!</v>
      </c>
      <c r="S101" s="150" t="e">
        <f t="shared" si="23"/>
        <v>#REF!</v>
      </c>
      <c r="T101" s="161" t="e">
        <f t="shared" si="24"/>
        <v>#REF!</v>
      </c>
      <c r="U101" s="161" t="e">
        <f t="shared" si="25"/>
        <v>#REF!</v>
      </c>
      <c r="V101" s="134" t="e">
        <f t="shared" ref="V101:V164" si="26">IF($L101="Não",F101,"")</f>
        <v>#REF!</v>
      </c>
      <c r="W101" s="134" t="e">
        <f t="shared" ref="W101:W164" si="27">IF($L101="Não",G101,"")</f>
        <v>#REF!</v>
      </c>
      <c r="X101" s="134" t="e">
        <f t="shared" ref="X101:X164" si="28">IF($L101="Não",H101,"")</f>
        <v>#REF!</v>
      </c>
    </row>
    <row r="102" spans="2:24" ht="15.75" thickBot="1" x14ac:dyDescent="0.3">
      <c r="B102" s="1244"/>
      <c r="C102" s="54" t="e">
        <f>'Combustão Móvel'!#REF!</f>
        <v>#REF!</v>
      </c>
      <c r="D102" s="145" t="e">
        <f>'Combustão Móvel'!#REF!</f>
        <v>#REF!</v>
      </c>
      <c r="E102" s="149">
        <v>0</v>
      </c>
      <c r="F102" s="150" t="e">
        <f t="shared" si="15"/>
        <v>#REF!</v>
      </c>
      <c r="G102" s="150" t="e">
        <f t="shared" si="16"/>
        <v>#REF!</v>
      </c>
      <c r="H102" s="150" t="e">
        <f t="shared" si="17"/>
        <v>#REF!</v>
      </c>
      <c r="I102" s="150" t="e">
        <f t="shared" si="18"/>
        <v>#REF!</v>
      </c>
      <c r="J102" s="150" t="e">
        <f t="shared" si="19"/>
        <v>#REF!</v>
      </c>
      <c r="K102" s="151" t="e">
        <f t="shared" si="20"/>
        <v>#REF!</v>
      </c>
      <c r="L102" s="36" t="e">
        <f>'Combustão Móvel'!#REF!</f>
        <v>#REF!</v>
      </c>
      <c r="M102" s="40" t="e">
        <f>'Combustão Móvel'!#REF!</f>
        <v>#REF!</v>
      </c>
      <c r="N102" s="150"/>
      <c r="O102" s="150" t="e">
        <f t="shared" si="21"/>
        <v>#REF!</v>
      </c>
      <c r="P102" s="150"/>
      <c r="Q102" s="150"/>
      <c r="R102" s="150" t="e">
        <f t="shared" si="22"/>
        <v>#REF!</v>
      </c>
      <c r="S102" s="150" t="e">
        <f t="shared" si="23"/>
        <v>#REF!</v>
      </c>
      <c r="T102" s="161" t="e">
        <f t="shared" si="24"/>
        <v>#REF!</v>
      </c>
      <c r="U102" s="161" t="e">
        <f t="shared" si="25"/>
        <v>#REF!</v>
      </c>
      <c r="V102" s="134" t="e">
        <f t="shared" si="26"/>
        <v>#REF!</v>
      </c>
      <c r="W102" s="134" t="e">
        <f t="shared" si="27"/>
        <v>#REF!</v>
      </c>
      <c r="X102" s="134" t="e">
        <f t="shared" si="28"/>
        <v>#REF!</v>
      </c>
    </row>
    <row r="103" spans="2:24" ht="15.75" thickBot="1" x14ac:dyDescent="0.3">
      <c r="B103" s="1244"/>
      <c r="C103" s="54" t="e">
        <f>'Combustão Móvel'!#REF!</f>
        <v>#REF!</v>
      </c>
      <c r="D103" s="145" t="e">
        <f>'Combustão Móvel'!#REF!</f>
        <v>#REF!</v>
      </c>
      <c r="E103" s="149">
        <v>0</v>
      </c>
      <c r="F103" s="150" t="e">
        <f t="shared" si="15"/>
        <v>#REF!</v>
      </c>
      <c r="G103" s="150" t="e">
        <f t="shared" si="16"/>
        <v>#REF!</v>
      </c>
      <c r="H103" s="150" t="e">
        <f t="shared" si="17"/>
        <v>#REF!</v>
      </c>
      <c r="I103" s="150" t="e">
        <f t="shared" si="18"/>
        <v>#REF!</v>
      </c>
      <c r="J103" s="150" t="e">
        <f t="shared" si="19"/>
        <v>#REF!</v>
      </c>
      <c r="K103" s="151" t="e">
        <f t="shared" si="20"/>
        <v>#REF!</v>
      </c>
      <c r="L103" s="36" t="e">
        <f>'Combustão Móvel'!#REF!</f>
        <v>#REF!</v>
      </c>
      <c r="M103" s="40" t="e">
        <f>'Combustão Móvel'!#REF!</f>
        <v>#REF!</v>
      </c>
      <c r="N103" s="150"/>
      <c r="O103" s="150" t="e">
        <f t="shared" si="21"/>
        <v>#REF!</v>
      </c>
      <c r="P103" s="150"/>
      <c r="Q103" s="150"/>
      <c r="R103" s="150" t="e">
        <f t="shared" si="22"/>
        <v>#REF!</v>
      </c>
      <c r="S103" s="150" t="e">
        <f t="shared" si="23"/>
        <v>#REF!</v>
      </c>
      <c r="T103" s="161" t="e">
        <f t="shared" si="24"/>
        <v>#REF!</v>
      </c>
      <c r="U103" s="161" t="e">
        <f t="shared" si="25"/>
        <v>#REF!</v>
      </c>
      <c r="V103" s="134" t="e">
        <f t="shared" si="26"/>
        <v>#REF!</v>
      </c>
      <c r="W103" s="134" t="e">
        <f t="shared" si="27"/>
        <v>#REF!</v>
      </c>
      <c r="X103" s="134" t="e">
        <f t="shared" si="28"/>
        <v>#REF!</v>
      </c>
    </row>
    <row r="104" spans="2:24" ht="15.75" thickBot="1" x14ac:dyDescent="0.3">
      <c r="B104" s="1244"/>
      <c r="C104" s="54" t="e">
        <f>'Combustão Móvel'!#REF!</f>
        <v>#REF!</v>
      </c>
      <c r="D104" s="145" t="e">
        <f>'Combustão Móvel'!#REF!</f>
        <v>#REF!</v>
      </c>
      <c r="E104" s="149">
        <v>0</v>
      </c>
      <c r="F104" s="150" t="e">
        <f t="shared" si="15"/>
        <v>#REF!</v>
      </c>
      <c r="G104" s="150" t="e">
        <f t="shared" si="16"/>
        <v>#REF!</v>
      </c>
      <c r="H104" s="150" t="e">
        <f t="shared" si="17"/>
        <v>#REF!</v>
      </c>
      <c r="I104" s="150" t="e">
        <f t="shared" si="18"/>
        <v>#REF!</v>
      </c>
      <c r="J104" s="150" t="e">
        <f t="shared" si="19"/>
        <v>#REF!</v>
      </c>
      <c r="K104" s="151" t="e">
        <f t="shared" si="20"/>
        <v>#REF!</v>
      </c>
      <c r="L104" s="36" t="e">
        <f>'Combustão Móvel'!#REF!</f>
        <v>#REF!</v>
      </c>
      <c r="M104" s="40" t="e">
        <f>'Combustão Móvel'!#REF!</f>
        <v>#REF!</v>
      </c>
      <c r="N104" s="150"/>
      <c r="O104" s="150" t="e">
        <f t="shared" si="21"/>
        <v>#REF!</v>
      </c>
      <c r="P104" s="150"/>
      <c r="Q104" s="150"/>
      <c r="R104" s="150" t="e">
        <f t="shared" si="22"/>
        <v>#REF!</v>
      </c>
      <c r="S104" s="150" t="e">
        <f t="shared" si="23"/>
        <v>#REF!</v>
      </c>
      <c r="T104" s="161" t="e">
        <f t="shared" si="24"/>
        <v>#REF!</v>
      </c>
      <c r="U104" s="161" t="e">
        <f t="shared" si="25"/>
        <v>#REF!</v>
      </c>
      <c r="V104" s="134" t="e">
        <f t="shared" si="26"/>
        <v>#REF!</v>
      </c>
      <c r="W104" s="134" t="e">
        <f t="shared" si="27"/>
        <v>#REF!</v>
      </c>
      <c r="X104" s="134" t="e">
        <f t="shared" si="28"/>
        <v>#REF!</v>
      </c>
    </row>
    <row r="105" spans="2:24" ht="15.75" thickBot="1" x14ac:dyDescent="0.3">
      <c r="B105" s="1244"/>
      <c r="C105" s="54" t="e">
        <f>'Combustão Móvel'!#REF!</f>
        <v>#REF!</v>
      </c>
      <c r="D105" s="145" t="e">
        <f>'Combustão Móvel'!#REF!</f>
        <v>#REF!</v>
      </c>
      <c r="E105" s="149">
        <v>0</v>
      </c>
      <c r="F105" s="150" t="e">
        <f t="shared" si="15"/>
        <v>#REF!</v>
      </c>
      <c r="G105" s="150" t="e">
        <f t="shared" si="16"/>
        <v>#REF!</v>
      </c>
      <c r="H105" s="150" t="e">
        <f t="shared" si="17"/>
        <v>#REF!</v>
      </c>
      <c r="I105" s="150" t="e">
        <f t="shared" si="18"/>
        <v>#REF!</v>
      </c>
      <c r="J105" s="150" t="e">
        <f t="shared" si="19"/>
        <v>#REF!</v>
      </c>
      <c r="K105" s="151" t="e">
        <f t="shared" si="20"/>
        <v>#REF!</v>
      </c>
      <c r="L105" s="36" t="e">
        <f>'Combustão Móvel'!#REF!</f>
        <v>#REF!</v>
      </c>
      <c r="M105" s="40" t="e">
        <f>'Combustão Móvel'!#REF!</f>
        <v>#REF!</v>
      </c>
      <c r="N105" s="150"/>
      <c r="O105" s="150" t="e">
        <f t="shared" si="21"/>
        <v>#REF!</v>
      </c>
      <c r="P105" s="150"/>
      <c r="Q105" s="150"/>
      <c r="R105" s="150" t="e">
        <f t="shared" si="22"/>
        <v>#REF!</v>
      </c>
      <c r="S105" s="150" t="e">
        <f t="shared" si="23"/>
        <v>#REF!</v>
      </c>
      <c r="T105" s="161" t="e">
        <f t="shared" si="24"/>
        <v>#REF!</v>
      </c>
      <c r="U105" s="161" t="e">
        <f t="shared" si="25"/>
        <v>#REF!</v>
      </c>
      <c r="V105" s="134" t="e">
        <f t="shared" si="26"/>
        <v>#REF!</v>
      </c>
      <c r="W105" s="134" t="e">
        <f t="shared" si="27"/>
        <v>#REF!</v>
      </c>
      <c r="X105" s="134" t="e">
        <f t="shared" si="28"/>
        <v>#REF!</v>
      </c>
    </row>
    <row r="106" spans="2:24" ht="15.75" thickBot="1" x14ac:dyDescent="0.3">
      <c r="B106" s="1244"/>
      <c r="C106" s="54" t="e">
        <f>'Combustão Móvel'!#REF!</f>
        <v>#REF!</v>
      </c>
      <c r="D106" s="145" t="e">
        <f>'Combustão Móvel'!#REF!</f>
        <v>#REF!</v>
      </c>
      <c r="E106" s="149">
        <v>0</v>
      </c>
      <c r="F106" s="150" t="e">
        <f t="shared" si="15"/>
        <v>#REF!</v>
      </c>
      <c r="G106" s="150" t="e">
        <f t="shared" si="16"/>
        <v>#REF!</v>
      </c>
      <c r="H106" s="150" t="e">
        <f t="shared" si="17"/>
        <v>#REF!</v>
      </c>
      <c r="I106" s="150" t="e">
        <f t="shared" si="18"/>
        <v>#REF!</v>
      </c>
      <c r="J106" s="150" t="e">
        <f t="shared" si="19"/>
        <v>#REF!</v>
      </c>
      <c r="K106" s="151" t="e">
        <f t="shared" si="20"/>
        <v>#REF!</v>
      </c>
      <c r="L106" s="36" t="e">
        <f>'Combustão Móvel'!#REF!</f>
        <v>#REF!</v>
      </c>
      <c r="M106" s="40" t="e">
        <f>'Combustão Móvel'!#REF!</f>
        <v>#REF!</v>
      </c>
      <c r="N106" s="150"/>
      <c r="O106" s="150" t="e">
        <f t="shared" si="21"/>
        <v>#REF!</v>
      </c>
      <c r="P106" s="150"/>
      <c r="Q106" s="150"/>
      <c r="R106" s="150" t="e">
        <f t="shared" si="22"/>
        <v>#REF!</v>
      </c>
      <c r="S106" s="150" t="e">
        <f t="shared" si="23"/>
        <v>#REF!</v>
      </c>
      <c r="T106" s="161" t="e">
        <f t="shared" si="24"/>
        <v>#REF!</v>
      </c>
      <c r="U106" s="161" t="e">
        <f t="shared" si="25"/>
        <v>#REF!</v>
      </c>
      <c r="V106" s="134" t="e">
        <f t="shared" si="26"/>
        <v>#REF!</v>
      </c>
      <c r="W106" s="134" t="e">
        <f t="shared" si="27"/>
        <v>#REF!</v>
      </c>
      <c r="X106" s="134" t="e">
        <f t="shared" si="28"/>
        <v>#REF!</v>
      </c>
    </row>
    <row r="107" spans="2:24" ht="15.75" thickBot="1" x14ac:dyDescent="0.3">
      <c r="B107" s="1244"/>
      <c r="C107" s="54" t="e">
        <f>'Combustão Móvel'!#REF!</f>
        <v>#REF!</v>
      </c>
      <c r="D107" s="145" t="e">
        <f>'Combustão Móvel'!#REF!</f>
        <v>#REF!</v>
      </c>
      <c r="E107" s="149">
        <v>0</v>
      </c>
      <c r="F107" s="150" t="e">
        <f t="shared" si="15"/>
        <v>#REF!</v>
      </c>
      <c r="G107" s="150" t="e">
        <f t="shared" si="16"/>
        <v>#REF!</v>
      </c>
      <c r="H107" s="150" t="e">
        <f t="shared" si="17"/>
        <v>#REF!</v>
      </c>
      <c r="I107" s="150" t="e">
        <f t="shared" si="18"/>
        <v>#REF!</v>
      </c>
      <c r="J107" s="150" t="e">
        <f t="shared" si="19"/>
        <v>#REF!</v>
      </c>
      <c r="K107" s="151" t="e">
        <f t="shared" si="20"/>
        <v>#REF!</v>
      </c>
      <c r="L107" s="36" t="e">
        <f>'Combustão Móvel'!#REF!</f>
        <v>#REF!</v>
      </c>
      <c r="M107" s="40" t="e">
        <f>'Combustão Móvel'!#REF!</f>
        <v>#REF!</v>
      </c>
      <c r="N107" s="150"/>
      <c r="O107" s="150" t="e">
        <f t="shared" si="21"/>
        <v>#REF!</v>
      </c>
      <c r="P107" s="150"/>
      <c r="Q107" s="150"/>
      <c r="R107" s="150" t="e">
        <f t="shared" si="22"/>
        <v>#REF!</v>
      </c>
      <c r="S107" s="150" t="e">
        <f t="shared" si="23"/>
        <v>#REF!</v>
      </c>
      <c r="T107" s="161" t="e">
        <f t="shared" si="24"/>
        <v>#REF!</v>
      </c>
      <c r="U107" s="161" t="e">
        <f t="shared" si="25"/>
        <v>#REF!</v>
      </c>
      <c r="V107" s="134" t="e">
        <f t="shared" si="26"/>
        <v>#REF!</v>
      </c>
      <c r="W107" s="134" t="e">
        <f t="shared" si="27"/>
        <v>#REF!</v>
      </c>
      <c r="X107" s="134" t="e">
        <f t="shared" si="28"/>
        <v>#REF!</v>
      </c>
    </row>
    <row r="108" spans="2:24" ht="15.75" thickBot="1" x14ac:dyDescent="0.3">
      <c r="B108" s="1244"/>
      <c r="C108" s="54" t="e">
        <f>'Combustão Móvel'!#REF!</f>
        <v>#REF!</v>
      </c>
      <c r="D108" s="145" t="e">
        <f>'Combustão Móvel'!#REF!</f>
        <v>#REF!</v>
      </c>
      <c r="E108" s="149">
        <v>0</v>
      </c>
      <c r="F108" s="150" t="e">
        <f t="shared" si="15"/>
        <v>#REF!</v>
      </c>
      <c r="G108" s="150" t="e">
        <f t="shared" si="16"/>
        <v>#REF!</v>
      </c>
      <c r="H108" s="150" t="e">
        <f t="shared" si="17"/>
        <v>#REF!</v>
      </c>
      <c r="I108" s="150" t="e">
        <f t="shared" si="18"/>
        <v>#REF!</v>
      </c>
      <c r="J108" s="150" t="e">
        <f t="shared" si="19"/>
        <v>#REF!</v>
      </c>
      <c r="K108" s="151" t="e">
        <f t="shared" si="20"/>
        <v>#REF!</v>
      </c>
      <c r="L108" s="36" t="e">
        <f>'Combustão Móvel'!#REF!</f>
        <v>#REF!</v>
      </c>
      <c r="M108" s="40" t="e">
        <f>'Combustão Móvel'!#REF!</f>
        <v>#REF!</v>
      </c>
      <c r="N108" s="150"/>
      <c r="O108" s="150" t="e">
        <f t="shared" si="21"/>
        <v>#REF!</v>
      </c>
      <c r="P108" s="150"/>
      <c r="Q108" s="150"/>
      <c r="R108" s="150" t="e">
        <f t="shared" si="22"/>
        <v>#REF!</v>
      </c>
      <c r="S108" s="150" t="e">
        <f t="shared" si="23"/>
        <v>#REF!</v>
      </c>
      <c r="T108" s="161" t="e">
        <f t="shared" si="24"/>
        <v>#REF!</v>
      </c>
      <c r="U108" s="161" t="e">
        <f t="shared" si="25"/>
        <v>#REF!</v>
      </c>
      <c r="V108" s="134" t="e">
        <f t="shared" si="26"/>
        <v>#REF!</v>
      </c>
      <c r="W108" s="134" t="e">
        <f t="shared" si="27"/>
        <v>#REF!</v>
      </c>
      <c r="X108" s="134" t="e">
        <f t="shared" si="28"/>
        <v>#REF!</v>
      </c>
    </row>
    <row r="109" spans="2:24" ht="15.75" thickBot="1" x14ac:dyDescent="0.3">
      <c r="B109" s="1244"/>
      <c r="C109" s="54" t="e">
        <f>'Combustão Móvel'!#REF!</f>
        <v>#REF!</v>
      </c>
      <c r="D109" s="145" t="e">
        <f>'Combustão Móvel'!#REF!</f>
        <v>#REF!</v>
      </c>
      <c r="E109" s="149">
        <v>0</v>
      </c>
      <c r="F109" s="150" t="e">
        <f t="shared" si="15"/>
        <v>#REF!</v>
      </c>
      <c r="G109" s="150" t="e">
        <f t="shared" si="16"/>
        <v>#REF!</v>
      </c>
      <c r="H109" s="150" t="e">
        <f t="shared" si="17"/>
        <v>#REF!</v>
      </c>
      <c r="I109" s="150" t="e">
        <f t="shared" si="18"/>
        <v>#REF!</v>
      </c>
      <c r="J109" s="150" t="e">
        <f t="shared" si="19"/>
        <v>#REF!</v>
      </c>
      <c r="K109" s="151" t="e">
        <f t="shared" si="20"/>
        <v>#REF!</v>
      </c>
      <c r="L109" s="36" t="e">
        <f>'Combustão Móvel'!#REF!</f>
        <v>#REF!</v>
      </c>
      <c r="M109" s="40" t="e">
        <f>'Combustão Móvel'!#REF!</f>
        <v>#REF!</v>
      </c>
      <c r="N109" s="150"/>
      <c r="O109" s="150" t="e">
        <f t="shared" si="21"/>
        <v>#REF!</v>
      </c>
      <c r="P109" s="150"/>
      <c r="Q109" s="150"/>
      <c r="R109" s="150" t="e">
        <f t="shared" si="22"/>
        <v>#REF!</v>
      </c>
      <c r="S109" s="150" t="e">
        <f t="shared" si="23"/>
        <v>#REF!</v>
      </c>
      <c r="T109" s="161" t="e">
        <f t="shared" si="24"/>
        <v>#REF!</v>
      </c>
      <c r="U109" s="161" t="e">
        <f t="shared" si="25"/>
        <v>#REF!</v>
      </c>
      <c r="V109" s="134" t="e">
        <f t="shared" si="26"/>
        <v>#REF!</v>
      </c>
      <c r="W109" s="134" t="e">
        <f t="shared" si="27"/>
        <v>#REF!</v>
      </c>
      <c r="X109" s="134" t="e">
        <f t="shared" si="28"/>
        <v>#REF!</v>
      </c>
    </row>
    <row r="110" spans="2:24" ht="15.75" thickBot="1" x14ac:dyDescent="0.3">
      <c r="B110" s="1244"/>
      <c r="C110" s="54" t="e">
        <f>'Combustão Móvel'!#REF!</f>
        <v>#REF!</v>
      </c>
      <c r="D110" s="145" t="e">
        <f>'Combustão Móvel'!#REF!</f>
        <v>#REF!</v>
      </c>
      <c r="E110" s="149">
        <v>0</v>
      </c>
      <c r="F110" s="150" t="e">
        <f t="shared" si="15"/>
        <v>#REF!</v>
      </c>
      <c r="G110" s="150" t="e">
        <f t="shared" si="16"/>
        <v>#REF!</v>
      </c>
      <c r="H110" s="150" t="e">
        <f t="shared" si="17"/>
        <v>#REF!</v>
      </c>
      <c r="I110" s="150" t="e">
        <f t="shared" si="18"/>
        <v>#REF!</v>
      </c>
      <c r="J110" s="150" t="e">
        <f t="shared" si="19"/>
        <v>#REF!</v>
      </c>
      <c r="K110" s="151" t="e">
        <f t="shared" si="20"/>
        <v>#REF!</v>
      </c>
      <c r="L110" s="36" t="e">
        <f>'Combustão Móvel'!#REF!</f>
        <v>#REF!</v>
      </c>
      <c r="M110" s="40" t="e">
        <f>'Combustão Móvel'!#REF!</f>
        <v>#REF!</v>
      </c>
      <c r="N110" s="150"/>
      <c r="O110" s="150" t="e">
        <f t="shared" si="21"/>
        <v>#REF!</v>
      </c>
      <c r="P110" s="150"/>
      <c r="Q110" s="150"/>
      <c r="R110" s="150" t="e">
        <f t="shared" si="22"/>
        <v>#REF!</v>
      </c>
      <c r="S110" s="150" t="e">
        <f t="shared" si="23"/>
        <v>#REF!</v>
      </c>
      <c r="T110" s="161" t="e">
        <f t="shared" si="24"/>
        <v>#REF!</v>
      </c>
      <c r="U110" s="161" t="e">
        <f t="shared" si="25"/>
        <v>#REF!</v>
      </c>
      <c r="V110" s="134" t="e">
        <f t="shared" si="26"/>
        <v>#REF!</v>
      </c>
      <c r="W110" s="134" t="e">
        <f t="shared" si="27"/>
        <v>#REF!</v>
      </c>
      <c r="X110" s="134" t="e">
        <f t="shared" si="28"/>
        <v>#REF!</v>
      </c>
    </row>
    <row r="111" spans="2:24" ht="15.75" thickBot="1" x14ac:dyDescent="0.3">
      <c r="B111" s="1244"/>
      <c r="C111" s="54" t="e">
        <f>'Combustão Móvel'!#REF!</f>
        <v>#REF!</v>
      </c>
      <c r="D111" s="145" t="e">
        <f>'Combustão Móvel'!#REF!</f>
        <v>#REF!</v>
      </c>
      <c r="E111" s="149">
        <v>0</v>
      </c>
      <c r="F111" s="150" t="e">
        <f t="shared" si="15"/>
        <v>#REF!</v>
      </c>
      <c r="G111" s="150" t="e">
        <f t="shared" si="16"/>
        <v>#REF!</v>
      </c>
      <c r="H111" s="150" t="e">
        <f t="shared" si="17"/>
        <v>#REF!</v>
      </c>
      <c r="I111" s="150" t="e">
        <f t="shared" si="18"/>
        <v>#REF!</v>
      </c>
      <c r="J111" s="150" t="e">
        <f t="shared" si="19"/>
        <v>#REF!</v>
      </c>
      <c r="K111" s="151" t="e">
        <f t="shared" si="20"/>
        <v>#REF!</v>
      </c>
      <c r="L111" s="36" t="e">
        <f>'Combustão Móvel'!#REF!</f>
        <v>#REF!</v>
      </c>
      <c r="M111" s="40" t="e">
        <f>'Combustão Móvel'!#REF!</f>
        <v>#REF!</v>
      </c>
      <c r="N111" s="150"/>
      <c r="O111" s="150" t="e">
        <f t="shared" si="21"/>
        <v>#REF!</v>
      </c>
      <c r="P111" s="150"/>
      <c r="Q111" s="150"/>
      <c r="R111" s="150" t="e">
        <f t="shared" si="22"/>
        <v>#REF!</v>
      </c>
      <c r="S111" s="150" t="e">
        <f t="shared" si="23"/>
        <v>#REF!</v>
      </c>
      <c r="T111" s="161" t="e">
        <f t="shared" si="24"/>
        <v>#REF!</v>
      </c>
      <c r="U111" s="161" t="e">
        <f t="shared" si="25"/>
        <v>#REF!</v>
      </c>
      <c r="V111" s="134" t="e">
        <f t="shared" si="26"/>
        <v>#REF!</v>
      </c>
      <c r="W111" s="134" t="e">
        <f t="shared" si="27"/>
        <v>#REF!</v>
      </c>
      <c r="X111" s="134" t="e">
        <f t="shared" si="28"/>
        <v>#REF!</v>
      </c>
    </row>
    <row r="112" spans="2:24" ht="15.75" thickBot="1" x14ac:dyDescent="0.3">
      <c r="B112" s="1244"/>
      <c r="C112" s="54" t="e">
        <f>'Combustão Móvel'!#REF!</f>
        <v>#REF!</v>
      </c>
      <c r="D112" s="145" t="e">
        <f>'Combustão Móvel'!#REF!</f>
        <v>#REF!</v>
      </c>
      <c r="E112" s="149">
        <v>0</v>
      </c>
      <c r="F112" s="150" t="e">
        <f t="shared" si="15"/>
        <v>#REF!</v>
      </c>
      <c r="G112" s="150" t="e">
        <f t="shared" si="16"/>
        <v>#REF!</v>
      </c>
      <c r="H112" s="150" t="e">
        <f t="shared" si="17"/>
        <v>#REF!</v>
      </c>
      <c r="I112" s="150" t="e">
        <f t="shared" si="18"/>
        <v>#REF!</v>
      </c>
      <c r="J112" s="150" t="e">
        <f t="shared" si="19"/>
        <v>#REF!</v>
      </c>
      <c r="K112" s="151" t="e">
        <f t="shared" si="20"/>
        <v>#REF!</v>
      </c>
      <c r="L112" s="36" t="e">
        <f>'Combustão Móvel'!#REF!</f>
        <v>#REF!</v>
      </c>
      <c r="M112" s="40" t="e">
        <f>'Combustão Móvel'!#REF!</f>
        <v>#REF!</v>
      </c>
      <c r="N112" s="150"/>
      <c r="O112" s="150" t="e">
        <f t="shared" si="21"/>
        <v>#REF!</v>
      </c>
      <c r="P112" s="150"/>
      <c r="Q112" s="150"/>
      <c r="R112" s="150" t="e">
        <f t="shared" si="22"/>
        <v>#REF!</v>
      </c>
      <c r="S112" s="150" t="e">
        <f t="shared" si="23"/>
        <v>#REF!</v>
      </c>
      <c r="T112" s="161" t="e">
        <f t="shared" si="24"/>
        <v>#REF!</v>
      </c>
      <c r="U112" s="161" t="e">
        <f t="shared" si="25"/>
        <v>#REF!</v>
      </c>
      <c r="V112" s="134" t="e">
        <f t="shared" si="26"/>
        <v>#REF!</v>
      </c>
      <c r="W112" s="134" t="e">
        <f t="shared" si="27"/>
        <v>#REF!</v>
      </c>
      <c r="X112" s="134" t="e">
        <f t="shared" si="28"/>
        <v>#REF!</v>
      </c>
    </row>
    <row r="113" spans="2:24" ht="15.75" thickBot="1" x14ac:dyDescent="0.3">
      <c r="B113" s="1244"/>
      <c r="C113" s="54" t="e">
        <f>'Combustão Móvel'!#REF!</f>
        <v>#REF!</v>
      </c>
      <c r="D113" s="145" t="e">
        <f>'Combustão Móvel'!#REF!</f>
        <v>#REF!</v>
      </c>
      <c r="E113" s="149">
        <v>0</v>
      </c>
      <c r="F113" s="150" t="e">
        <f t="shared" si="15"/>
        <v>#REF!</v>
      </c>
      <c r="G113" s="150" t="e">
        <f t="shared" si="16"/>
        <v>#REF!</v>
      </c>
      <c r="H113" s="150" t="e">
        <f t="shared" si="17"/>
        <v>#REF!</v>
      </c>
      <c r="I113" s="150" t="e">
        <f t="shared" si="18"/>
        <v>#REF!</v>
      </c>
      <c r="J113" s="150" t="e">
        <f t="shared" si="19"/>
        <v>#REF!</v>
      </c>
      <c r="K113" s="151" t="e">
        <f t="shared" si="20"/>
        <v>#REF!</v>
      </c>
      <c r="L113" s="36" t="e">
        <f>'Combustão Móvel'!#REF!</f>
        <v>#REF!</v>
      </c>
      <c r="M113" s="40" t="e">
        <f>'Combustão Móvel'!#REF!</f>
        <v>#REF!</v>
      </c>
      <c r="N113" s="150"/>
      <c r="O113" s="150" t="e">
        <f t="shared" si="21"/>
        <v>#REF!</v>
      </c>
      <c r="P113" s="150"/>
      <c r="Q113" s="150"/>
      <c r="R113" s="150" t="e">
        <f t="shared" si="22"/>
        <v>#REF!</v>
      </c>
      <c r="S113" s="150" t="e">
        <f t="shared" si="23"/>
        <v>#REF!</v>
      </c>
      <c r="T113" s="161" t="e">
        <f t="shared" si="24"/>
        <v>#REF!</v>
      </c>
      <c r="U113" s="161" t="e">
        <f t="shared" si="25"/>
        <v>#REF!</v>
      </c>
      <c r="V113" s="134" t="e">
        <f t="shared" si="26"/>
        <v>#REF!</v>
      </c>
      <c r="W113" s="134" t="e">
        <f t="shared" si="27"/>
        <v>#REF!</v>
      </c>
      <c r="X113" s="134" t="e">
        <f t="shared" si="28"/>
        <v>#REF!</v>
      </c>
    </row>
    <row r="114" spans="2:24" ht="15.75" thickBot="1" x14ac:dyDescent="0.3">
      <c r="B114" s="1244"/>
      <c r="C114" s="54" t="e">
        <f>'Combustão Móvel'!#REF!</f>
        <v>#REF!</v>
      </c>
      <c r="D114" s="145" t="e">
        <f>'Combustão Móvel'!#REF!</f>
        <v>#REF!</v>
      </c>
      <c r="E114" s="149">
        <v>0</v>
      </c>
      <c r="F114" s="150" t="e">
        <f t="shared" si="15"/>
        <v>#REF!</v>
      </c>
      <c r="G114" s="150" t="e">
        <f t="shared" si="16"/>
        <v>#REF!</v>
      </c>
      <c r="H114" s="150" t="e">
        <f t="shared" si="17"/>
        <v>#REF!</v>
      </c>
      <c r="I114" s="150" t="e">
        <f t="shared" si="18"/>
        <v>#REF!</v>
      </c>
      <c r="J114" s="150" t="e">
        <f t="shared" si="19"/>
        <v>#REF!</v>
      </c>
      <c r="K114" s="151" t="e">
        <f t="shared" si="20"/>
        <v>#REF!</v>
      </c>
      <c r="L114" s="36" t="e">
        <f>'Combustão Móvel'!#REF!</f>
        <v>#REF!</v>
      </c>
      <c r="M114" s="40" t="e">
        <f>'Combustão Móvel'!#REF!</f>
        <v>#REF!</v>
      </c>
      <c r="N114" s="150"/>
      <c r="O114" s="150" t="e">
        <f t="shared" si="21"/>
        <v>#REF!</v>
      </c>
      <c r="P114" s="150"/>
      <c r="Q114" s="150"/>
      <c r="R114" s="150" t="e">
        <f t="shared" si="22"/>
        <v>#REF!</v>
      </c>
      <c r="S114" s="150" t="e">
        <f t="shared" si="23"/>
        <v>#REF!</v>
      </c>
      <c r="T114" s="161" t="e">
        <f t="shared" si="24"/>
        <v>#REF!</v>
      </c>
      <c r="U114" s="161" t="e">
        <f t="shared" si="25"/>
        <v>#REF!</v>
      </c>
      <c r="V114" s="134" t="e">
        <f t="shared" si="26"/>
        <v>#REF!</v>
      </c>
      <c r="W114" s="134" t="e">
        <f t="shared" si="27"/>
        <v>#REF!</v>
      </c>
      <c r="X114" s="134" t="e">
        <f t="shared" si="28"/>
        <v>#REF!</v>
      </c>
    </row>
    <row r="115" spans="2:24" ht="15.75" thickBot="1" x14ac:dyDescent="0.3">
      <c r="B115" s="1244"/>
      <c r="C115" s="54" t="e">
        <f>'Combustão Móvel'!#REF!</f>
        <v>#REF!</v>
      </c>
      <c r="D115" s="145" t="e">
        <f>'Combustão Móvel'!#REF!</f>
        <v>#REF!</v>
      </c>
      <c r="E115" s="149">
        <v>0</v>
      </c>
      <c r="F115" s="150" t="e">
        <f t="shared" si="15"/>
        <v>#REF!</v>
      </c>
      <c r="G115" s="150" t="e">
        <f t="shared" si="16"/>
        <v>#REF!</v>
      </c>
      <c r="H115" s="150" t="e">
        <f t="shared" si="17"/>
        <v>#REF!</v>
      </c>
      <c r="I115" s="150" t="e">
        <f t="shared" si="18"/>
        <v>#REF!</v>
      </c>
      <c r="J115" s="150" t="e">
        <f t="shared" si="19"/>
        <v>#REF!</v>
      </c>
      <c r="K115" s="151" t="e">
        <f t="shared" si="20"/>
        <v>#REF!</v>
      </c>
      <c r="L115" s="36" t="e">
        <f>'Combustão Móvel'!#REF!</f>
        <v>#REF!</v>
      </c>
      <c r="M115" s="40" t="e">
        <f>'Combustão Móvel'!#REF!</f>
        <v>#REF!</v>
      </c>
      <c r="N115" s="150"/>
      <c r="O115" s="150" t="e">
        <f t="shared" si="21"/>
        <v>#REF!</v>
      </c>
      <c r="P115" s="150"/>
      <c r="Q115" s="150"/>
      <c r="R115" s="150" t="e">
        <f t="shared" si="22"/>
        <v>#REF!</v>
      </c>
      <c r="S115" s="150" t="e">
        <f t="shared" si="23"/>
        <v>#REF!</v>
      </c>
      <c r="T115" s="161" t="e">
        <f t="shared" si="24"/>
        <v>#REF!</v>
      </c>
      <c r="U115" s="161" t="e">
        <f t="shared" si="25"/>
        <v>#REF!</v>
      </c>
      <c r="V115" s="134" t="e">
        <f t="shared" si="26"/>
        <v>#REF!</v>
      </c>
      <c r="W115" s="134" t="e">
        <f t="shared" si="27"/>
        <v>#REF!</v>
      </c>
      <c r="X115" s="134" t="e">
        <f t="shared" si="28"/>
        <v>#REF!</v>
      </c>
    </row>
    <row r="116" spans="2:24" ht="15.75" thickBot="1" x14ac:dyDescent="0.3">
      <c r="B116" s="1244"/>
      <c r="C116" s="54" t="e">
        <f>'Combustão Móvel'!#REF!</f>
        <v>#REF!</v>
      </c>
      <c r="D116" s="145" t="e">
        <f>'Combustão Móvel'!#REF!</f>
        <v>#REF!</v>
      </c>
      <c r="E116" s="149">
        <v>0</v>
      </c>
      <c r="F116" s="150" t="e">
        <f t="shared" si="15"/>
        <v>#REF!</v>
      </c>
      <c r="G116" s="150" t="e">
        <f t="shared" si="16"/>
        <v>#REF!</v>
      </c>
      <c r="H116" s="150" t="e">
        <f t="shared" si="17"/>
        <v>#REF!</v>
      </c>
      <c r="I116" s="150" t="e">
        <f t="shared" si="18"/>
        <v>#REF!</v>
      </c>
      <c r="J116" s="150" t="e">
        <f t="shared" si="19"/>
        <v>#REF!</v>
      </c>
      <c r="K116" s="151" t="e">
        <f t="shared" si="20"/>
        <v>#REF!</v>
      </c>
      <c r="L116" s="36" t="e">
        <f>'Combustão Móvel'!#REF!</f>
        <v>#REF!</v>
      </c>
      <c r="M116" s="40" t="e">
        <f>'Combustão Móvel'!#REF!</f>
        <v>#REF!</v>
      </c>
      <c r="N116" s="150"/>
      <c r="O116" s="150" t="e">
        <f t="shared" si="21"/>
        <v>#REF!</v>
      </c>
      <c r="P116" s="150"/>
      <c r="Q116" s="150"/>
      <c r="R116" s="150" t="e">
        <f t="shared" si="22"/>
        <v>#REF!</v>
      </c>
      <c r="S116" s="150" t="e">
        <f t="shared" si="23"/>
        <v>#REF!</v>
      </c>
      <c r="T116" s="161" t="e">
        <f t="shared" si="24"/>
        <v>#REF!</v>
      </c>
      <c r="U116" s="161" t="e">
        <f t="shared" si="25"/>
        <v>#REF!</v>
      </c>
      <c r="V116" s="134" t="e">
        <f t="shared" si="26"/>
        <v>#REF!</v>
      </c>
      <c r="W116" s="134" t="e">
        <f t="shared" si="27"/>
        <v>#REF!</v>
      </c>
      <c r="X116" s="134" t="e">
        <f t="shared" si="28"/>
        <v>#REF!</v>
      </c>
    </row>
    <row r="117" spans="2:24" ht="15.75" thickBot="1" x14ac:dyDescent="0.3">
      <c r="B117" s="1244"/>
      <c r="C117" s="54" t="e">
        <f>'Combustão Móvel'!#REF!</f>
        <v>#REF!</v>
      </c>
      <c r="D117" s="145" t="e">
        <f>'Combustão Móvel'!#REF!</f>
        <v>#REF!</v>
      </c>
      <c r="E117" s="149">
        <v>0</v>
      </c>
      <c r="F117" s="150" t="e">
        <f t="shared" si="15"/>
        <v>#REF!</v>
      </c>
      <c r="G117" s="150" t="e">
        <f t="shared" si="16"/>
        <v>#REF!</v>
      </c>
      <c r="H117" s="150" t="e">
        <f t="shared" si="17"/>
        <v>#REF!</v>
      </c>
      <c r="I117" s="150" t="e">
        <f t="shared" si="18"/>
        <v>#REF!</v>
      </c>
      <c r="J117" s="150" t="e">
        <f t="shared" si="19"/>
        <v>#REF!</v>
      </c>
      <c r="K117" s="151" t="e">
        <f t="shared" si="20"/>
        <v>#REF!</v>
      </c>
      <c r="L117" s="36" t="e">
        <f>'Combustão Móvel'!#REF!</f>
        <v>#REF!</v>
      </c>
      <c r="M117" s="40" t="e">
        <f>'Combustão Móvel'!#REF!</f>
        <v>#REF!</v>
      </c>
      <c r="N117" s="150"/>
      <c r="O117" s="150" t="e">
        <f t="shared" si="21"/>
        <v>#REF!</v>
      </c>
      <c r="P117" s="150"/>
      <c r="Q117" s="150"/>
      <c r="R117" s="150" t="e">
        <f t="shared" si="22"/>
        <v>#REF!</v>
      </c>
      <c r="S117" s="150" t="e">
        <f t="shared" si="23"/>
        <v>#REF!</v>
      </c>
      <c r="T117" s="161" t="e">
        <f t="shared" si="24"/>
        <v>#REF!</v>
      </c>
      <c r="U117" s="161" t="e">
        <f t="shared" si="25"/>
        <v>#REF!</v>
      </c>
      <c r="V117" s="134" t="e">
        <f t="shared" si="26"/>
        <v>#REF!</v>
      </c>
      <c r="W117" s="134" t="e">
        <f t="shared" si="27"/>
        <v>#REF!</v>
      </c>
      <c r="X117" s="134" t="e">
        <f t="shared" si="28"/>
        <v>#REF!</v>
      </c>
    </row>
    <row r="118" spans="2:24" ht="15.75" thickBot="1" x14ac:dyDescent="0.3">
      <c r="B118" s="1244"/>
      <c r="C118" s="54" t="e">
        <f>'Combustão Móvel'!#REF!</f>
        <v>#REF!</v>
      </c>
      <c r="D118" s="145" t="e">
        <f>'Combustão Móvel'!#REF!</f>
        <v>#REF!</v>
      </c>
      <c r="E118" s="149">
        <v>0</v>
      </c>
      <c r="F118" s="150" t="e">
        <f t="shared" si="15"/>
        <v>#REF!</v>
      </c>
      <c r="G118" s="150" t="e">
        <f t="shared" si="16"/>
        <v>#REF!</v>
      </c>
      <c r="H118" s="150" t="e">
        <f t="shared" si="17"/>
        <v>#REF!</v>
      </c>
      <c r="I118" s="150" t="e">
        <f t="shared" si="18"/>
        <v>#REF!</v>
      </c>
      <c r="J118" s="150" t="e">
        <f t="shared" si="19"/>
        <v>#REF!</v>
      </c>
      <c r="K118" s="151" t="e">
        <f t="shared" si="20"/>
        <v>#REF!</v>
      </c>
      <c r="L118" s="36" t="e">
        <f>'Combustão Móvel'!#REF!</f>
        <v>#REF!</v>
      </c>
      <c r="M118" s="40" t="e">
        <f>'Combustão Móvel'!#REF!</f>
        <v>#REF!</v>
      </c>
      <c r="N118" s="150"/>
      <c r="O118" s="150" t="e">
        <f t="shared" si="21"/>
        <v>#REF!</v>
      </c>
      <c r="P118" s="150"/>
      <c r="Q118" s="150"/>
      <c r="R118" s="150" t="e">
        <f t="shared" si="22"/>
        <v>#REF!</v>
      </c>
      <c r="S118" s="150" t="e">
        <f t="shared" si="23"/>
        <v>#REF!</v>
      </c>
      <c r="T118" s="161" t="e">
        <f t="shared" si="24"/>
        <v>#REF!</v>
      </c>
      <c r="U118" s="161" t="e">
        <f t="shared" si="25"/>
        <v>#REF!</v>
      </c>
      <c r="V118" s="134" t="e">
        <f t="shared" si="26"/>
        <v>#REF!</v>
      </c>
      <c r="W118" s="134" t="e">
        <f t="shared" si="27"/>
        <v>#REF!</v>
      </c>
      <c r="X118" s="134" t="e">
        <f t="shared" si="28"/>
        <v>#REF!</v>
      </c>
    </row>
    <row r="119" spans="2:24" ht="15.75" thickBot="1" x14ac:dyDescent="0.3">
      <c r="B119" s="1244"/>
      <c r="C119" s="54" t="e">
        <f>'Combustão Móvel'!#REF!</f>
        <v>#REF!</v>
      </c>
      <c r="D119" s="145" t="e">
        <f>'Combustão Móvel'!#REF!</f>
        <v>#REF!</v>
      </c>
      <c r="E119" s="149">
        <v>0</v>
      </c>
      <c r="F119" s="150" t="e">
        <f t="shared" si="15"/>
        <v>#REF!</v>
      </c>
      <c r="G119" s="150" t="e">
        <f t="shared" si="16"/>
        <v>#REF!</v>
      </c>
      <c r="H119" s="150" t="e">
        <f t="shared" si="17"/>
        <v>#REF!</v>
      </c>
      <c r="I119" s="150" t="e">
        <f t="shared" si="18"/>
        <v>#REF!</v>
      </c>
      <c r="J119" s="150" t="e">
        <f t="shared" si="19"/>
        <v>#REF!</v>
      </c>
      <c r="K119" s="151" t="e">
        <f t="shared" si="20"/>
        <v>#REF!</v>
      </c>
      <c r="L119" s="36" t="e">
        <f>'Combustão Móvel'!#REF!</f>
        <v>#REF!</v>
      </c>
      <c r="M119" s="40" t="e">
        <f>'Combustão Móvel'!#REF!</f>
        <v>#REF!</v>
      </c>
      <c r="N119" s="150"/>
      <c r="O119" s="150" t="e">
        <f t="shared" si="21"/>
        <v>#REF!</v>
      </c>
      <c r="P119" s="150"/>
      <c r="Q119" s="150"/>
      <c r="R119" s="150" t="e">
        <f t="shared" si="22"/>
        <v>#REF!</v>
      </c>
      <c r="S119" s="150" t="e">
        <f t="shared" si="23"/>
        <v>#REF!</v>
      </c>
      <c r="T119" s="161" t="e">
        <f t="shared" si="24"/>
        <v>#REF!</v>
      </c>
      <c r="U119" s="161" t="e">
        <f t="shared" si="25"/>
        <v>#REF!</v>
      </c>
      <c r="V119" s="134" t="e">
        <f t="shared" si="26"/>
        <v>#REF!</v>
      </c>
      <c r="W119" s="134" t="e">
        <f t="shared" si="27"/>
        <v>#REF!</v>
      </c>
      <c r="X119" s="134" t="e">
        <f t="shared" si="28"/>
        <v>#REF!</v>
      </c>
    </row>
    <row r="120" spans="2:24" ht="15.75" thickBot="1" x14ac:dyDescent="0.3">
      <c r="B120" s="1244"/>
      <c r="C120" s="54" t="e">
        <f>'Combustão Móvel'!#REF!</f>
        <v>#REF!</v>
      </c>
      <c r="D120" s="145" t="e">
        <f>'Combustão Móvel'!#REF!</f>
        <v>#REF!</v>
      </c>
      <c r="E120" s="149">
        <v>0</v>
      </c>
      <c r="F120" s="150" t="e">
        <f t="shared" si="15"/>
        <v>#REF!</v>
      </c>
      <c r="G120" s="150" t="e">
        <f t="shared" si="16"/>
        <v>#REF!</v>
      </c>
      <c r="H120" s="150" t="e">
        <f t="shared" si="17"/>
        <v>#REF!</v>
      </c>
      <c r="I120" s="150" t="e">
        <f t="shared" si="18"/>
        <v>#REF!</v>
      </c>
      <c r="J120" s="150" t="e">
        <f t="shared" si="19"/>
        <v>#REF!</v>
      </c>
      <c r="K120" s="151" t="e">
        <f t="shared" si="20"/>
        <v>#REF!</v>
      </c>
      <c r="L120" s="36" t="e">
        <f>'Combustão Móvel'!#REF!</f>
        <v>#REF!</v>
      </c>
      <c r="M120" s="40" t="e">
        <f>'Combustão Móvel'!#REF!</f>
        <v>#REF!</v>
      </c>
      <c r="N120" s="150"/>
      <c r="O120" s="150" t="e">
        <f t="shared" si="21"/>
        <v>#REF!</v>
      </c>
      <c r="P120" s="150"/>
      <c r="Q120" s="150"/>
      <c r="R120" s="150" t="e">
        <f t="shared" si="22"/>
        <v>#REF!</v>
      </c>
      <c r="S120" s="150" t="e">
        <f t="shared" si="23"/>
        <v>#REF!</v>
      </c>
      <c r="T120" s="161" t="e">
        <f t="shared" si="24"/>
        <v>#REF!</v>
      </c>
      <c r="U120" s="161" t="e">
        <f t="shared" si="25"/>
        <v>#REF!</v>
      </c>
      <c r="V120" s="134" t="e">
        <f t="shared" si="26"/>
        <v>#REF!</v>
      </c>
      <c r="W120" s="134" t="e">
        <f t="shared" si="27"/>
        <v>#REF!</v>
      </c>
      <c r="X120" s="134" t="e">
        <f t="shared" si="28"/>
        <v>#REF!</v>
      </c>
    </row>
    <row r="121" spans="2:24" ht="15.75" thickBot="1" x14ac:dyDescent="0.3">
      <c r="B121" s="1244"/>
      <c r="C121" s="54" t="e">
        <f>'Combustão Móvel'!#REF!</f>
        <v>#REF!</v>
      </c>
      <c r="D121" s="145" t="e">
        <f>'Combustão Móvel'!#REF!</f>
        <v>#REF!</v>
      </c>
      <c r="E121" s="149">
        <v>0</v>
      </c>
      <c r="F121" s="150" t="e">
        <f t="shared" si="15"/>
        <v>#REF!</v>
      </c>
      <c r="G121" s="150" t="e">
        <f t="shared" si="16"/>
        <v>#REF!</v>
      </c>
      <c r="H121" s="150" t="e">
        <f t="shared" si="17"/>
        <v>#REF!</v>
      </c>
      <c r="I121" s="150" t="e">
        <f t="shared" si="18"/>
        <v>#REF!</v>
      </c>
      <c r="J121" s="150" t="e">
        <f t="shared" si="19"/>
        <v>#REF!</v>
      </c>
      <c r="K121" s="151" t="e">
        <f t="shared" si="20"/>
        <v>#REF!</v>
      </c>
      <c r="L121" s="36" t="e">
        <f>'Combustão Móvel'!#REF!</f>
        <v>#REF!</v>
      </c>
      <c r="M121" s="40" t="e">
        <f>'Combustão Móvel'!#REF!</f>
        <v>#REF!</v>
      </c>
      <c r="N121" s="150"/>
      <c r="O121" s="150" t="e">
        <f t="shared" si="21"/>
        <v>#REF!</v>
      </c>
      <c r="P121" s="150"/>
      <c r="Q121" s="150"/>
      <c r="R121" s="150" t="e">
        <f t="shared" si="22"/>
        <v>#REF!</v>
      </c>
      <c r="S121" s="150" t="e">
        <f t="shared" si="23"/>
        <v>#REF!</v>
      </c>
      <c r="T121" s="161" t="e">
        <f t="shared" si="24"/>
        <v>#REF!</v>
      </c>
      <c r="U121" s="161" t="e">
        <f t="shared" si="25"/>
        <v>#REF!</v>
      </c>
      <c r="V121" s="134" t="e">
        <f t="shared" si="26"/>
        <v>#REF!</v>
      </c>
      <c r="W121" s="134" t="e">
        <f t="shared" si="27"/>
        <v>#REF!</v>
      </c>
      <c r="X121" s="134" t="e">
        <f t="shared" si="28"/>
        <v>#REF!</v>
      </c>
    </row>
    <row r="122" spans="2:24" ht="15.75" thickBot="1" x14ac:dyDescent="0.3">
      <c r="B122" s="1244"/>
      <c r="C122" s="54" t="e">
        <f>'Combustão Móvel'!#REF!</f>
        <v>#REF!</v>
      </c>
      <c r="D122" s="145" t="e">
        <f>'Combustão Móvel'!#REF!</f>
        <v>#REF!</v>
      </c>
      <c r="E122" s="149">
        <v>0</v>
      </c>
      <c r="F122" s="150" t="e">
        <f t="shared" si="15"/>
        <v>#REF!</v>
      </c>
      <c r="G122" s="150" t="e">
        <f t="shared" si="16"/>
        <v>#REF!</v>
      </c>
      <c r="H122" s="150" t="e">
        <f t="shared" si="17"/>
        <v>#REF!</v>
      </c>
      <c r="I122" s="150" t="e">
        <f t="shared" si="18"/>
        <v>#REF!</v>
      </c>
      <c r="J122" s="150" t="e">
        <f t="shared" si="19"/>
        <v>#REF!</v>
      </c>
      <c r="K122" s="151" t="e">
        <f t="shared" si="20"/>
        <v>#REF!</v>
      </c>
      <c r="L122" s="36" t="e">
        <f>'Combustão Móvel'!#REF!</f>
        <v>#REF!</v>
      </c>
      <c r="M122" s="40" t="e">
        <f>'Combustão Móvel'!#REF!</f>
        <v>#REF!</v>
      </c>
      <c r="N122" s="150"/>
      <c r="O122" s="150" t="e">
        <f t="shared" si="21"/>
        <v>#REF!</v>
      </c>
      <c r="P122" s="150"/>
      <c r="Q122" s="150"/>
      <c r="R122" s="150" t="e">
        <f t="shared" si="22"/>
        <v>#REF!</v>
      </c>
      <c r="S122" s="150" t="e">
        <f t="shared" si="23"/>
        <v>#REF!</v>
      </c>
      <c r="T122" s="161" t="e">
        <f t="shared" si="24"/>
        <v>#REF!</v>
      </c>
      <c r="U122" s="161" t="e">
        <f t="shared" si="25"/>
        <v>#REF!</v>
      </c>
      <c r="V122" s="134" t="e">
        <f t="shared" si="26"/>
        <v>#REF!</v>
      </c>
      <c r="W122" s="134" t="e">
        <f t="shared" si="27"/>
        <v>#REF!</v>
      </c>
      <c r="X122" s="134" t="e">
        <f t="shared" si="28"/>
        <v>#REF!</v>
      </c>
    </row>
    <row r="123" spans="2:24" ht="15.75" thickBot="1" x14ac:dyDescent="0.3">
      <c r="B123" s="1244"/>
      <c r="C123" s="54" t="e">
        <f>'Combustão Móvel'!#REF!</f>
        <v>#REF!</v>
      </c>
      <c r="D123" s="145" t="e">
        <f>'Combustão Móvel'!#REF!</f>
        <v>#REF!</v>
      </c>
      <c r="E123" s="149">
        <v>0</v>
      </c>
      <c r="F123" s="150" t="e">
        <f t="shared" si="15"/>
        <v>#REF!</v>
      </c>
      <c r="G123" s="150" t="e">
        <f t="shared" si="16"/>
        <v>#REF!</v>
      </c>
      <c r="H123" s="150" t="e">
        <f t="shared" si="17"/>
        <v>#REF!</v>
      </c>
      <c r="I123" s="150" t="e">
        <f t="shared" si="18"/>
        <v>#REF!</v>
      </c>
      <c r="J123" s="150" t="e">
        <f t="shared" si="19"/>
        <v>#REF!</v>
      </c>
      <c r="K123" s="151" t="e">
        <f t="shared" si="20"/>
        <v>#REF!</v>
      </c>
      <c r="L123" s="36" t="e">
        <f>'Combustão Móvel'!#REF!</f>
        <v>#REF!</v>
      </c>
      <c r="M123" s="40" t="e">
        <f>'Combustão Móvel'!#REF!</f>
        <v>#REF!</v>
      </c>
      <c r="N123" s="150"/>
      <c r="O123" s="150" t="e">
        <f t="shared" si="21"/>
        <v>#REF!</v>
      </c>
      <c r="P123" s="150"/>
      <c r="Q123" s="150"/>
      <c r="R123" s="150" t="e">
        <f t="shared" si="22"/>
        <v>#REF!</v>
      </c>
      <c r="S123" s="150" t="e">
        <f t="shared" si="23"/>
        <v>#REF!</v>
      </c>
      <c r="T123" s="161" t="e">
        <f t="shared" si="24"/>
        <v>#REF!</v>
      </c>
      <c r="U123" s="161" t="e">
        <f t="shared" si="25"/>
        <v>#REF!</v>
      </c>
      <c r="V123" s="134" t="e">
        <f t="shared" si="26"/>
        <v>#REF!</v>
      </c>
      <c r="W123" s="134" t="e">
        <f t="shared" si="27"/>
        <v>#REF!</v>
      </c>
      <c r="X123" s="134" t="e">
        <f t="shared" si="28"/>
        <v>#REF!</v>
      </c>
    </row>
    <row r="124" spans="2:24" ht="15.75" thickBot="1" x14ac:dyDescent="0.3">
      <c r="B124" s="1244"/>
      <c r="C124" s="54" t="e">
        <f>'Combustão Móvel'!#REF!</f>
        <v>#REF!</v>
      </c>
      <c r="D124" s="145" t="e">
        <f>'Combustão Móvel'!#REF!</f>
        <v>#REF!</v>
      </c>
      <c r="E124" s="149">
        <v>0</v>
      </c>
      <c r="F124" s="150" t="e">
        <f t="shared" si="15"/>
        <v>#REF!</v>
      </c>
      <c r="G124" s="150" t="e">
        <f t="shared" si="16"/>
        <v>#REF!</v>
      </c>
      <c r="H124" s="150" t="e">
        <f t="shared" si="17"/>
        <v>#REF!</v>
      </c>
      <c r="I124" s="150" t="e">
        <f t="shared" si="18"/>
        <v>#REF!</v>
      </c>
      <c r="J124" s="150" t="e">
        <f t="shared" si="19"/>
        <v>#REF!</v>
      </c>
      <c r="K124" s="151" t="e">
        <f t="shared" si="20"/>
        <v>#REF!</v>
      </c>
      <c r="L124" s="36" t="e">
        <f>'Combustão Móvel'!#REF!</f>
        <v>#REF!</v>
      </c>
      <c r="M124" s="40" t="e">
        <f>'Combustão Móvel'!#REF!</f>
        <v>#REF!</v>
      </c>
      <c r="N124" s="150"/>
      <c r="O124" s="150" t="e">
        <f t="shared" si="21"/>
        <v>#REF!</v>
      </c>
      <c r="P124" s="150"/>
      <c r="Q124" s="150"/>
      <c r="R124" s="150" t="e">
        <f t="shared" si="22"/>
        <v>#REF!</v>
      </c>
      <c r="S124" s="150" t="e">
        <f t="shared" si="23"/>
        <v>#REF!</v>
      </c>
      <c r="T124" s="161" t="e">
        <f t="shared" si="24"/>
        <v>#REF!</v>
      </c>
      <c r="U124" s="161" t="e">
        <f t="shared" si="25"/>
        <v>#REF!</v>
      </c>
      <c r="V124" s="134" t="e">
        <f t="shared" si="26"/>
        <v>#REF!</v>
      </c>
      <c r="W124" s="134" t="e">
        <f t="shared" si="27"/>
        <v>#REF!</v>
      </c>
      <c r="X124" s="134" t="e">
        <f t="shared" si="28"/>
        <v>#REF!</v>
      </c>
    </row>
    <row r="125" spans="2:24" ht="15.75" thickBot="1" x14ac:dyDescent="0.3">
      <c r="B125" s="1244"/>
      <c r="C125" s="54" t="e">
        <f>'Combustão Móvel'!#REF!</f>
        <v>#REF!</v>
      </c>
      <c r="D125" s="145" t="e">
        <f>'Combustão Móvel'!#REF!</f>
        <v>#REF!</v>
      </c>
      <c r="E125" s="149">
        <v>0</v>
      </c>
      <c r="F125" s="150" t="e">
        <f t="shared" si="15"/>
        <v>#REF!</v>
      </c>
      <c r="G125" s="150" t="e">
        <f t="shared" si="16"/>
        <v>#REF!</v>
      </c>
      <c r="H125" s="150" t="e">
        <f t="shared" si="17"/>
        <v>#REF!</v>
      </c>
      <c r="I125" s="150" t="e">
        <f t="shared" si="18"/>
        <v>#REF!</v>
      </c>
      <c r="J125" s="150" t="e">
        <f t="shared" si="19"/>
        <v>#REF!</v>
      </c>
      <c r="K125" s="151" t="e">
        <f t="shared" si="20"/>
        <v>#REF!</v>
      </c>
      <c r="L125" s="36" t="e">
        <f>'Combustão Móvel'!#REF!</f>
        <v>#REF!</v>
      </c>
      <c r="M125" s="40" t="e">
        <f>'Combustão Móvel'!#REF!</f>
        <v>#REF!</v>
      </c>
      <c r="N125" s="150"/>
      <c r="O125" s="150" t="e">
        <f t="shared" si="21"/>
        <v>#REF!</v>
      </c>
      <c r="P125" s="150"/>
      <c r="Q125" s="150"/>
      <c r="R125" s="150" t="e">
        <f t="shared" si="22"/>
        <v>#REF!</v>
      </c>
      <c r="S125" s="150" t="e">
        <f t="shared" si="23"/>
        <v>#REF!</v>
      </c>
      <c r="T125" s="161" t="e">
        <f t="shared" si="24"/>
        <v>#REF!</v>
      </c>
      <c r="U125" s="161" t="e">
        <f t="shared" si="25"/>
        <v>#REF!</v>
      </c>
      <c r="V125" s="134" t="e">
        <f t="shared" si="26"/>
        <v>#REF!</v>
      </c>
      <c r="W125" s="134" t="e">
        <f t="shared" si="27"/>
        <v>#REF!</v>
      </c>
      <c r="X125" s="134" t="e">
        <f t="shared" si="28"/>
        <v>#REF!</v>
      </c>
    </row>
    <row r="126" spans="2:24" ht="15.75" thickBot="1" x14ac:dyDescent="0.3">
      <c r="B126" s="1244"/>
      <c r="C126" s="54" t="e">
        <f>'Combustão Móvel'!#REF!</f>
        <v>#REF!</v>
      </c>
      <c r="D126" s="145" t="e">
        <f>'Combustão Móvel'!#REF!</f>
        <v>#REF!</v>
      </c>
      <c r="E126" s="149">
        <v>0</v>
      </c>
      <c r="F126" s="150" t="e">
        <f t="shared" si="15"/>
        <v>#REF!</v>
      </c>
      <c r="G126" s="150" t="e">
        <f t="shared" si="16"/>
        <v>#REF!</v>
      </c>
      <c r="H126" s="150" t="e">
        <f t="shared" si="17"/>
        <v>#REF!</v>
      </c>
      <c r="I126" s="150" t="e">
        <f t="shared" si="18"/>
        <v>#REF!</v>
      </c>
      <c r="J126" s="150" t="e">
        <f t="shared" si="19"/>
        <v>#REF!</v>
      </c>
      <c r="K126" s="151" t="e">
        <f t="shared" si="20"/>
        <v>#REF!</v>
      </c>
      <c r="L126" s="36" t="e">
        <f>'Combustão Móvel'!#REF!</f>
        <v>#REF!</v>
      </c>
      <c r="M126" s="40" t="e">
        <f>'Combustão Móvel'!#REF!</f>
        <v>#REF!</v>
      </c>
      <c r="N126" s="150"/>
      <c r="O126" s="150" t="e">
        <f t="shared" si="21"/>
        <v>#REF!</v>
      </c>
      <c r="P126" s="150"/>
      <c r="Q126" s="150"/>
      <c r="R126" s="150" t="e">
        <f t="shared" si="22"/>
        <v>#REF!</v>
      </c>
      <c r="S126" s="150" t="e">
        <f t="shared" si="23"/>
        <v>#REF!</v>
      </c>
      <c r="T126" s="161" t="e">
        <f t="shared" si="24"/>
        <v>#REF!</v>
      </c>
      <c r="U126" s="161" t="e">
        <f t="shared" si="25"/>
        <v>#REF!</v>
      </c>
      <c r="V126" s="134" t="e">
        <f t="shared" si="26"/>
        <v>#REF!</v>
      </c>
      <c r="W126" s="134" t="e">
        <f t="shared" si="27"/>
        <v>#REF!</v>
      </c>
      <c r="X126" s="134" t="e">
        <f t="shared" si="28"/>
        <v>#REF!</v>
      </c>
    </row>
    <row r="127" spans="2:24" ht="15.75" thickBot="1" x14ac:dyDescent="0.3">
      <c r="B127" s="1244"/>
      <c r="C127" s="54" t="e">
        <f>'Combustão Móvel'!#REF!</f>
        <v>#REF!</v>
      </c>
      <c r="D127" s="145" t="e">
        <f>'Combustão Móvel'!#REF!</f>
        <v>#REF!</v>
      </c>
      <c r="E127" s="149">
        <v>0</v>
      </c>
      <c r="F127" s="150" t="e">
        <f t="shared" si="15"/>
        <v>#REF!</v>
      </c>
      <c r="G127" s="150" t="e">
        <f t="shared" si="16"/>
        <v>#REF!</v>
      </c>
      <c r="H127" s="150" t="e">
        <f t="shared" si="17"/>
        <v>#REF!</v>
      </c>
      <c r="I127" s="150" t="e">
        <f t="shared" si="18"/>
        <v>#REF!</v>
      </c>
      <c r="J127" s="150" t="e">
        <f t="shared" si="19"/>
        <v>#REF!</v>
      </c>
      <c r="K127" s="151" t="e">
        <f t="shared" si="20"/>
        <v>#REF!</v>
      </c>
      <c r="L127" s="36" t="e">
        <f>'Combustão Móvel'!#REF!</f>
        <v>#REF!</v>
      </c>
      <c r="M127" s="40" t="e">
        <f>'Combustão Móvel'!#REF!</f>
        <v>#REF!</v>
      </c>
      <c r="N127" s="150"/>
      <c r="O127" s="150" t="e">
        <f t="shared" si="21"/>
        <v>#REF!</v>
      </c>
      <c r="P127" s="150"/>
      <c r="Q127" s="150"/>
      <c r="R127" s="150" t="e">
        <f t="shared" si="22"/>
        <v>#REF!</v>
      </c>
      <c r="S127" s="150" t="e">
        <f t="shared" si="23"/>
        <v>#REF!</v>
      </c>
      <c r="T127" s="161" t="e">
        <f t="shared" si="24"/>
        <v>#REF!</v>
      </c>
      <c r="U127" s="161" t="e">
        <f t="shared" si="25"/>
        <v>#REF!</v>
      </c>
      <c r="V127" s="134" t="e">
        <f t="shared" si="26"/>
        <v>#REF!</v>
      </c>
      <c r="W127" s="134" t="e">
        <f t="shared" si="27"/>
        <v>#REF!</v>
      </c>
      <c r="X127" s="134" t="e">
        <f t="shared" si="28"/>
        <v>#REF!</v>
      </c>
    </row>
    <row r="128" spans="2:24" ht="15.75" thickBot="1" x14ac:dyDescent="0.3">
      <c r="B128" s="1244"/>
      <c r="C128" s="54" t="e">
        <f>'Combustão Móvel'!#REF!</f>
        <v>#REF!</v>
      </c>
      <c r="D128" s="145" t="e">
        <f>'Combustão Móvel'!#REF!</f>
        <v>#REF!</v>
      </c>
      <c r="E128" s="149">
        <v>0</v>
      </c>
      <c r="F128" s="150" t="e">
        <f t="shared" si="15"/>
        <v>#REF!</v>
      </c>
      <c r="G128" s="150" t="e">
        <f t="shared" si="16"/>
        <v>#REF!</v>
      </c>
      <c r="H128" s="150" t="e">
        <f t="shared" si="17"/>
        <v>#REF!</v>
      </c>
      <c r="I128" s="150" t="e">
        <f t="shared" si="18"/>
        <v>#REF!</v>
      </c>
      <c r="J128" s="150" t="e">
        <f t="shared" si="19"/>
        <v>#REF!</v>
      </c>
      <c r="K128" s="151" t="e">
        <f t="shared" si="20"/>
        <v>#REF!</v>
      </c>
      <c r="L128" s="36" t="e">
        <f>'Combustão Móvel'!#REF!</f>
        <v>#REF!</v>
      </c>
      <c r="M128" s="40" t="e">
        <f>'Combustão Móvel'!#REF!</f>
        <v>#REF!</v>
      </c>
      <c r="N128" s="150"/>
      <c r="O128" s="150" t="e">
        <f t="shared" si="21"/>
        <v>#REF!</v>
      </c>
      <c r="P128" s="150"/>
      <c r="Q128" s="150"/>
      <c r="R128" s="150" t="e">
        <f t="shared" si="22"/>
        <v>#REF!</v>
      </c>
      <c r="S128" s="150" t="e">
        <f t="shared" si="23"/>
        <v>#REF!</v>
      </c>
      <c r="T128" s="161" t="e">
        <f t="shared" si="24"/>
        <v>#REF!</v>
      </c>
      <c r="U128" s="161" t="e">
        <f t="shared" si="25"/>
        <v>#REF!</v>
      </c>
      <c r="V128" s="134" t="e">
        <f t="shared" si="26"/>
        <v>#REF!</v>
      </c>
      <c r="W128" s="134" t="e">
        <f t="shared" si="27"/>
        <v>#REF!</v>
      </c>
      <c r="X128" s="134" t="e">
        <f t="shared" si="28"/>
        <v>#REF!</v>
      </c>
    </row>
    <row r="129" spans="2:24" ht="15.75" thickBot="1" x14ac:dyDescent="0.3">
      <c r="B129" s="1244"/>
      <c r="C129" s="54" t="e">
        <f>'Combustão Móvel'!#REF!</f>
        <v>#REF!</v>
      </c>
      <c r="D129" s="145" t="e">
        <f>'Combustão Móvel'!#REF!</f>
        <v>#REF!</v>
      </c>
      <c r="E129" s="149">
        <v>0</v>
      </c>
      <c r="F129" s="150" t="e">
        <f t="shared" si="15"/>
        <v>#REF!</v>
      </c>
      <c r="G129" s="150" t="e">
        <f t="shared" si="16"/>
        <v>#REF!</v>
      </c>
      <c r="H129" s="150" t="e">
        <f t="shared" si="17"/>
        <v>#REF!</v>
      </c>
      <c r="I129" s="150" t="e">
        <f t="shared" si="18"/>
        <v>#REF!</v>
      </c>
      <c r="J129" s="150" t="e">
        <f t="shared" si="19"/>
        <v>#REF!</v>
      </c>
      <c r="K129" s="151" t="e">
        <f t="shared" si="20"/>
        <v>#REF!</v>
      </c>
      <c r="L129" s="36" t="e">
        <f>'Combustão Móvel'!#REF!</f>
        <v>#REF!</v>
      </c>
      <c r="M129" s="40" t="e">
        <f>'Combustão Móvel'!#REF!</f>
        <v>#REF!</v>
      </c>
      <c r="N129" s="150"/>
      <c r="O129" s="150" t="e">
        <f t="shared" si="21"/>
        <v>#REF!</v>
      </c>
      <c r="P129" s="150"/>
      <c r="Q129" s="150"/>
      <c r="R129" s="150" t="e">
        <f t="shared" si="22"/>
        <v>#REF!</v>
      </c>
      <c r="S129" s="150" t="e">
        <f t="shared" si="23"/>
        <v>#REF!</v>
      </c>
      <c r="T129" s="161" t="e">
        <f t="shared" si="24"/>
        <v>#REF!</v>
      </c>
      <c r="U129" s="161" t="e">
        <f t="shared" si="25"/>
        <v>#REF!</v>
      </c>
      <c r="V129" s="134" t="e">
        <f t="shared" si="26"/>
        <v>#REF!</v>
      </c>
      <c r="W129" s="134" t="e">
        <f t="shared" si="27"/>
        <v>#REF!</v>
      </c>
      <c r="X129" s="134" t="e">
        <f t="shared" si="28"/>
        <v>#REF!</v>
      </c>
    </row>
    <row r="130" spans="2:24" ht="15.75" thickBot="1" x14ac:dyDescent="0.3">
      <c r="B130" s="1244"/>
      <c r="C130" s="54" t="e">
        <f>'Combustão Móvel'!#REF!</f>
        <v>#REF!</v>
      </c>
      <c r="D130" s="145" t="e">
        <f>'Combustão Móvel'!#REF!</f>
        <v>#REF!</v>
      </c>
      <c r="E130" s="149">
        <v>0</v>
      </c>
      <c r="F130" s="150" t="e">
        <f t="shared" si="15"/>
        <v>#REF!</v>
      </c>
      <c r="G130" s="150" t="e">
        <f t="shared" si="16"/>
        <v>#REF!</v>
      </c>
      <c r="H130" s="150" t="e">
        <f t="shared" si="17"/>
        <v>#REF!</v>
      </c>
      <c r="I130" s="150" t="e">
        <f t="shared" si="18"/>
        <v>#REF!</v>
      </c>
      <c r="J130" s="150" t="e">
        <f t="shared" si="19"/>
        <v>#REF!</v>
      </c>
      <c r="K130" s="151" t="e">
        <f t="shared" si="20"/>
        <v>#REF!</v>
      </c>
      <c r="L130" s="36" t="e">
        <f>'Combustão Móvel'!#REF!</f>
        <v>#REF!</v>
      </c>
      <c r="M130" s="40" t="e">
        <f>'Combustão Móvel'!#REF!</f>
        <v>#REF!</v>
      </c>
      <c r="N130" s="150"/>
      <c r="O130" s="150" t="e">
        <f t="shared" si="21"/>
        <v>#REF!</v>
      </c>
      <c r="P130" s="150"/>
      <c r="Q130" s="150"/>
      <c r="R130" s="150" t="e">
        <f t="shared" si="22"/>
        <v>#REF!</v>
      </c>
      <c r="S130" s="150" t="e">
        <f t="shared" si="23"/>
        <v>#REF!</v>
      </c>
      <c r="T130" s="161" t="e">
        <f t="shared" si="24"/>
        <v>#REF!</v>
      </c>
      <c r="U130" s="161" t="e">
        <f t="shared" si="25"/>
        <v>#REF!</v>
      </c>
      <c r="V130" s="134" t="e">
        <f t="shared" si="26"/>
        <v>#REF!</v>
      </c>
      <c r="W130" s="134" t="e">
        <f t="shared" si="27"/>
        <v>#REF!</v>
      </c>
      <c r="X130" s="134" t="e">
        <f t="shared" si="28"/>
        <v>#REF!</v>
      </c>
    </row>
    <row r="131" spans="2:24" ht="15.75" thickBot="1" x14ac:dyDescent="0.3">
      <c r="B131" s="1244"/>
      <c r="C131" s="54" t="e">
        <f>'Combustão Móvel'!#REF!</f>
        <v>#REF!</v>
      </c>
      <c r="D131" s="145" t="e">
        <f>'Combustão Móvel'!#REF!</f>
        <v>#REF!</v>
      </c>
      <c r="E131" s="149">
        <v>0</v>
      </c>
      <c r="F131" s="150" t="e">
        <f t="shared" si="15"/>
        <v>#REF!</v>
      </c>
      <c r="G131" s="150" t="e">
        <f t="shared" si="16"/>
        <v>#REF!</v>
      </c>
      <c r="H131" s="150" t="e">
        <f t="shared" si="17"/>
        <v>#REF!</v>
      </c>
      <c r="I131" s="150" t="e">
        <f t="shared" si="18"/>
        <v>#REF!</v>
      </c>
      <c r="J131" s="150" t="e">
        <f t="shared" si="19"/>
        <v>#REF!</v>
      </c>
      <c r="K131" s="151" t="e">
        <f t="shared" si="20"/>
        <v>#REF!</v>
      </c>
      <c r="L131" s="36" t="e">
        <f>'Combustão Móvel'!#REF!</f>
        <v>#REF!</v>
      </c>
      <c r="M131" s="40" t="e">
        <f>'Combustão Móvel'!#REF!</f>
        <v>#REF!</v>
      </c>
      <c r="N131" s="150"/>
      <c r="O131" s="150" t="e">
        <f t="shared" si="21"/>
        <v>#REF!</v>
      </c>
      <c r="P131" s="150"/>
      <c r="Q131" s="150"/>
      <c r="R131" s="150" t="e">
        <f t="shared" si="22"/>
        <v>#REF!</v>
      </c>
      <c r="S131" s="150" t="e">
        <f t="shared" si="23"/>
        <v>#REF!</v>
      </c>
      <c r="T131" s="161" t="e">
        <f t="shared" si="24"/>
        <v>#REF!</v>
      </c>
      <c r="U131" s="161" t="e">
        <f t="shared" si="25"/>
        <v>#REF!</v>
      </c>
      <c r="V131" s="134" t="e">
        <f t="shared" si="26"/>
        <v>#REF!</v>
      </c>
      <c r="W131" s="134" t="e">
        <f t="shared" si="27"/>
        <v>#REF!</v>
      </c>
      <c r="X131" s="134" t="e">
        <f t="shared" si="28"/>
        <v>#REF!</v>
      </c>
    </row>
    <row r="132" spans="2:24" ht="15.75" thickBot="1" x14ac:dyDescent="0.3">
      <c r="B132" s="1245"/>
      <c r="C132" s="54" t="e">
        <f>'Combustão Móvel'!#REF!</f>
        <v>#REF!</v>
      </c>
      <c r="D132" s="145" t="e">
        <f>'Combustão Móvel'!#REF!</f>
        <v>#REF!</v>
      </c>
      <c r="E132" s="152">
        <v>0</v>
      </c>
      <c r="F132" s="153" t="e">
        <f t="shared" si="15"/>
        <v>#REF!</v>
      </c>
      <c r="G132" s="153" t="e">
        <f t="shared" si="16"/>
        <v>#REF!</v>
      </c>
      <c r="H132" s="153" t="e">
        <f t="shared" si="17"/>
        <v>#REF!</v>
      </c>
      <c r="I132" s="153" t="e">
        <f t="shared" si="18"/>
        <v>#REF!</v>
      </c>
      <c r="J132" s="153" t="e">
        <f t="shared" si="19"/>
        <v>#REF!</v>
      </c>
      <c r="K132" s="154" t="e">
        <f t="shared" si="20"/>
        <v>#REF!</v>
      </c>
      <c r="L132" s="36" t="e">
        <f>'Combustão Móvel'!#REF!</f>
        <v>#REF!</v>
      </c>
      <c r="M132" s="40" t="e">
        <f>'Combustão Móvel'!#REF!</f>
        <v>#REF!</v>
      </c>
      <c r="N132" s="150"/>
      <c r="O132" s="150" t="e">
        <f t="shared" si="21"/>
        <v>#REF!</v>
      </c>
      <c r="P132" s="150"/>
      <c r="Q132" s="150"/>
      <c r="R132" s="150" t="e">
        <f t="shared" si="22"/>
        <v>#REF!</v>
      </c>
      <c r="S132" s="150" t="e">
        <f t="shared" si="23"/>
        <v>#REF!</v>
      </c>
      <c r="T132" s="161" t="e">
        <f t="shared" si="24"/>
        <v>#REF!</v>
      </c>
      <c r="U132" s="161" t="e">
        <f t="shared" si="25"/>
        <v>#REF!</v>
      </c>
      <c r="V132" s="134" t="e">
        <f t="shared" si="26"/>
        <v>#REF!</v>
      </c>
      <c r="W132" s="134" t="e">
        <f t="shared" si="27"/>
        <v>#REF!</v>
      </c>
      <c r="X132" s="134" t="e">
        <f t="shared" si="28"/>
        <v>#REF!</v>
      </c>
    </row>
    <row r="133" spans="2:24" ht="15.75" thickBot="1" x14ac:dyDescent="0.3">
      <c r="B133" s="1249" t="s">
        <v>227</v>
      </c>
      <c r="C133" s="39" t="e">
        <f>'Combustão Móvel'!#REF!</f>
        <v>#REF!</v>
      </c>
      <c r="D133" s="155" t="e">
        <f>'Combustão Móvel'!#REF!</f>
        <v>#REF!</v>
      </c>
      <c r="E133" s="156" t="e">
        <f>'Combustão Móvel'!#REF!</f>
        <v>#REF!</v>
      </c>
      <c r="F133" s="156" t="e">
        <f>IF(C133=$F$32,D133,0)</f>
        <v>#REF!</v>
      </c>
      <c r="G133" s="156" t="e">
        <f>IF(C133=$G$32,D133,0)</f>
        <v>#REF!</v>
      </c>
      <c r="H133" s="156" t="e">
        <f>IF(C133=$H$32,D133,0)</f>
        <v>#REF!</v>
      </c>
      <c r="I133" s="156" t="e">
        <f>IF(C133=$I$32,E133,0)</f>
        <v>#REF!</v>
      </c>
      <c r="J133" s="156" t="e">
        <f>IF(C133=$J$32,E133,0)</f>
        <v>#REF!</v>
      </c>
      <c r="K133" s="155" t="e">
        <f>IF(C133=$K$32,E133,0)</f>
        <v>#REF!</v>
      </c>
      <c r="L133" s="64" t="e">
        <f>'Combustão Móvel'!#REF!</f>
        <v>#REF!</v>
      </c>
      <c r="M133" s="65" t="e">
        <f>'Combustão Móvel'!#REF!</f>
        <v>#REF!</v>
      </c>
      <c r="N133" s="150"/>
      <c r="O133" s="150" t="e">
        <f t="shared" si="21"/>
        <v>#REF!</v>
      </c>
      <c r="P133" s="150"/>
      <c r="Q133" s="150"/>
      <c r="R133" s="150" t="e">
        <f t="shared" si="22"/>
        <v>#REF!</v>
      </c>
      <c r="S133" s="150" t="e">
        <f t="shared" si="23"/>
        <v>#REF!</v>
      </c>
      <c r="T133" s="161" t="e">
        <f t="shared" si="24"/>
        <v>#REF!</v>
      </c>
      <c r="U133" s="161" t="e">
        <f t="shared" si="25"/>
        <v>#REF!</v>
      </c>
      <c r="V133" s="134" t="e">
        <f t="shared" si="26"/>
        <v>#REF!</v>
      </c>
      <c r="W133" s="134" t="e">
        <f t="shared" si="27"/>
        <v>#REF!</v>
      </c>
      <c r="X133" s="134" t="e">
        <f t="shared" si="28"/>
        <v>#REF!</v>
      </c>
    </row>
    <row r="134" spans="2:24" ht="15.75" thickBot="1" x14ac:dyDescent="0.3">
      <c r="B134" s="1250"/>
      <c r="C134" s="39" t="e">
        <f>'Combustão Móvel'!#REF!</f>
        <v>#REF!</v>
      </c>
      <c r="D134" s="155" t="e">
        <f>'Combustão Móvel'!#REF!</f>
        <v>#REF!</v>
      </c>
      <c r="E134" s="150" t="e">
        <f>'Combustão Móvel'!#REF!</f>
        <v>#REF!</v>
      </c>
      <c r="F134" s="150" t="e">
        <f t="shared" ref="F134:F197" si="29">IF(C134=$F$32,D134,0)</f>
        <v>#REF!</v>
      </c>
      <c r="G134" s="150" t="e">
        <f t="shared" ref="G134:G197" si="30">IF(C134=$G$32,D134,0)</f>
        <v>#REF!</v>
      </c>
      <c r="H134" s="150" t="e">
        <f t="shared" ref="H134:H197" si="31">IF(C134=$H$32,D134,0)</f>
        <v>#REF!</v>
      </c>
      <c r="I134" s="150" t="e">
        <f t="shared" ref="I134:I197" si="32">IF(C134=$I$32,E134,0)</f>
        <v>#REF!</v>
      </c>
      <c r="J134" s="150" t="e">
        <f t="shared" ref="J134:J197" si="33">IF(C134=$J$32,E134,0)</f>
        <v>#REF!</v>
      </c>
      <c r="K134" s="157" t="e">
        <f t="shared" ref="K134:K197" si="34">IF(C134=$K$32,E134,0)</f>
        <v>#REF!</v>
      </c>
      <c r="L134" s="64" t="e">
        <f>'Combustão Móvel'!#REF!</f>
        <v>#REF!</v>
      </c>
      <c r="M134" s="65" t="e">
        <f>'Combustão Móvel'!#REF!</f>
        <v>#REF!</v>
      </c>
      <c r="N134" s="150"/>
      <c r="O134" s="150" t="e">
        <f t="shared" si="21"/>
        <v>#REF!</v>
      </c>
      <c r="P134" s="150"/>
      <c r="Q134" s="150"/>
      <c r="R134" s="150" t="e">
        <f t="shared" si="22"/>
        <v>#REF!</v>
      </c>
      <c r="S134" s="150" t="e">
        <f t="shared" si="23"/>
        <v>#REF!</v>
      </c>
      <c r="T134" s="161" t="e">
        <f t="shared" si="24"/>
        <v>#REF!</v>
      </c>
      <c r="U134" s="161" t="e">
        <f t="shared" si="25"/>
        <v>#REF!</v>
      </c>
      <c r="V134" s="134" t="e">
        <f t="shared" si="26"/>
        <v>#REF!</v>
      </c>
      <c r="W134" s="134" t="e">
        <f t="shared" si="27"/>
        <v>#REF!</v>
      </c>
      <c r="X134" s="134" t="e">
        <f t="shared" si="28"/>
        <v>#REF!</v>
      </c>
    </row>
    <row r="135" spans="2:24" ht="15.75" thickBot="1" x14ac:dyDescent="0.3">
      <c r="B135" s="1250"/>
      <c r="C135" s="39" t="e">
        <f>'Combustão Móvel'!#REF!</f>
        <v>#REF!</v>
      </c>
      <c r="D135" s="155" t="e">
        <f>'Combustão Móvel'!#REF!</f>
        <v>#REF!</v>
      </c>
      <c r="E135" s="150" t="e">
        <f>'Combustão Móvel'!#REF!</f>
        <v>#REF!</v>
      </c>
      <c r="F135" s="150" t="e">
        <f t="shared" si="29"/>
        <v>#REF!</v>
      </c>
      <c r="G135" s="150" t="e">
        <f t="shared" si="30"/>
        <v>#REF!</v>
      </c>
      <c r="H135" s="150" t="e">
        <f t="shared" si="31"/>
        <v>#REF!</v>
      </c>
      <c r="I135" s="150" t="e">
        <f t="shared" si="32"/>
        <v>#REF!</v>
      </c>
      <c r="J135" s="150" t="e">
        <f t="shared" si="33"/>
        <v>#REF!</v>
      </c>
      <c r="K135" s="157" t="e">
        <f t="shared" si="34"/>
        <v>#REF!</v>
      </c>
      <c r="L135" s="64" t="e">
        <f>'Combustão Móvel'!#REF!</f>
        <v>#REF!</v>
      </c>
      <c r="M135" s="65" t="e">
        <f>'Combustão Móvel'!#REF!</f>
        <v>#REF!</v>
      </c>
      <c r="N135" s="150"/>
      <c r="O135" s="150" t="e">
        <f t="shared" si="21"/>
        <v>#REF!</v>
      </c>
      <c r="P135" s="150"/>
      <c r="Q135" s="150"/>
      <c r="R135" s="150" t="e">
        <f t="shared" si="22"/>
        <v>#REF!</v>
      </c>
      <c r="S135" s="150" t="e">
        <f t="shared" si="23"/>
        <v>#REF!</v>
      </c>
      <c r="T135" s="161" t="e">
        <f t="shared" si="24"/>
        <v>#REF!</v>
      </c>
      <c r="U135" s="161" t="e">
        <f t="shared" si="25"/>
        <v>#REF!</v>
      </c>
      <c r="V135" s="134" t="e">
        <f t="shared" si="26"/>
        <v>#REF!</v>
      </c>
      <c r="W135" s="134" t="e">
        <f t="shared" si="27"/>
        <v>#REF!</v>
      </c>
      <c r="X135" s="134" t="e">
        <f t="shared" si="28"/>
        <v>#REF!</v>
      </c>
    </row>
    <row r="136" spans="2:24" ht="15.75" thickBot="1" x14ac:dyDescent="0.3">
      <c r="B136" s="1250"/>
      <c r="C136" s="39" t="e">
        <f>'Combustão Móvel'!#REF!</f>
        <v>#REF!</v>
      </c>
      <c r="D136" s="155" t="e">
        <f>'Combustão Móvel'!#REF!</f>
        <v>#REF!</v>
      </c>
      <c r="E136" s="150" t="e">
        <f>'Combustão Móvel'!#REF!</f>
        <v>#REF!</v>
      </c>
      <c r="F136" s="150" t="e">
        <f t="shared" si="29"/>
        <v>#REF!</v>
      </c>
      <c r="G136" s="150" t="e">
        <f t="shared" si="30"/>
        <v>#REF!</v>
      </c>
      <c r="H136" s="150" t="e">
        <f t="shared" si="31"/>
        <v>#REF!</v>
      </c>
      <c r="I136" s="150" t="e">
        <f t="shared" si="32"/>
        <v>#REF!</v>
      </c>
      <c r="J136" s="150" t="e">
        <f t="shared" si="33"/>
        <v>#REF!</v>
      </c>
      <c r="K136" s="157" t="e">
        <f t="shared" si="34"/>
        <v>#REF!</v>
      </c>
      <c r="L136" s="64" t="e">
        <f>'Combustão Móvel'!#REF!</f>
        <v>#REF!</v>
      </c>
      <c r="M136" s="65" t="e">
        <f>'Combustão Móvel'!#REF!</f>
        <v>#REF!</v>
      </c>
      <c r="N136" s="150"/>
      <c r="O136" s="150" t="e">
        <f t="shared" si="21"/>
        <v>#REF!</v>
      </c>
      <c r="P136" s="150"/>
      <c r="Q136" s="150"/>
      <c r="R136" s="150" t="e">
        <f t="shared" si="22"/>
        <v>#REF!</v>
      </c>
      <c r="S136" s="150" t="e">
        <f t="shared" si="23"/>
        <v>#REF!</v>
      </c>
      <c r="T136" s="161" t="e">
        <f t="shared" si="24"/>
        <v>#REF!</v>
      </c>
      <c r="U136" s="161" t="e">
        <f t="shared" si="25"/>
        <v>#REF!</v>
      </c>
      <c r="V136" s="134" t="e">
        <f t="shared" si="26"/>
        <v>#REF!</v>
      </c>
      <c r="W136" s="134" t="e">
        <f t="shared" si="27"/>
        <v>#REF!</v>
      </c>
      <c r="X136" s="134" t="e">
        <f t="shared" si="28"/>
        <v>#REF!</v>
      </c>
    </row>
    <row r="137" spans="2:24" ht="15.75" thickBot="1" x14ac:dyDescent="0.3">
      <c r="B137" s="1250"/>
      <c r="C137" s="39" t="e">
        <f>'Combustão Móvel'!#REF!</f>
        <v>#REF!</v>
      </c>
      <c r="D137" s="155" t="e">
        <f>'Combustão Móvel'!#REF!</f>
        <v>#REF!</v>
      </c>
      <c r="E137" s="150" t="e">
        <f>'Combustão Móvel'!#REF!</f>
        <v>#REF!</v>
      </c>
      <c r="F137" s="150" t="e">
        <f t="shared" si="29"/>
        <v>#REF!</v>
      </c>
      <c r="G137" s="150" t="e">
        <f t="shared" si="30"/>
        <v>#REF!</v>
      </c>
      <c r="H137" s="150" t="e">
        <f t="shared" si="31"/>
        <v>#REF!</v>
      </c>
      <c r="I137" s="150" t="e">
        <f t="shared" si="32"/>
        <v>#REF!</v>
      </c>
      <c r="J137" s="150" t="e">
        <f t="shared" si="33"/>
        <v>#REF!</v>
      </c>
      <c r="K137" s="157" t="e">
        <f t="shared" si="34"/>
        <v>#REF!</v>
      </c>
      <c r="L137" s="64" t="e">
        <f>'Combustão Móvel'!#REF!</f>
        <v>#REF!</v>
      </c>
      <c r="M137" s="65" t="e">
        <f>'Combustão Móvel'!#REF!</f>
        <v>#REF!</v>
      </c>
      <c r="N137" s="150"/>
      <c r="O137" s="150" t="e">
        <f t="shared" si="21"/>
        <v>#REF!</v>
      </c>
      <c r="P137" s="150"/>
      <c r="Q137" s="150"/>
      <c r="R137" s="150" t="e">
        <f t="shared" si="22"/>
        <v>#REF!</v>
      </c>
      <c r="S137" s="150" t="e">
        <f t="shared" si="23"/>
        <v>#REF!</v>
      </c>
      <c r="T137" s="161" t="e">
        <f t="shared" si="24"/>
        <v>#REF!</v>
      </c>
      <c r="U137" s="161" t="e">
        <f t="shared" si="25"/>
        <v>#REF!</v>
      </c>
      <c r="V137" s="134" t="e">
        <f t="shared" si="26"/>
        <v>#REF!</v>
      </c>
      <c r="W137" s="134" t="e">
        <f t="shared" si="27"/>
        <v>#REF!</v>
      </c>
      <c r="X137" s="134" t="e">
        <f t="shared" si="28"/>
        <v>#REF!</v>
      </c>
    </row>
    <row r="138" spans="2:24" ht="15.75" thickBot="1" x14ac:dyDescent="0.3">
      <c r="B138" s="1250"/>
      <c r="C138" s="39" t="e">
        <f>'Combustão Móvel'!#REF!</f>
        <v>#REF!</v>
      </c>
      <c r="D138" s="155" t="e">
        <f>'Combustão Móvel'!#REF!</f>
        <v>#REF!</v>
      </c>
      <c r="E138" s="150" t="e">
        <f>'Combustão Móvel'!#REF!</f>
        <v>#REF!</v>
      </c>
      <c r="F138" s="150" t="e">
        <f t="shared" si="29"/>
        <v>#REF!</v>
      </c>
      <c r="G138" s="150" t="e">
        <f t="shared" si="30"/>
        <v>#REF!</v>
      </c>
      <c r="H138" s="150" t="e">
        <f t="shared" si="31"/>
        <v>#REF!</v>
      </c>
      <c r="I138" s="150" t="e">
        <f t="shared" si="32"/>
        <v>#REF!</v>
      </c>
      <c r="J138" s="150" t="e">
        <f t="shared" si="33"/>
        <v>#REF!</v>
      </c>
      <c r="K138" s="157" t="e">
        <f t="shared" si="34"/>
        <v>#REF!</v>
      </c>
      <c r="L138" s="64" t="e">
        <f>'Combustão Móvel'!#REF!</f>
        <v>#REF!</v>
      </c>
      <c r="M138" s="65" t="e">
        <f>'Combustão Móvel'!#REF!</f>
        <v>#REF!</v>
      </c>
      <c r="N138" s="150"/>
      <c r="O138" s="150" t="e">
        <f t="shared" si="21"/>
        <v>#REF!</v>
      </c>
      <c r="P138" s="150"/>
      <c r="Q138" s="150"/>
      <c r="R138" s="150" t="e">
        <f t="shared" si="22"/>
        <v>#REF!</v>
      </c>
      <c r="S138" s="150" t="e">
        <f t="shared" si="23"/>
        <v>#REF!</v>
      </c>
      <c r="T138" s="161" t="e">
        <f t="shared" si="24"/>
        <v>#REF!</v>
      </c>
      <c r="U138" s="161" t="e">
        <f t="shared" si="25"/>
        <v>#REF!</v>
      </c>
      <c r="V138" s="134" t="e">
        <f t="shared" si="26"/>
        <v>#REF!</v>
      </c>
      <c r="W138" s="134" t="e">
        <f t="shared" si="27"/>
        <v>#REF!</v>
      </c>
      <c r="X138" s="134" t="e">
        <f t="shared" si="28"/>
        <v>#REF!</v>
      </c>
    </row>
    <row r="139" spans="2:24" ht="15.75" thickBot="1" x14ac:dyDescent="0.3">
      <c r="B139" s="1250"/>
      <c r="C139" s="39" t="e">
        <f>'Combustão Móvel'!#REF!</f>
        <v>#REF!</v>
      </c>
      <c r="D139" s="155" t="e">
        <f>'Combustão Móvel'!#REF!</f>
        <v>#REF!</v>
      </c>
      <c r="E139" s="150" t="e">
        <f>'Combustão Móvel'!#REF!</f>
        <v>#REF!</v>
      </c>
      <c r="F139" s="150" t="e">
        <f t="shared" si="29"/>
        <v>#REF!</v>
      </c>
      <c r="G139" s="150" t="e">
        <f t="shared" si="30"/>
        <v>#REF!</v>
      </c>
      <c r="H139" s="150" t="e">
        <f t="shared" si="31"/>
        <v>#REF!</v>
      </c>
      <c r="I139" s="150" t="e">
        <f t="shared" si="32"/>
        <v>#REF!</v>
      </c>
      <c r="J139" s="150" t="e">
        <f t="shared" si="33"/>
        <v>#REF!</v>
      </c>
      <c r="K139" s="157" t="e">
        <f t="shared" si="34"/>
        <v>#REF!</v>
      </c>
      <c r="L139" s="64" t="e">
        <f>'Combustão Móvel'!#REF!</f>
        <v>#REF!</v>
      </c>
      <c r="M139" s="65" t="e">
        <f>'Combustão Móvel'!#REF!</f>
        <v>#REF!</v>
      </c>
      <c r="N139" s="150"/>
      <c r="O139" s="150" t="e">
        <f t="shared" si="21"/>
        <v>#REF!</v>
      </c>
      <c r="P139" s="150"/>
      <c r="Q139" s="150"/>
      <c r="R139" s="150" t="e">
        <f t="shared" si="22"/>
        <v>#REF!</v>
      </c>
      <c r="S139" s="150" t="e">
        <f t="shared" si="23"/>
        <v>#REF!</v>
      </c>
      <c r="T139" s="161" t="e">
        <f t="shared" si="24"/>
        <v>#REF!</v>
      </c>
      <c r="U139" s="161" t="e">
        <f t="shared" si="25"/>
        <v>#REF!</v>
      </c>
      <c r="V139" s="134" t="e">
        <f t="shared" si="26"/>
        <v>#REF!</v>
      </c>
      <c r="W139" s="134" t="e">
        <f t="shared" si="27"/>
        <v>#REF!</v>
      </c>
      <c r="X139" s="134" t="e">
        <f t="shared" si="28"/>
        <v>#REF!</v>
      </c>
    </row>
    <row r="140" spans="2:24" ht="15.75" thickBot="1" x14ac:dyDescent="0.3">
      <c r="B140" s="1250"/>
      <c r="C140" s="39" t="e">
        <f>'Combustão Móvel'!#REF!</f>
        <v>#REF!</v>
      </c>
      <c r="D140" s="155" t="e">
        <f>'Combustão Móvel'!#REF!</f>
        <v>#REF!</v>
      </c>
      <c r="E140" s="150" t="e">
        <f>'Combustão Móvel'!#REF!</f>
        <v>#REF!</v>
      </c>
      <c r="F140" s="150" t="e">
        <f t="shared" si="29"/>
        <v>#REF!</v>
      </c>
      <c r="G140" s="150" t="e">
        <f t="shared" si="30"/>
        <v>#REF!</v>
      </c>
      <c r="H140" s="150" t="e">
        <f t="shared" si="31"/>
        <v>#REF!</v>
      </c>
      <c r="I140" s="150" t="e">
        <f t="shared" si="32"/>
        <v>#REF!</v>
      </c>
      <c r="J140" s="150" t="e">
        <f t="shared" si="33"/>
        <v>#REF!</v>
      </c>
      <c r="K140" s="157" t="e">
        <f t="shared" si="34"/>
        <v>#REF!</v>
      </c>
      <c r="L140" s="64" t="e">
        <f>'Combustão Móvel'!#REF!</f>
        <v>#REF!</v>
      </c>
      <c r="M140" s="65" t="e">
        <f>'Combustão Móvel'!#REF!</f>
        <v>#REF!</v>
      </c>
      <c r="N140" s="150"/>
      <c r="O140" s="150" t="e">
        <f t="shared" si="21"/>
        <v>#REF!</v>
      </c>
      <c r="P140" s="150"/>
      <c r="Q140" s="150"/>
      <c r="R140" s="150" t="e">
        <f t="shared" si="22"/>
        <v>#REF!</v>
      </c>
      <c r="S140" s="150" t="e">
        <f t="shared" si="23"/>
        <v>#REF!</v>
      </c>
      <c r="T140" s="161" t="e">
        <f t="shared" si="24"/>
        <v>#REF!</v>
      </c>
      <c r="U140" s="161" t="e">
        <f t="shared" si="25"/>
        <v>#REF!</v>
      </c>
      <c r="V140" s="134" t="e">
        <f t="shared" si="26"/>
        <v>#REF!</v>
      </c>
      <c r="W140" s="134" t="e">
        <f t="shared" si="27"/>
        <v>#REF!</v>
      </c>
      <c r="X140" s="134" t="e">
        <f t="shared" si="28"/>
        <v>#REF!</v>
      </c>
    </row>
    <row r="141" spans="2:24" ht="15.75" thickBot="1" x14ac:dyDescent="0.3">
      <c r="B141" s="1250"/>
      <c r="C141" s="39" t="e">
        <f>'Combustão Móvel'!#REF!</f>
        <v>#REF!</v>
      </c>
      <c r="D141" s="155" t="e">
        <f>'Combustão Móvel'!#REF!</f>
        <v>#REF!</v>
      </c>
      <c r="E141" s="150" t="e">
        <f>'Combustão Móvel'!#REF!</f>
        <v>#REF!</v>
      </c>
      <c r="F141" s="150" t="e">
        <f t="shared" si="29"/>
        <v>#REF!</v>
      </c>
      <c r="G141" s="150" t="e">
        <f t="shared" si="30"/>
        <v>#REF!</v>
      </c>
      <c r="H141" s="150" t="e">
        <f t="shared" si="31"/>
        <v>#REF!</v>
      </c>
      <c r="I141" s="150" t="e">
        <f t="shared" si="32"/>
        <v>#REF!</v>
      </c>
      <c r="J141" s="150" t="e">
        <f t="shared" si="33"/>
        <v>#REF!</v>
      </c>
      <c r="K141" s="157" t="e">
        <f t="shared" si="34"/>
        <v>#REF!</v>
      </c>
      <c r="L141" s="64" t="e">
        <f>'Combustão Móvel'!#REF!</f>
        <v>#REF!</v>
      </c>
      <c r="M141" s="65" t="e">
        <f>'Combustão Móvel'!#REF!</f>
        <v>#REF!</v>
      </c>
      <c r="N141" s="150"/>
      <c r="O141" s="150" t="e">
        <f t="shared" si="21"/>
        <v>#REF!</v>
      </c>
      <c r="P141" s="150"/>
      <c r="Q141" s="150"/>
      <c r="R141" s="150" t="e">
        <f t="shared" si="22"/>
        <v>#REF!</v>
      </c>
      <c r="S141" s="150" t="e">
        <f t="shared" si="23"/>
        <v>#REF!</v>
      </c>
      <c r="T141" s="161" t="e">
        <f t="shared" si="24"/>
        <v>#REF!</v>
      </c>
      <c r="U141" s="161" t="e">
        <f t="shared" si="25"/>
        <v>#REF!</v>
      </c>
      <c r="V141" s="134" t="e">
        <f t="shared" si="26"/>
        <v>#REF!</v>
      </c>
      <c r="W141" s="134" t="e">
        <f t="shared" si="27"/>
        <v>#REF!</v>
      </c>
      <c r="X141" s="134" t="e">
        <f t="shared" si="28"/>
        <v>#REF!</v>
      </c>
    </row>
    <row r="142" spans="2:24" ht="15.75" thickBot="1" x14ac:dyDescent="0.3">
      <c r="B142" s="1250"/>
      <c r="C142" s="39" t="e">
        <f>'Combustão Móvel'!#REF!</f>
        <v>#REF!</v>
      </c>
      <c r="D142" s="155" t="e">
        <f>'Combustão Móvel'!#REF!</f>
        <v>#REF!</v>
      </c>
      <c r="E142" s="150" t="e">
        <f>'Combustão Móvel'!#REF!</f>
        <v>#REF!</v>
      </c>
      <c r="F142" s="150" t="e">
        <f t="shared" si="29"/>
        <v>#REF!</v>
      </c>
      <c r="G142" s="150" t="e">
        <f t="shared" si="30"/>
        <v>#REF!</v>
      </c>
      <c r="H142" s="150" t="e">
        <f t="shared" si="31"/>
        <v>#REF!</v>
      </c>
      <c r="I142" s="150" t="e">
        <f t="shared" si="32"/>
        <v>#REF!</v>
      </c>
      <c r="J142" s="150" t="e">
        <f t="shared" si="33"/>
        <v>#REF!</v>
      </c>
      <c r="K142" s="157" t="e">
        <f t="shared" si="34"/>
        <v>#REF!</v>
      </c>
      <c r="L142" s="64" t="e">
        <f>'Combustão Móvel'!#REF!</f>
        <v>#REF!</v>
      </c>
      <c r="M142" s="65" t="e">
        <f>'Combustão Móvel'!#REF!</f>
        <v>#REF!</v>
      </c>
      <c r="N142" s="150"/>
      <c r="O142" s="150" t="e">
        <f t="shared" si="21"/>
        <v>#REF!</v>
      </c>
      <c r="P142" s="150"/>
      <c r="Q142" s="150"/>
      <c r="R142" s="150" t="e">
        <f t="shared" si="22"/>
        <v>#REF!</v>
      </c>
      <c r="S142" s="150" t="e">
        <f t="shared" si="23"/>
        <v>#REF!</v>
      </c>
      <c r="T142" s="161" t="e">
        <f t="shared" si="24"/>
        <v>#REF!</v>
      </c>
      <c r="U142" s="161" t="e">
        <f t="shared" si="25"/>
        <v>#REF!</v>
      </c>
      <c r="V142" s="134" t="e">
        <f t="shared" si="26"/>
        <v>#REF!</v>
      </c>
      <c r="W142" s="134" t="e">
        <f t="shared" si="27"/>
        <v>#REF!</v>
      </c>
      <c r="X142" s="134" t="e">
        <f t="shared" si="28"/>
        <v>#REF!</v>
      </c>
    </row>
    <row r="143" spans="2:24" ht="15.75" thickBot="1" x14ac:dyDescent="0.3">
      <c r="B143" s="1250"/>
      <c r="C143" s="39" t="e">
        <f>'Combustão Móvel'!#REF!</f>
        <v>#REF!</v>
      </c>
      <c r="D143" s="155" t="e">
        <f>'Combustão Móvel'!#REF!</f>
        <v>#REF!</v>
      </c>
      <c r="E143" s="150" t="e">
        <f>'Combustão Móvel'!#REF!</f>
        <v>#REF!</v>
      </c>
      <c r="F143" s="150" t="e">
        <f t="shared" si="29"/>
        <v>#REF!</v>
      </c>
      <c r="G143" s="150" t="e">
        <f t="shared" si="30"/>
        <v>#REF!</v>
      </c>
      <c r="H143" s="150" t="e">
        <f t="shared" si="31"/>
        <v>#REF!</v>
      </c>
      <c r="I143" s="150" t="e">
        <f t="shared" si="32"/>
        <v>#REF!</v>
      </c>
      <c r="J143" s="150" t="e">
        <f t="shared" si="33"/>
        <v>#REF!</v>
      </c>
      <c r="K143" s="157" t="e">
        <f t="shared" si="34"/>
        <v>#REF!</v>
      </c>
      <c r="L143" s="64" t="e">
        <f>'Combustão Móvel'!#REF!</f>
        <v>#REF!</v>
      </c>
      <c r="M143" s="65" t="e">
        <f>'Combustão Móvel'!#REF!</f>
        <v>#REF!</v>
      </c>
      <c r="N143" s="150"/>
      <c r="O143" s="150" t="e">
        <f t="shared" si="21"/>
        <v>#REF!</v>
      </c>
      <c r="P143" s="150"/>
      <c r="Q143" s="150"/>
      <c r="R143" s="150" t="e">
        <f t="shared" si="22"/>
        <v>#REF!</v>
      </c>
      <c r="S143" s="150" t="e">
        <f t="shared" si="23"/>
        <v>#REF!</v>
      </c>
      <c r="T143" s="161" t="e">
        <f t="shared" si="24"/>
        <v>#REF!</v>
      </c>
      <c r="U143" s="161" t="e">
        <f t="shared" si="25"/>
        <v>#REF!</v>
      </c>
      <c r="V143" s="134" t="e">
        <f t="shared" si="26"/>
        <v>#REF!</v>
      </c>
      <c r="W143" s="134" t="e">
        <f t="shared" si="27"/>
        <v>#REF!</v>
      </c>
      <c r="X143" s="134" t="e">
        <f t="shared" si="28"/>
        <v>#REF!</v>
      </c>
    </row>
    <row r="144" spans="2:24" ht="15.75" thickBot="1" x14ac:dyDescent="0.3">
      <c r="B144" s="1250"/>
      <c r="C144" s="39" t="e">
        <f>'Combustão Móvel'!#REF!</f>
        <v>#REF!</v>
      </c>
      <c r="D144" s="155" t="e">
        <f>'Combustão Móvel'!#REF!</f>
        <v>#REF!</v>
      </c>
      <c r="E144" s="150" t="e">
        <f>'Combustão Móvel'!#REF!</f>
        <v>#REF!</v>
      </c>
      <c r="F144" s="150" t="e">
        <f t="shared" si="29"/>
        <v>#REF!</v>
      </c>
      <c r="G144" s="150" t="e">
        <f t="shared" si="30"/>
        <v>#REF!</v>
      </c>
      <c r="H144" s="150" t="e">
        <f t="shared" si="31"/>
        <v>#REF!</v>
      </c>
      <c r="I144" s="150" t="e">
        <f t="shared" si="32"/>
        <v>#REF!</v>
      </c>
      <c r="J144" s="150" t="e">
        <f t="shared" si="33"/>
        <v>#REF!</v>
      </c>
      <c r="K144" s="157" t="e">
        <f t="shared" si="34"/>
        <v>#REF!</v>
      </c>
      <c r="L144" s="64" t="e">
        <f>'Combustão Móvel'!#REF!</f>
        <v>#REF!</v>
      </c>
      <c r="M144" s="65" t="e">
        <f>'Combustão Móvel'!#REF!</f>
        <v>#REF!</v>
      </c>
      <c r="N144" s="150"/>
      <c r="O144" s="150" t="e">
        <f t="shared" si="21"/>
        <v>#REF!</v>
      </c>
      <c r="P144" s="150"/>
      <c r="Q144" s="150"/>
      <c r="R144" s="150" t="e">
        <f t="shared" si="22"/>
        <v>#REF!</v>
      </c>
      <c r="S144" s="150" t="e">
        <f t="shared" si="23"/>
        <v>#REF!</v>
      </c>
      <c r="T144" s="161" t="e">
        <f t="shared" si="24"/>
        <v>#REF!</v>
      </c>
      <c r="U144" s="161" t="e">
        <f t="shared" si="25"/>
        <v>#REF!</v>
      </c>
      <c r="V144" s="134" t="e">
        <f t="shared" si="26"/>
        <v>#REF!</v>
      </c>
      <c r="W144" s="134" t="e">
        <f t="shared" si="27"/>
        <v>#REF!</v>
      </c>
      <c r="X144" s="134" t="e">
        <f t="shared" si="28"/>
        <v>#REF!</v>
      </c>
    </row>
    <row r="145" spans="2:24" ht="15.75" thickBot="1" x14ac:dyDescent="0.3">
      <c r="B145" s="1250"/>
      <c r="C145" s="39" t="e">
        <f>'Combustão Móvel'!#REF!</f>
        <v>#REF!</v>
      </c>
      <c r="D145" s="155" t="e">
        <f>'Combustão Móvel'!#REF!</f>
        <v>#REF!</v>
      </c>
      <c r="E145" s="150" t="e">
        <f>'Combustão Móvel'!#REF!</f>
        <v>#REF!</v>
      </c>
      <c r="F145" s="150" t="e">
        <f t="shared" si="29"/>
        <v>#REF!</v>
      </c>
      <c r="G145" s="150" t="e">
        <f t="shared" si="30"/>
        <v>#REF!</v>
      </c>
      <c r="H145" s="150" t="e">
        <f t="shared" si="31"/>
        <v>#REF!</v>
      </c>
      <c r="I145" s="150" t="e">
        <f t="shared" si="32"/>
        <v>#REF!</v>
      </c>
      <c r="J145" s="150" t="e">
        <f t="shared" si="33"/>
        <v>#REF!</v>
      </c>
      <c r="K145" s="157" t="e">
        <f t="shared" si="34"/>
        <v>#REF!</v>
      </c>
      <c r="L145" s="64" t="e">
        <f>'Combustão Móvel'!#REF!</f>
        <v>#REF!</v>
      </c>
      <c r="M145" s="65" t="e">
        <f>'Combustão Móvel'!#REF!</f>
        <v>#REF!</v>
      </c>
      <c r="N145" s="150"/>
      <c r="O145" s="150" t="e">
        <f t="shared" si="21"/>
        <v>#REF!</v>
      </c>
      <c r="P145" s="150"/>
      <c r="Q145" s="150"/>
      <c r="R145" s="150" t="e">
        <f t="shared" si="22"/>
        <v>#REF!</v>
      </c>
      <c r="S145" s="150" t="e">
        <f t="shared" si="23"/>
        <v>#REF!</v>
      </c>
      <c r="T145" s="161" t="e">
        <f t="shared" si="24"/>
        <v>#REF!</v>
      </c>
      <c r="U145" s="161" t="e">
        <f t="shared" si="25"/>
        <v>#REF!</v>
      </c>
      <c r="V145" s="134" t="e">
        <f t="shared" si="26"/>
        <v>#REF!</v>
      </c>
      <c r="W145" s="134" t="e">
        <f t="shared" si="27"/>
        <v>#REF!</v>
      </c>
      <c r="X145" s="134" t="e">
        <f t="shared" si="28"/>
        <v>#REF!</v>
      </c>
    </row>
    <row r="146" spans="2:24" ht="15.75" thickBot="1" x14ac:dyDescent="0.3">
      <c r="B146" s="1250"/>
      <c r="C146" s="39" t="e">
        <f>'Combustão Móvel'!#REF!</f>
        <v>#REF!</v>
      </c>
      <c r="D146" s="155" t="e">
        <f>'Combustão Móvel'!#REF!</f>
        <v>#REF!</v>
      </c>
      <c r="E146" s="150" t="e">
        <f>'Combustão Móvel'!#REF!</f>
        <v>#REF!</v>
      </c>
      <c r="F146" s="150" t="e">
        <f t="shared" si="29"/>
        <v>#REF!</v>
      </c>
      <c r="G146" s="150" t="e">
        <f t="shared" si="30"/>
        <v>#REF!</v>
      </c>
      <c r="H146" s="150" t="e">
        <f t="shared" si="31"/>
        <v>#REF!</v>
      </c>
      <c r="I146" s="150" t="e">
        <f t="shared" si="32"/>
        <v>#REF!</v>
      </c>
      <c r="J146" s="150" t="e">
        <f t="shared" si="33"/>
        <v>#REF!</v>
      </c>
      <c r="K146" s="157" t="e">
        <f t="shared" si="34"/>
        <v>#REF!</v>
      </c>
      <c r="L146" s="64" t="e">
        <f>'Combustão Móvel'!#REF!</f>
        <v>#REF!</v>
      </c>
      <c r="M146" s="65" t="e">
        <f>'Combustão Móvel'!#REF!</f>
        <v>#REF!</v>
      </c>
      <c r="N146" s="150"/>
      <c r="O146" s="150" t="e">
        <f t="shared" si="21"/>
        <v>#REF!</v>
      </c>
      <c r="P146" s="150"/>
      <c r="Q146" s="150"/>
      <c r="R146" s="150" t="e">
        <f t="shared" si="22"/>
        <v>#REF!</v>
      </c>
      <c r="S146" s="150" t="e">
        <f t="shared" si="23"/>
        <v>#REF!</v>
      </c>
      <c r="T146" s="161" t="e">
        <f t="shared" si="24"/>
        <v>#REF!</v>
      </c>
      <c r="U146" s="161" t="e">
        <f t="shared" si="25"/>
        <v>#REF!</v>
      </c>
      <c r="V146" s="134" t="e">
        <f t="shared" si="26"/>
        <v>#REF!</v>
      </c>
      <c r="W146" s="134" t="e">
        <f t="shared" si="27"/>
        <v>#REF!</v>
      </c>
      <c r="X146" s="134" t="e">
        <f t="shared" si="28"/>
        <v>#REF!</v>
      </c>
    </row>
    <row r="147" spans="2:24" ht="15.75" thickBot="1" x14ac:dyDescent="0.3">
      <c r="B147" s="1250"/>
      <c r="C147" s="39" t="e">
        <f>'Combustão Móvel'!#REF!</f>
        <v>#REF!</v>
      </c>
      <c r="D147" s="155" t="e">
        <f>'Combustão Móvel'!#REF!</f>
        <v>#REF!</v>
      </c>
      <c r="E147" s="150" t="e">
        <f>'Combustão Móvel'!#REF!</f>
        <v>#REF!</v>
      </c>
      <c r="F147" s="150" t="e">
        <f t="shared" si="29"/>
        <v>#REF!</v>
      </c>
      <c r="G147" s="150" t="e">
        <f t="shared" si="30"/>
        <v>#REF!</v>
      </c>
      <c r="H147" s="150" t="e">
        <f t="shared" si="31"/>
        <v>#REF!</v>
      </c>
      <c r="I147" s="150" t="e">
        <f t="shared" si="32"/>
        <v>#REF!</v>
      </c>
      <c r="J147" s="150" t="e">
        <f t="shared" si="33"/>
        <v>#REF!</v>
      </c>
      <c r="K147" s="157" t="e">
        <f t="shared" si="34"/>
        <v>#REF!</v>
      </c>
      <c r="L147" s="64" t="e">
        <f>'Combustão Móvel'!#REF!</f>
        <v>#REF!</v>
      </c>
      <c r="M147" s="65" t="e">
        <f>'Combustão Móvel'!#REF!</f>
        <v>#REF!</v>
      </c>
      <c r="N147" s="150"/>
      <c r="O147" s="150" t="e">
        <f t="shared" si="21"/>
        <v>#REF!</v>
      </c>
      <c r="P147" s="150"/>
      <c r="Q147" s="150"/>
      <c r="R147" s="150" t="e">
        <f t="shared" si="22"/>
        <v>#REF!</v>
      </c>
      <c r="S147" s="150" t="e">
        <f t="shared" si="23"/>
        <v>#REF!</v>
      </c>
      <c r="T147" s="161" t="e">
        <f t="shared" si="24"/>
        <v>#REF!</v>
      </c>
      <c r="U147" s="161" t="e">
        <f t="shared" si="25"/>
        <v>#REF!</v>
      </c>
      <c r="V147" s="134" t="e">
        <f t="shared" si="26"/>
        <v>#REF!</v>
      </c>
      <c r="W147" s="134" t="e">
        <f t="shared" si="27"/>
        <v>#REF!</v>
      </c>
      <c r="X147" s="134" t="e">
        <f t="shared" si="28"/>
        <v>#REF!</v>
      </c>
    </row>
    <row r="148" spans="2:24" ht="15.75" thickBot="1" x14ac:dyDescent="0.3">
      <c r="B148" s="1250"/>
      <c r="C148" s="39" t="e">
        <f>'Combustão Móvel'!#REF!</f>
        <v>#REF!</v>
      </c>
      <c r="D148" s="155" t="e">
        <f>'Combustão Móvel'!#REF!</f>
        <v>#REF!</v>
      </c>
      <c r="E148" s="150" t="e">
        <f>'Combustão Móvel'!#REF!</f>
        <v>#REF!</v>
      </c>
      <c r="F148" s="150" t="e">
        <f t="shared" si="29"/>
        <v>#REF!</v>
      </c>
      <c r="G148" s="150" t="e">
        <f t="shared" si="30"/>
        <v>#REF!</v>
      </c>
      <c r="H148" s="150" t="e">
        <f t="shared" si="31"/>
        <v>#REF!</v>
      </c>
      <c r="I148" s="150" t="e">
        <f t="shared" si="32"/>
        <v>#REF!</v>
      </c>
      <c r="J148" s="150" t="e">
        <f t="shared" si="33"/>
        <v>#REF!</v>
      </c>
      <c r="K148" s="157" t="e">
        <f t="shared" si="34"/>
        <v>#REF!</v>
      </c>
      <c r="L148" s="64" t="e">
        <f>'Combustão Móvel'!#REF!</f>
        <v>#REF!</v>
      </c>
      <c r="M148" s="65" t="e">
        <f>'Combustão Móvel'!#REF!</f>
        <v>#REF!</v>
      </c>
      <c r="N148" s="150"/>
      <c r="O148" s="150" t="e">
        <f t="shared" si="21"/>
        <v>#REF!</v>
      </c>
      <c r="P148" s="150"/>
      <c r="Q148" s="150"/>
      <c r="R148" s="150" t="e">
        <f t="shared" si="22"/>
        <v>#REF!</v>
      </c>
      <c r="S148" s="150" t="e">
        <f t="shared" si="23"/>
        <v>#REF!</v>
      </c>
      <c r="T148" s="161" t="e">
        <f t="shared" si="24"/>
        <v>#REF!</v>
      </c>
      <c r="U148" s="161" t="e">
        <f t="shared" si="25"/>
        <v>#REF!</v>
      </c>
      <c r="V148" s="134" t="e">
        <f t="shared" si="26"/>
        <v>#REF!</v>
      </c>
      <c r="W148" s="134" t="e">
        <f t="shared" si="27"/>
        <v>#REF!</v>
      </c>
      <c r="X148" s="134" t="e">
        <f t="shared" si="28"/>
        <v>#REF!</v>
      </c>
    </row>
    <row r="149" spans="2:24" ht="15.75" thickBot="1" x14ac:dyDescent="0.3">
      <c r="B149" s="1250"/>
      <c r="C149" s="39" t="e">
        <f>'Combustão Móvel'!#REF!</f>
        <v>#REF!</v>
      </c>
      <c r="D149" s="155" t="e">
        <f>'Combustão Móvel'!#REF!</f>
        <v>#REF!</v>
      </c>
      <c r="E149" s="150" t="e">
        <f>'Combustão Móvel'!#REF!</f>
        <v>#REF!</v>
      </c>
      <c r="F149" s="150" t="e">
        <f t="shared" si="29"/>
        <v>#REF!</v>
      </c>
      <c r="G149" s="150" t="e">
        <f t="shared" si="30"/>
        <v>#REF!</v>
      </c>
      <c r="H149" s="150" t="e">
        <f t="shared" si="31"/>
        <v>#REF!</v>
      </c>
      <c r="I149" s="150" t="e">
        <f t="shared" si="32"/>
        <v>#REF!</v>
      </c>
      <c r="J149" s="150" t="e">
        <f t="shared" si="33"/>
        <v>#REF!</v>
      </c>
      <c r="K149" s="157" t="e">
        <f t="shared" si="34"/>
        <v>#REF!</v>
      </c>
      <c r="L149" s="64" t="e">
        <f>'Combustão Móvel'!#REF!</f>
        <v>#REF!</v>
      </c>
      <c r="M149" s="65" t="e">
        <f>'Combustão Móvel'!#REF!</f>
        <v>#REF!</v>
      </c>
      <c r="N149" s="150"/>
      <c r="O149" s="150" t="e">
        <f t="shared" si="21"/>
        <v>#REF!</v>
      </c>
      <c r="P149" s="150"/>
      <c r="Q149" s="150"/>
      <c r="R149" s="150" t="e">
        <f t="shared" si="22"/>
        <v>#REF!</v>
      </c>
      <c r="S149" s="150" t="e">
        <f t="shared" si="23"/>
        <v>#REF!</v>
      </c>
      <c r="T149" s="161" t="e">
        <f t="shared" si="24"/>
        <v>#REF!</v>
      </c>
      <c r="U149" s="161" t="e">
        <f t="shared" si="25"/>
        <v>#REF!</v>
      </c>
      <c r="V149" s="134" t="e">
        <f t="shared" si="26"/>
        <v>#REF!</v>
      </c>
      <c r="W149" s="134" t="e">
        <f t="shared" si="27"/>
        <v>#REF!</v>
      </c>
      <c r="X149" s="134" t="e">
        <f t="shared" si="28"/>
        <v>#REF!</v>
      </c>
    </row>
    <row r="150" spans="2:24" ht="15.75" thickBot="1" x14ac:dyDescent="0.3">
      <c r="B150" s="1250"/>
      <c r="C150" s="39" t="e">
        <f>'Combustão Móvel'!#REF!</f>
        <v>#REF!</v>
      </c>
      <c r="D150" s="155" t="e">
        <f>'Combustão Móvel'!#REF!</f>
        <v>#REF!</v>
      </c>
      <c r="E150" s="150" t="e">
        <f>'Combustão Móvel'!#REF!</f>
        <v>#REF!</v>
      </c>
      <c r="F150" s="150" t="e">
        <f t="shared" si="29"/>
        <v>#REF!</v>
      </c>
      <c r="G150" s="150" t="e">
        <f t="shared" si="30"/>
        <v>#REF!</v>
      </c>
      <c r="H150" s="150" t="e">
        <f t="shared" si="31"/>
        <v>#REF!</v>
      </c>
      <c r="I150" s="150" t="e">
        <f t="shared" si="32"/>
        <v>#REF!</v>
      </c>
      <c r="J150" s="150" t="e">
        <f t="shared" si="33"/>
        <v>#REF!</v>
      </c>
      <c r="K150" s="157" t="e">
        <f t="shared" si="34"/>
        <v>#REF!</v>
      </c>
      <c r="L150" s="64" t="e">
        <f>'Combustão Móvel'!#REF!</f>
        <v>#REF!</v>
      </c>
      <c r="M150" s="65" t="e">
        <f>'Combustão Móvel'!#REF!</f>
        <v>#REF!</v>
      </c>
      <c r="N150" s="150"/>
      <c r="O150" s="150" t="e">
        <f t="shared" si="21"/>
        <v>#REF!</v>
      </c>
      <c r="P150" s="150"/>
      <c r="Q150" s="150"/>
      <c r="R150" s="150" t="e">
        <f t="shared" si="22"/>
        <v>#REF!</v>
      </c>
      <c r="S150" s="150" t="e">
        <f t="shared" si="23"/>
        <v>#REF!</v>
      </c>
      <c r="T150" s="161" t="e">
        <f t="shared" si="24"/>
        <v>#REF!</v>
      </c>
      <c r="U150" s="161" t="e">
        <f t="shared" si="25"/>
        <v>#REF!</v>
      </c>
      <c r="V150" s="134" t="e">
        <f t="shared" si="26"/>
        <v>#REF!</v>
      </c>
      <c r="W150" s="134" t="e">
        <f t="shared" si="27"/>
        <v>#REF!</v>
      </c>
      <c r="X150" s="134" t="e">
        <f t="shared" si="28"/>
        <v>#REF!</v>
      </c>
    </row>
    <row r="151" spans="2:24" ht="15.75" thickBot="1" x14ac:dyDescent="0.3">
      <c r="B151" s="1250"/>
      <c r="C151" s="39" t="e">
        <f>'Combustão Móvel'!#REF!</f>
        <v>#REF!</v>
      </c>
      <c r="D151" s="155" t="e">
        <f>'Combustão Móvel'!#REF!</f>
        <v>#REF!</v>
      </c>
      <c r="E151" s="150" t="e">
        <f>'Combustão Móvel'!#REF!</f>
        <v>#REF!</v>
      </c>
      <c r="F151" s="150" t="e">
        <f t="shared" si="29"/>
        <v>#REF!</v>
      </c>
      <c r="G151" s="150" t="e">
        <f t="shared" si="30"/>
        <v>#REF!</v>
      </c>
      <c r="H151" s="150" t="e">
        <f t="shared" si="31"/>
        <v>#REF!</v>
      </c>
      <c r="I151" s="150" t="e">
        <f t="shared" si="32"/>
        <v>#REF!</v>
      </c>
      <c r="J151" s="150" t="e">
        <f t="shared" si="33"/>
        <v>#REF!</v>
      </c>
      <c r="K151" s="157" t="e">
        <f t="shared" si="34"/>
        <v>#REF!</v>
      </c>
      <c r="L151" s="64" t="e">
        <f>'Combustão Móvel'!#REF!</f>
        <v>#REF!</v>
      </c>
      <c r="M151" s="65" t="e">
        <f>'Combustão Móvel'!#REF!</f>
        <v>#REF!</v>
      </c>
      <c r="N151" s="150"/>
      <c r="O151" s="150" t="e">
        <f t="shared" si="21"/>
        <v>#REF!</v>
      </c>
      <c r="P151" s="150"/>
      <c r="Q151" s="150"/>
      <c r="R151" s="150" t="e">
        <f t="shared" si="22"/>
        <v>#REF!</v>
      </c>
      <c r="S151" s="150" t="e">
        <f t="shared" si="23"/>
        <v>#REF!</v>
      </c>
      <c r="T151" s="161" t="e">
        <f t="shared" si="24"/>
        <v>#REF!</v>
      </c>
      <c r="U151" s="161" t="e">
        <f t="shared" si="25"/>
        <v>#REF!</v>
      </c>
      <c r="V151" s="134" t="e">
        <f t="shared" si="26"/>
        <v>#REF!</v>
      </c>
      <c r="W151" s="134" t="e">
        <f t="shared" si="27"/>
        <v>#REF!</v>
      </c>
      <c r="X151" s="134" t="e">
        <f t="shared" si="28"/>
        <v>#REF!</v>
      </c>
    </row>
    <row r="152" spans="2:24" ht="15.75" thickBot="1" x14ac:dyDescent="0.3">
      <c r="B152" s="1250"/>
      <c r="C152" s="39" t="e">
        <f>'Combustão Móvel'!#REF!</f>
        <v>#REF!</v>
      </c>
      <c r="D152" s="155" t="e">
        <f>'Combustão Móvel'!#REF!</f>
        <v>#REF!</v>
      </c>
      <c r="E152" s="150" t="e">
        <f>'Combustão Móvel'!#REF!</f>
        <v>#REF!</v>
      </c>
      <c r="F152" s="150" t="e">
        <f t="shared" si="29"/>
        <v>#REF!</v>
      </c>
      <c r="G152" s="150" t="e">
        <f t="shared" si="30"/>
        <v>#REF!</v>
      </c>
      <c r="H152" s="150" t="e">
        <f t="shared" si="31"/>
        <v>#REF!</v>
      </c>
      <c r="I152" s="150" t="e">
        <f t="shared" si="32"/>
        <v>#REF!</v>
      </c>
      <c r="J152" s="150" t="e">
        <f t="shared" si="33"/>
        <v>#REF!</v>
      </c>
      <c r="K152" s="157" t="e">
        <f t="shared" si="34"/>
        <v>#REF!</v>
      </c>
      <c r="L152" s="64" t="e">
        <f>'Combustão Móvel'!#REF!</f>
        <v>#REF!</v>
      </c>
      <c r="M152" s="65" t="e">
        <f>'Combustão Móvel'!#REF!</f>
        <v>#REF!</v>
      </c>
      <c r="N152" s="150"/>
      <c r="O152" s="150" t="e">
        <f t="shared" si="21"/>
        <v>#REF!</v>
      </c>
      <c r="P152" s="150"/>
      <c r="Q152" s="150"/>
      <c r="R152" s="150" t="e">
        <f t="shared" si="22"/>
        <v>#REF!</v>
      </c>
      <c r="S152" s="150" t="e">
        <f t="shared" si="23"/>
        <v>#REF!</v>
      </c>
      <c r="T152" s="161" t="e">
        <f t="shared" si="24"/>
        <v>#REF!</v>
      </c>
      <c r="U152" s="161" t="e">
        <f t="shared" si="25"/>
        <v>#REF!</v>
      </c>
      <c r="V152" s="134" t="e">
        <f t="shared" si="26"/>
        <v>#REF!</v>
      </c>
      <c r="W152" s="134" t="e">
        <f t="shared" si="27"/>
        <v>#REF!</v>
      </c>
      <c r="X152" s="134" t="e">
        <f t="shared" si="28"/>
        <v>#REF!</v>
      </c>
    </row>
    <row r="153" spans="2:24" ht="15.75" thickBot="1" x14ac:dyDescent="0.3">
      <c r="B153" s="1250"/>
      <c r="C153" s="39" t="e">
        <f>'Combustão Móvel'!#REF!</f>
        <v>#REF!</v>
      </c>
      <c r="D153" s="155" t="e">
        <f>'Combustão Móvel'!#REF!</f>
        <v>#REF!</v>
      </c>
      <c r="E153" s="150" t="e">
        <f>'Combustão Móvel'!#REF!</f>
        <v>#REF!</v>
      </c>
      <c r="F153" s="150" t="e">
        <f t="shared" si="29"/>
        <v>#REF!</v>
      </c>
      <c r="G153" s="150" t="e">
        <f t="shared" si="30"/>
        <v>#REF!</v>
      </c>
      <c r="H153" s="150" t="e">
        <f t="shared" si="31"/>
        <v>#REF!</v>
      </c>
      <c r="I153" s="150" t="e">
        <f t="shared" si="32"/>
        <v>#REF!</v>
      </c>
      <c r="J153" s="150" t="e">
        <f t="shared" si="33"/>
        <v>#REF!</v>
      </c>
      <c r="K153" s="157" t="e">
        <f t="shared" si="34"/>
        <v>#REF!</v>
      </c>
      <c r="L153" s="64" t="e">
        <f>'Combustão Móvel'!#REF!</f>
        <v>#REF!</v>
      </c>
      <c r="M153" s="65" t="e">
        <f>'Combustão Móvel'!#REF!</f>
        <v>#REF!</v>
      </c>
      <c r="N153" s="150"/>
      <c r="O153" s="150" t="e">
        <f t="shared" si="21"/>
        <v>#REF!</v>
      </c>
      <c r="P153" s="150"/>
      <c r="Q153" s="150"/>
      <c r="R153" s="150" t="e">
        <f t="shared" si="22"/>
        <v>#REF!</v>
      </c>
      <c r="S153" s="150" t="e">
        <f t="shared" si="23"/>
        <v>#REF!</v>
      </c>
      <c r="T153" s="161" t="e">
        <f t="shared" si="24"/>
        <v>#REF!</v>
      </c>
      <c r="U153" s="161" t="e">
        <f t="shared" si="25"/>
        <v>#REF!</v>
      </c>
      <c r="V153" s="134" t="e">
        <f t="shared" si="26"/>
        <v>#REF!</v>
      </c>
      <c r="W153" s="134" t="e">
        <f t="shared" si="27"/>
        <v>#REF!</v>
      </c>
      <c r="X153" s="134" t="e">
        <f t="shared" si="28"/>
        <v>#REF!</v>
      </c>
    </row>
    <row r="154" spans="2:24" ht="15.75" thickBot="1" x14ac:dyDescent="0.3">
      <c r="B154" s="1250"/>
      <c r="C154" s="39" t="e">
        <f>'Combustão Móvel'!#REF!</f>
        <v>#REF!</v>
      </c>
      <c r="D154" s="155" t="e">
        <f>'Combustão Móvel'!#REF!</f>
        <v>#REF!</v>
      </c>
      <c r="E154" s="150" t="e">
        <f>'Combustão Móvel'!#REF!</f>
        <v>#REF!</v>
      </c>
      <c r="F154" s="150" t="e">
        <f t="shared" si="29"/>
        <v>#REF!</v>
      </c>
      <c r="G154" s="150" t="e">
        <f t="shared" si="30"/>
        <v>#REF!</v>
      </c>
      <c r="H154" s="150" t="e">
        <f t="shared" si="31"/>
        <v>#REF!</v>
      </c>
      <c r="I154" s="150" t="e">
        <f t="shared" si="32"/>
        <v>#REF!</v>
      </c>
      <c r="J154" s="150" t="e">
        <f t="shared" si="33"/>
        <v>#REF!</v>
      </c>
      <c r="K154" s="157" t="e">
        <f t="shared" si="34"/>
        <v>#REF!</v>
      </c>
      <c r="L154" s="64" t="e">
        <f>'Combustão Móvel'!#REF!</f>
        <v>#REF!</v>
      </c>
      <c r="M154" s="65" t="e">
        <f>'Combustão Móvel'!#REF!</f>
        <v>#REF!</v>
      </c>
      <c r="N154" s="150"/>
      <c r="O154" s="150" t="e">
        <f t="shared" si="21"/>
        <v>#REF!</v>
      </c>
      <c r="P154" s="150"/>
      <c r="Q154" s="150"/>
      <c r="R154" s="150" t="e">
        <f t="shared" si="22"/>
        <v>#REF!</v>
      </c>
      <c r="S154" s="150" t="e">
        <f t="shared" si="23"/>
        <v>#REF!</v>
      </c>
      <c r="T154" s="161" t="e">
        <f t="shared" si="24"/>
        <v>#REF!</v>
      </c>
      <c r="U154" s="161" t="e">
        <f t="shared" si="25"/>
        <v>#REF!</v>
      </c>
      <c r="V154" s="134" t="e">
        <f t="shared" si="26"/>
        <v>#REF!</v>
      </c>
      <c r="W154" s="134" t="e">
        <f t="shared" si="27"/>
        <v>#REF!</v>
      </c>
      <c r="X154" s="134" t="e">
        <f t="shared" si="28"/>
        <v>#REF!</v>
      </c>
    </row>
    <row r="155" spans="2:24" ht="15.75" thickBot="1" x14ac:dyDescent="0.3">
      <c r="B155" s="1250"/>
      <c r="C155" s="39" t="e">
        <f>'Combustão Móvel'!#REF!</f>
        <v>#REF!</v>
      </c>
      <c r="D155" s="155" t="e">
        <f>'Combustão Móvel'!#REF!</f>
        <v>#REF!</v>
      </c>
      <c r="E155" s="150" t="e">
        <f>'Combustão Móvel'!#REF!</f>
        <v>#REF!</v>
      </c>
      <c r="F155" s="150" t="e">
        <f t="shared" si="29"/>
        <v>#REF!</v>
      </c>
      <c r="G155" s="150" t="e">
        <f t="shared" si="30"/>
        <v>#REF!</v>
      </c>
      <c r="H155" s="150" t="e">
        <f t="shared" si="31"/>
        <v>#REF!</v>
      </c>
      <c r="I155" s="150" t="e">
        <f t="shared" si="32"/>
        <v>#REF!</v>
      </c>
      <c r="J155" s="150" t="e">
        <f t="shared" si="33"/>
        <v>#REF!</v>
      </c>
      <c r="K155" s="157" t="e">
        <f t="shared" si="34"/>
        <v>#REF!</v>
      </c>
      <c r="L155" s="64" t="e">
        <f>'Combustão Móvel'!#REF!</f>
        <v>#REF!</v>
      </c>
      <c r="M155" s="65" t="e">
        <f>'Combustão Móvel'!#REF!</f>
        <v>#REF!</v>
      </c>
      <c r="N155" s="150"/>
      <c r="O155" s="150" t="e">
        <f t="shared" si="21"/>
        <v>#REF!</v>
      </c>
      <c r="P155" s="150"/>
      <c r="Q155" s="150"/>
      <c r="R155" s="150" t="e">
        <f t="shared" si="22"/>
        <v>#REF!</v>
      </c>
      <c r="S155" s="150" t="e">
        <f t="shared" si="23"/>
        <v>#REF!</v>
      </c>
      <c r="T155" s="161" t="e">
        <f t="shared" si="24"/>
        <v>#REF!</v>
      </c>
      <c r="U155" s="161" t="e">
        <f t="shared" si="25"/>
        <v>#REF!</v>
      </c>
      <c r="V155" s="134" t="e">
        <f t="shared" si="26"/>
        <v>#REF!</v>
      </c>
      <c r="W155" s="134" t="e">
        <f t="shared" si="27"/>
        <v>#REF!</v>
      </c>
      <c r="X155" s="134" t="e">
        <f t="shared" si="28"/>
        <v>#REF!</v>
      </c>
    </row>
    <row r="156" spans="2:24" ht="15.75" thickBot="1" x14ac:dyDescent="0.3">
      <c r="B156" s="1250"/>
      <c r="C156" s="39" t="e">
        <f>'Combustão Móvel'!#REF!</f>
        <v>#REF!</v>
      </c>
      <c r="D156" s="155" t="e">
        <f>'Combustão Móvel'!#REF!</f>
        <v>#REF!</v>
      </c>
      <c r="E156" s="150" t="e">
        <f>'Combustão Móvel'!#REF!</f>
        <v>#REF!</v>
      </c>
      <c r="F156" s="150" t="e">
        <f t="shared" si="29"/>
        <v>#REF!</v>
      </c>
      <c r="G156" s="150" t="e">
        <f t="shared" si="30"/>
        <v>#REF!</v>
      </c>
      <c r="H156" s="150" t="e">
        <f t="shared" si="31"/>
        <v>#REF!</v>
      </c>
      <c r="I156" s="150" t="e">
        <f t="shared" si="32"/>
        <v>#REF!</v>
      </c>
      <c r="J156" s="150" t="e">
        <f t="shared" si="33"/>
        <v>#REF!</v>
      </c>
      <c r="K156" s="157" t="e">
        <f t="shared" si="34"/>
        <v>#REF!</v>
      </c>
      <c r="L156" s="64" t="e">
        <f>'Combustão Móvel'!#REF!</f>
        <v>#REF!</v>
      </c>
      <c r="M156" s="65" t="e">
        <f>'Combustão Móvel'!#REF!</f>
        <v>#REF!</v>
      </c>
      <c r="N156" s="150"/>
      <c r="O156" s="150" t="e">
        <f t="shared" si="21"/>
        <v>#REF!</v>
      </c>
      <c r="P156" s="150"/>
      <c r="Q156" s="150"/>
      <c r="R156" s="150" t="e">
        <f t="shared" si="22"/>
        <v>#REF!</v>
      </c>
      <c r="S156" s="150" t="e">
        <f t="shared" si="23"/>
        <v>#REF!</v>
      </c>
      <c r="T156" s="161" t="e">
        <f t="shared" si="24"/>
        <v>#REF!</v>
      </c>
      <c r="U156" s="161" t="e">
        <f t="shared" si="25"/>
        <v>#REF!</v>
      </c>
      <c r="V156" s="134" t="e">
        <f t="shared" si="26"/>
        <v>#REF!</v>
      </c>
      <c r="W156" s="134" t="e">
        <f t="shared" si="27"/>
        <v>#REF!</v>
      </c>
      <c r="X156" s="134" t="e">
        <f t="shared" si="28"/>
        <v>#REF!</v>
      </c>
    </row>
    <row r="157" spans="2:24" ht="15.75" thickBot="1" x14ac:dyDescent="0.3">
      <c r="B157" s="1250"/>
      <c r="C157" s="39" t="e">
        <f>'Combustão Móvel'!#REF!</f>
        <v>#REF!</v>
      </c>
      <c r="D157" s="155" t="e">
        <f>'Combustão Móvel'!#REF!</f>
        <v>#REF!</v>
      </c>
      <c r="E157" s="150" t="e">
        <f>'Combustão Móvel'!#REF!</f>
        <v>#REF!</v>
      </c>
      <c r="F157" s="150" t="e">
        <f t="shared" si="29"/>
        <v>#REF!</v>
      </c>
      <c r="G157" s="150" t="e">
        <f t="shared" si="30"/>
        <v>#REF!</v>
      </c>
      <c r="H157" s="150" t="e">
        <f t="shared" si="31"/>
        <v>#REF!</v>
      </c>
      <c r="I157" s="150" t="e">
        <f t="shared" si="32"/>
        <v>#REF!</v>
      </c>
      <c r="J157" s="150" t="e">
        <f t="shared" si="33"/>
        <v>#REF!</v>
      </c>
      <c r="K157" s="157" t="e">
        <f t="shared" si="34"/>
        <v>#REF!</v>
      </c>
      <c r="L157" s="64" t="e">
        <f>'Combustão Móvel'!#REF!</f>
        <v>#REF!</v>
      </c>
      <c r="M157" s="65" t="e">
        <f>'Combustão Móvel'!#REF!</f>
        <v>#REF!</v>
      </c>
      <c r="N157" s="150"/>
      <c r="O157" s="150" t="e">
        <f t="shared" si="21"/>
        <v>#REF!</v>
      </c>
      <c r="P157" s="150"/>
      <c r="Q157" s="150"/>
      <c r="R157" s="150" t="e">
        <f t="shared" si="22"/>
        <v>#REF!</v>
      </c>
      <c r="S157" s="150" t="e">
        <f t="shared" si="23"/>
        <v>#REF!</v>
      </c>
      <c r="T157" s="161" t="e">
        <f t="shared" si="24"/>
        <v>#REF!</v>
      </c>
      <c r="U157" s="161" t="e">
        <f t="shared" si="25"/>
        <v>#REF!</v>
      </c>
      <c r="V157" s="134" t="e">
        <f t="shared" si="26"/>
        <v>#REF!</v>
      </c>
      <c r="W157" s="134" t="e">
        <f t="shared" si="27"/>
        <v>#REF!</v>
      </c>
      <c r="X157" s="134" t="e">
        <f t="shared" si="28"/>
        <v>#REF!</v>
      </c>
    </row>
    <row r="158" spans="2:24" ht="15.75" thickBot="1" x14ac:dyDescent="0.3">
      <c r="B158" s="1250"/>
      <c r="C158" s="39" t="e">
        <f>'Combustão Móvel'!#REF!</f>
        <v>#REF!</v>
      </c>
      <c r="D158" s="155" t="e">
        <f>'Combustão Móvel'!#REF!</f>
        <v>#REF!</v>
      </c>
      <c r="E158" s="150" t="e">
        <f>'Combustão Móvel'!#REF!</f>
        <v>#REF!</v>
      </c>
      <c r="F158" s="150" t="e">
        <f t="shared" si="29"/>
        <v>#REF!</v>
      </c>
      <c r="G158" s="150" t="e">
        <f t="shared" si="30"/>
        <v>#REF!</v>
      </c>
      <c r="H158" s="150" t="e">
        <f t="shared" si="31"/>
        <v>#REF!</v>
      </c>
      <c r="I158" s="150" t="e">
        <f t="shared" si="32"/>
        <v>#REF!</v>
      </c>
      <c r="J158" s="150" t="e">
        <f t="shared" si="33"/>
        <v>#REF!</v>
      </c>
      <c r="K158" s="157" t="e">
        <f t="shared" si="34"/>
        <v>#REF!</v>
      </c>
      <c r="L158" s="64" t="e">
        <f>'Combustão Móvel'!#REF!</f>
        <v>#REF!</v>
      </c>
      <c r="M158" s="65" t="e">
        <f>'Combustão Móvel'!#REF!</f>
        <v>#REF!</v>
      </c>
      <c r="N158" s="150"/>
      <c r="O158" s="150" t="e">
        <f t="shared" si="21"/>
        <v>#REF!</v>
      </c>
      <c r="P158" s="150"/>
      <c r="Q158" s="150"/>
      <c r="R158" s="150" t="e">
        <f t="shared" si="22"/>
        <v>#REF!</v>
      </c>
      <c r="S158" s="150" t="e">
        <f t="shared" si="23"/>
        <v>#REF!</v>
      </c>
      <c r="T158" s="161" t="e">
        <f t="shared" si="24"/>
        <v>#REF!</v>
      </c>
      <c r="U158" s="161" t="e">
        <f t="shared" si="25"/>
        <v>#REF!</v>
      </c>
      <c r="V158" s="134" t="e">
        <f t="shared" si="26"/>
        <v>#REF!</v>
      </c>
      <c r="W158" s="134" t="e">
        <f t="shared" si="27"/>
        <v>#REF!</v>
      </c>
      <c r="X158" s="134" t="e">
        <f t="shared" si="28"/>
        <v>#REF!</v>
      </c>
    </row>
    <row r="159" spans="2:24" ht="15.75" thickBot="1" x14ac:dyDescent="0.3">
      <c r="B159" s="1250"/>
      <c r="C159" s="39" t="e">
        <f>'Combustão Móvel'!#REF!</f>
        <v>#REF!</v>
      </c>
      <c r="D159" s="155" t="e">
        <f>'Combustão Móvel'!#REF!</f>
        <v>#REF!</v>
      </c>
      <c r="E159" s="150" t="e">
        <f>'Combustão Móvel'!#REF!</f>
        <v>#REF!</v>
      </c>
      <c r="F159" s="150" t="e">
        <f t="shared" si="29"/>
        <v>#REF!</v>
      </c>
      <c r="G159" s="150" t="e">
        <f t="shared" si="30"/>
        <v>#REF!</v>
      </c>
      <c r="H159" s="150" t="e">
        <f t="shared" si="31"/>
        <v>#REF!</v>
      </c>
      <c r="I159" s="150" t="e">
        <f t="shared" si="32"/>
        <v>#REF!</v>
      </c>
      <c r="J159" s="150" t="e">
        <f t="shared" si="33"/>
        <v>#REF!</v>
      </c>
      <c r="K159" s="157" t="e">
        <f t="shared" si="34"/>
        <v>#REF!</v>
      </c>
      <c r="L159" s="64" t="e">
        <f>'Combustão Móvel'!#REF!</f>
        <v>#REF!</v>
      </c>
      <c r="M159" s="65" t="e">
        <f>'Combustão Móvel'!#REF!</f>
        <v>#REF!</v>
      </c>
      <c r="N159" s="150"/>
      <c r="O159" s="150" t="e">
        <f t="shared" si="21"/>
        <v>#REF!</v>
      </c>
      <c r="P159" s="150"/>
      <c r="Q159" s="150"/>
      <c r="R159" s="150" t="e">
        <f t="shared" si="22"/>
        <v>#REF!</v>
      </c>
      <c r="S159" s="150" t="e">
        <f t="shared" si="23"/>
        <v>#REF!</v>
      </c>
      <c r="T159" s="161" t="e">
        <f t="shared" si="24"/>
        <v>#REF!</v>
      </c>
      <c r="U159" s="161" t="e">
        <f t="shared" si="25"/>
        <v>#REF!</v>
      </c>
      <c r="V159" s="134" t="e">
        <f t="shared" si="26"/>
        <v>#REF!</v>
      </c>
      <c r="W159" s="134" t="e">
        <f t="shared" si="27"/>
        <v>#REF!</v>
      </c>
      <c r="X159" s="134" t="e">
        <f t="shared" si="28"/>
        <v>#REF!</v>
      </c>
    </row>
    <row r="160" spans="2:24" ht="15.75" thickBot="1" x14ac:dyDescent="0.3">
      <c r="B160" s="1250"/>
      <c r="C160" s="39" t="e">
        <f>'Combustão Móvel'!#REF!</f>
        <v>#REF!</v>
      </c>
      <c r="D160" s="155" t="e">
        <f>'Combustão Móvel'!#REF!</f>
        <v>#REF!</v>
      </c>
      <c r="E160" s="150" t="e">
        <f>'Combustão Móvel'!#REF!</f>
        <v>#REF!</v>
      </c>
      <c r="F160" s="150" t="e">
        <f t="shared" si="29"/>
        <v>#REF!</v>
      </c>
      <c r="G160" s="150" t="e">
        <f t="shared" si="30"/>
        <v>#REF!</v>
      </c>
      <c r="H160" s="150" t="e">
        <f t="shared" si="31"/>
        <v>#REF!</v>
      </c>
      <c r="I160" s="150" t="e">
        <f t="shared" si="32"/>
        <v>#REF!</v>
      </c>
      <c r="J160" s="150" t="e">
        <f t="shared" si="33"/>
        <v>#REF!</v>
      </c>
      <c r="K160" s="157" t="e">
        <f t="shared" si="34"/>
        <v>#REF!</v>
      </c>
      <c r="L160" s="64" t="e">
        <f>'Combustão Móvel'!#REF!</f>
        <v>#REF!</v>
      </c>
      <c r="M160" s="65" t="e">
        <f>'Combustão Móvel'!#REF!</f>
        <v>#REF!</v>
      </c>
      <c r="N160" s="150"/>
      <c r="O160" s="150" t="e">
        <f t="shared" si="21"/>
        <v>#REF!</v>
      </c>
      <c r="P160" s="150"/>
      <c r="Q160" s="150"/>
      <c r="R160" s="150" t="e">
        <f t="shared" si="22"/>
        <v>#REF!</v>
      </c>
      <c r="S160" s="150" t="e">
        <f t="shared" si="23"/>
        <v>#REF!</v>
      </c>
      <c r="T160" s="161" t="e">
        <f t="shared" si="24"/>
        <v>#REF!</v>
      </c>
      <c r="U160" s="161" t="e">
        <f t="shared" si="25"/>
        <v>#REF!</v>
      </c>
      <c r="V160" s="134" t="e">
        <f t="shared" si="26"/>
        <v>#REF!</v>
      </c>
      <c r="W160" s="134" t="e">
        <f t="shared" si="27"/>
        <v>#REF!</v>
      </c>
      <c r="X160" s="134" t="e">
        <f t="shared" si="28"/>
        <v>#REF!</v>
      </c>
    </row>
    <row r="161" spans="2:24" ht="15.75" thickBot="1" x14ac:dyDescent="0.3">
      <c r="B161" s="1250"/>
      <c r="C161" s="39" t="e">
        <f>'Combustão Móvel'!#REF!</f>
        <v>#REF!</v>
      </c>
      <c r="D161" s="155" t="e">
        <f>'Combustão Móvel'!#REF!</f>
        <v>#REF!</v>
      </c>
      <c r="E161" s="150" t="e">
        <f>'Combustão Móvel'!#REF!</f>
        <v>#REF!</v>
      </c>
      <c r="F161" s="150" t="e">
        <f t="shared" si="29"/>
        <v>#REF!</v>
      </c>
      <c r="G161" s="150" t="e">
        <f t="shared" si="30"/>
        <v>#REF!</v>
      </c>
      <c r="H161" s="150" t="e">
        <f t="shared" si="31"/>
        <v>#REF!</v>
      </c>
      <c r="I161" s="150" t="e">
        <f t="shared" si="32"/>
        <v>#REF!</v>
      </c>
      <c r="J161" s="150" t="e">
        <f t="shared" si="33"/>
        <v>#REF!</v>
      </c>
      <c r="K161" s="157" t="e">
        <f t="shared" si="34"/>
        <v>#REF!</v>
      </c>
      <c r="L161" s="64" t="e">
        <f>'Combustão Móvel'!#REF!</f>
        <v>#REF!</v>
      </c>
      <c r="M161" s="65" t="e">
        <f>'Combustão Móvel'!#REF!</f>
        <v>#REF!</v>
      </c>
      <c r="N161" s="150"/>
      <c r="O161" s="150" t="e">
        <f t="shared" si="21"/>
        <v>#REF!</v>
      </c>
      <c r="P161" s="150"/>
      <c r="Q161" s="150"/>
      <c r="R161" s="150" t="e">
        <f t="shared" si="22"/>
        <v>#REF!</v>
      </c>
      <c r="S161" s="150" t="e">
        <f t="shared" si="23"/>
        <v>#REF!</v>
      </c>
      <c r="T161" s="161" t="e">
        <f t="shared" si="24"/>
        <v>#REF!</v>
      </c>
      <c r="U161" s="161" t="e">
        <f t="shared" si="25"/>
        <v>#REF!</v>
      </c>
      <c r="V161" s="134" t="e">
        <f t="shared" si="26"/>
        <v>#REF!</v>
      </c>
      <c r="W161" s="134" t="e">
        <f t="shared" si="27"/>
        <v>#REF!</v>
      </c>
      <c r="X161" s="134" t="e">
        <f t="shared" si="28"/>
        <v>#REF!</v>
      </c>
    </row>
    <row r="162" spans="2:24" ht="15.75" thickBot="1" x14ac:dyDescent="0.3">
      <c r="B162" s="1250"/>
      <c r="C162" s="39" t="e">
        <f>'Combustão Móvel'!#REF!</f>
        <v>#REF!</v>
      </c>
      <c r="D162" s="155" t="e">
        <f>'Combustão Móvel'!#REF!</f>
        <v>#REF!</v>
      </c>
      <c r="E162" s="150" t="e">
        <f>'Combustão Móvel'!#REF!</f>
        <v>#REF!</v>
      </c>
      <c r="F162" s="150" t="e">
        <f t="shared" si="29"/>
        <v>#REF!</v>
      </c>
      <c r="G162" s="150" t="e">
        <f t="shared" si="30"/>
        <v>#REF!</v>
      </c>
      <c r="H162" s="150" t="e">
        <f t="shared" si="31"/>
        <v>#REF!</v>
      </c>
      <c r="I162" s="150" t="e">
        <f t="shared" si="32"/>
        <v>#REF!</v>
      </c>
      <c r="J162" s="150" t="e">
        <f t="shared" si="33"/>
        <v>#REF!</v>
      </c>
      <c r="K162" s="157" t="e">
        <f t="shared" si="34"/>
        <v>#REF!</v>
      </c>
      <c r="L162" s="64" t="e">
        <f>'Combustão Móvel'!#REF!</f>
        <v>#REF!</v>
      </c>
      <c r="M162" s="65" t="e">
        <f>'Combustão Móvel'!#REF!</f>
        <v>#REF!</v>
      </c>
      <c r="N162" s="150"/>
      <c r="O162" s="150" t="e">
        <f t="shared" ref="O162:O225" si="35">IF($M162=$O$31,IF($L162=$B$26,$D162,0),0)</f>
        <v>#REF!</v>
      </c>
      <c r="P162" s="150"/>
      <c r="Q162" s="150"/>
      <c r="R162" s="150" t="e">
        <f t="shared" ref="R162:R225" si="36">IF($M162=$R$31,IF($L162=$B$26,$D162,0),0)</f>
        <v>#REF!</v>
      </c>
      <c r="S162" s="150" t="e">
        <f t="shared" ref="S162:S225" si="37">IF($M162=$S$31,IF($L162=$B$26,$D162,0),0)</f>
        <v>#REF!</v>
      </c>
      <c r="T162" s="161" t="e">
        <f t="shared" ref="T162:T225" si="38">IF($L162=$T$32,$D162,0)</f>
        <v>#REF!</v>
      </c>
      <c r="U162" s="161" t="e">
        <f t="shared" ref="U162:U225" si="39">IF($L162=$U$32,$D162,0)</f>
        <v>#REF!</v>
      </c>
      <c r="V162" s="134" t="e">
        <f t="shared" si="26"/>
        <v>#REF!</v>
      </c>
      <c r="W162" s="134" t="e">
        <f t="shared" si="27"/>
        <v>#REF!</v>
      </c>
      <c r="X162" s="134" t="e">
        <f t="shared" si="28"/>
        <v>#REF!</v>
      </c>
    </row>
    <row r="163" spans="2:24" ht="15.75" thickBot="1" x14ac:dyDescent="0.3">
      <c r="B163" s="1250"/>
      <c r="C163" s="39" t="e">
        <f>'Combustão Móvel'!#REF!</f>
        <v>#REF!</v>
      </c>
      <c r="D163" s="155" t="e">
        <f>'Combustão Móvel'!#REF!</f>
        <v>#REF!</v>
      </c>
      <c r="E163" s="150" t="e">
        <f>'Combustão Móvel'!#REF!</f>
        <v>#REF!</v>
      </c>
      <c r="F163" s="150" t="e">
        <f t="shared" si="29"/>
        <v>#REF!</v>
      </c>
      <c r="G163" s="150" t="e">
        <f t="shared" si="30"/>
        <v>#REF!</v>
      </c>
      <c r="H163" s="150" t="e">
        <f t="shared" si="31"/>
        <v>#REF!</v>
      </c>
      <c r="I163" s="150" t="e">
        <f t="shared" si="32"/>
        <v>#REF!</v>
      </c>
      <c r="J163" s="150" t="e">
        <f t="shared" si="33"/>
        <v>#REF!</v>
      </c>
      <c r="K163" s="157" t="e">
        <f t="shared" si="34"/>
        <v>#REF!</v>
      </c>
      <c r="L163" s="64" t="e">
        <f>'Combustão Móvel'!#REF!</f>
        <v>#REF!</v>
      </c>
      <c r="M163" s="65" t="e">
        <f>'Combustão Móvel'!#REF!</f>
        <v>#REF!</v>
      </c>
      <c r="N163" s="150"/>
      <c r="O163" s="150" t="e">
        <f t="shared" si="35"/>
        <v>#REF!</v>
      </c>
      <c r="P163" s="150"/>
      <c r="Q163" s="150"/>
      <c r="R163" s="150" t="e">
        <f t="shared" si="36"/>
        <v>#REF!</v>
      </c>
      <c r="S163" s="150" t="e">
        <f t="shared" si="37"/>
        <v>#REF!</v>
      </c>
      <c r="T163" s="161" t="e">
        <f t="shared" si="38"/>
        <v>#REF!</v>
      </c>
      <c r="U163" s="161" t="e">
        <f t="shared" si="39"/>
        <v>#REF!</v>
      </c>
      <c r="V163" s="134" t="e">
        <f t="shared" si="26"/>
        <v>#REF!</v>
      </c>
      <c r="W163" s="134" t="e">
        <f t="shared" si="27"/>
        <v>#REF!</v>
      </c>
      <c r="X163" s="134" t="e">
        <f t="shared" si="28"/>
        <v>#REF!</v>
      </c>
    </row>
    <row r="164" spans="2:24" ht="15.75" thickBot="1" x14ac:dyDescent="0.3">
      <c r="B164" s="1250"/>
      <c r="C164" s="39" t="e">
        <f>'Combustão Móvel'!#REF!</f>
        <v>#REF!</v>
      </c>
      <c r="D164" s="155" t="e">
        <f>'Combustão Móvel'!#REF!</f>
        <v>#REF!</v>
      </c>
      <c r="E164" s="150" t="e">
        <f>'Combustão Móvel'!#REF!</f>
        <v>#REF!</v>
      </c>
      <c r="F164" s="150" t="e">
        <f t="shared" si="29"/>
        <v>#REF!</v>
      </c>
      <c r="G164" s="150" t="e">
        <f t="shared" si="30"/>
        <v>#REF!</v>
      </c>
      <c r="H164" s="150" t="e">
        <f t="shared" si="31"/>
        <v>#REF!</v>
      </c>
      <c r="I164" s="150" t="e">
        <f t="shared" si="32"/>
        <v>#REF!</v>
      </c>
      <c r="J164" s="150" t="e">
        <f t="shared" si="33"/>
        <v>#REF!</v>
      </c>
      <c r="K164" s="157" t="e">
        <f t="shared" si="34"/>
        <v>#REF!</v>
      </c>
      <c r="L164" s="64" t="e">
        <f>'Combustão Móvel'!#REF!</f>
        <v>#REF!</v>
      </c>
      <c r="M164" s="65" t="e">
        <f>'Combustão Móvel'!#REF!</f>
        <v>#REF!</v>
      </c>
      <c r="N164" s="150"/>
      <c r="O164" s="150" t="e">
        <f t="shared" si="35"/>
        <v>#REF!</v>
      </c>
      <c r="P164" s="150"/>
      <c r="Q164" s="150"/>
      <c r="R164" s="150" t="e">
        <f t="shared" si="36"/>
        <v>#REF!</v>
      </c>
      <c r="S164" s="150" t="e">
        <f t="shared" si="37"/>
        <v>#REF!</v>
      </c>
      <c r="T164" s="161" t="e">
        <f t="shared" si="38"/>
        <v>#REF!</v>
      </c>
      <c r="U164" s="161" t="e">
        <f t="shared" si="39"/>
        <v>#REF!</v>
      </c>
      <c r="V164" s="134" t="e">
        <f t="shared" si="26"/>
        <v>#REF!</v>
      </c>
      <c r="W164" s="134" t="e">
        <f t="shared" si="27"/>
        <v>#REF!</v>
      </c>
      <c r="X164" s="134" t="e">
        <f t="shared" si="28"/>
        <v>#REF!</v>
      </c>
    </row>
    <row r="165" spans="2:24" ht="15.75" thickBot="1" x14ac:dyDescent="0.3">
      <c r="B165" s="1250"/>
      <c r="C165" s="39" t="e">
        <f>'Combustão Móvel'!#REF!</f>
        <v>#REF!</v>
      </c>
      <c r="D165" s="155" t="e">
        <f>'Combustão Móvel'!#REF!</f>
        <v>#REF!</v>
      </c>
      <c r="E165" s="150" t="e">
        <f>'Combustão Móvel'!#REF!</f>
        <v>#REF!</v>
      </c>
      <c r="F165" s="150" t="e">
        <f t="shared" si="29"/>
        <v>#REF!</v>
      </c>
      <c r="G165" s="150" t="e">
        <f t="shared" si="30"/>
        <v>#REF!</v>
      </c>
      <c r="H165" s="150" t="e">
        <f t="shared" si="31"/>
        <v>#REF!</v>
      </c>
      <c r="I165" s="150" t="e">
        <f t="shared" si="32"/>
        <v>#REF!</v>
      </c>
      <c r="J165" s="150" t="e">
        <f t="shared" si="33"/>
        <v>#REF!</v>
      </c>
      <c r="K165" s="157" t="e">
        <f t="shared" si="34"/>
        <v>#REF!</v>
      </c>
      <c r="L165" s="64" t="e">
        <f>'Combustão Móvel'!#REF!</f>
        <v>#REF!</v>
      </c>
      <c r="M165" s="65" t="e">
        <f>'Combustão Móvel'!#REF!</f>
        <v>#REF!</v>
      </c>
      <c r="N165" s="150"/>
      <c r="O165" s="150" t="e">
        <f t="shared" si="35"/>
        <v>#REF!</v>
      </c>
      <c r="P165" s="150"/>
      <c r="Q165" s="150"/>
      <c r="R165" s="150" t="e">
        <f t="shared" si="36"/>
        <v>#REF!</v>
      </c>
      <c r="S165" s="150" t="e">
        <f t="shared" si="37"/>
        <v>#REF!</v>
      </c>
      <c r="T165" s="161" t="e">
        <f t="shared" si="38"/>
        <v>#REF!</v>
      </c>
      <c r="U165" s="161" t="e">
        <f t="shared" si="39"/>
        <v>#REF!</v>
      </c>
      <c r="V165" s="134" t="e">
        <f t="shared" ref="V165:V228" si="40">IF($L165="Não",F165,"")</f>
        <v>#REF!</v>
      </c>
      <c r="W165" s="134" t="e">
        <f t="shared" ref="W165:W228" si="41">IF($L165="Não",G165,"")</f>
        <v>#REF!</v>
      </c>
      <c r="X165" s="134" t="e">
        <f t="shared" ref="X165:X228" si="42">IF($L165="Não",H165,"")</f>
        <v>#REF!</v>
      </c>
    </row>
    <row r="166" spans="2:24" ht="15.75" thickBot="1" x14ac:dyDescent="0.3">
      <c r="B166" s="1250"/>
      <c r="C166" s="39" t="e">
        <f>'Combustão Móvel'!#REF!</f>
        <v>#REF!</v>
      </c>
      <c r="D166" s="155" t="e">
        <f>'Combustão Móvel'!#REF!</f>
        <v>#REF!</v>
      </c>
      <c r="E166" s="150" t="e">
        <f>'Combustão Móvel'!#REF!</f>
        <v>#REF!</v>
      </c>
      <c r="F166" s="150" t="e">
        <f t="shared" si="29"/>
        <v>#REF!</v>
      </c>
      <c r="G166" s="150" t="e">
        <f t="shared" si="30"/>
        <v>#REF!</v>
      </c>
      <c r="H166" s="150" t="e">
        <f t="shared" si="31"/>
        <v>#REF!</v>
      </c>
      <c r="I166" s="150" t="e">
        <f t="shared" si="32"/>
        <v>#REF!</v>
      </c>
      <c r="J166" s="150" t="e">
        <f t="shared" si="33"/>
        <v>#REF!</v>
      </c>
      <c r="K166" s="157" t="e">
        <f t="shared" si="34"/>
        <v>#REF!</v>
      </c>
      <c r="L166" s="64" t="e">
        <f>'Combustão Móvel'!#REF!</f>
        <v>#REF!</v>
      </c>
      <c r="M166" s="65" t="e">
        <f>'Combustão Móvel'!#REF!</f>
        <v>#REF!</v>
      </c>
      <c r="N166" s="150"/>
      <c r="O166" s="150" t="e">
        <f t="shared" si="35"/>
        <v>#REF!</v>
      </c>
      <c r="P166" s="150"/>
      <c r="Q166" s="150"/>
      <c r="R166" s="150" t="e">
        <f t="shared" si="36"/>
        <v>#REF!</v>
      </c>
      <c r="S166" s="150" t="e">
        <f t="shared" si="37"/>
        <v>#REF!</v>
      </c>
      <c r="T166" s="161" t="e">
        <f t="shared" si="38"/>
        <v>#REF!</v>
      </c>
      <c r="U166" s="161" t="e">
        <f t="shared" si="39"/>
        <v>#REF!</v>
      </c>
      <c r="V166" s="134" t="e">
        <f t="shared" si="40"/>
        <v>#REF!</v>
      </c>
      <c r="W166" s="134" t="e">
        <f t="shared" si="41"/>
        <v>#REF!</v>
      </c>
      <c r="X166" s="134" t="e">
        <f t="shared" si="42"/>
        <v>#REF!</v>
      </c>
    </row>
    <row r="167" spans="2:24" ht="15.75" thickBot="1" x14ac:dyDescent="0.3">
      <c r="B167" s="1250"/>
      <c r="C167" s="39" t="e">
        <f>'Combustão Móvel'!#REF!</f>
        <v>#REF!</v>
      </c>
      <c r="D167" s="155" t="e">
        <f>'Combustão Móvel'!#REF!</f>
        <v>#REF!</v>
      </c>
      <c r="E167" s="150" t="e">
        <f>'Combustão Móvel'!#REF!</f>
        <v>#REF!</v>
      </c>
      <c r="F167" s="150" t="e">
        <f t="shared" si="29"/>
        <v>#REF!</v>
      </c>
      <c r="G167" s="150" t="e">
        <f t="shared" si="30"/>
        <v>#REF!</v>
      </c>
      <c r="H167" s="150" t="e">
        <f t="shared" si="31"/>
        <v>#REF!</v>
      </c>
      <c r="I167" s="150" t="e">
        <f t="shared" si="32"/>
        <v>#REF!</v>
      </c>
      <c r="J167" s="150" t="e">
        <f t="shared" si="33"/>
        <v>#REF!</v>
      </c>
      <c r="K167" s="157" t="e">
        <f t="shared" si="34"/>
        <v>#REF!</v>
      </c>
      <c r="L167" s="64" t="e">
        <f>'Combustão Móvel'!#REF!</f>
        <v>#REF!</v>
      </c>
      <c r="M167" s="65" t="e">
        <f>'Combustão Móvel'!#REF!</f>
        <v>#REF!</v>
      </c>
      <c r="N167" s="150"/>
      <c r="O167" s="150" t="e">
        <f t="shared" si="35"/>
        <v>#REF!</v>
      </c>
      <c r="P167" s="150"/>
      <c r="Q167" s="150"/>
      <c r="R167" s="150" t="e">
        <f t="shared" si="36"/>
        <v>#REF!</v>
      </c>
      <c r="S167" s="150" t="e">
        <f t="shared" si="37"/>
        <v>#REF!</v>
      </c>
      <c r="T167" s="161" t="e">
        <f t="shared" si="38"/>
        <v>#REF!</v>
      </c>
      <c r="U167" s="161" t="e">
        <f t="shared" si="39"/>
        <v>#REF!</v>
      </c>
      <c r="V167" s="134" t="e">
        <f t="shared" si="40"/>
        <v>#REF!</v>
      </c>
      <c r="W167" s="134" t="e">
        <f t="shared" si="41"/>
        <v>#REF!</v>
      </c>
      <c r="X167" s="134" t="e">
        <f t="shared" si="42"/>
        <v>#REF!</v>
      </c>
    </row>
    <row r="168" spans="2:24" ht="15.75" thickBot="1" x14ac:dyDescent="0.3">
      <c r="B168" s="1250"/>
      <c r="C168" s="39" t="e">
        <f>'Combustão Móvel'!#REF!</f>
        <v>#REF!</v>
      </c>
      <c r="D168" s="155" t="e">
        <f>'Combustão Móvel'!#REF!</f>
        <v>#REF!</v>
      </c>
      <c r="E168" s="150" t="e">
        <f>'Combustão Móvel'!#REF!</f>
        <v>#REF!</v>
      </c>
      <c r="F168" s="150" t="e">
        <f t="shared" si="29"/>
        <v>#REF!</v>
      </c>
      <c r="G168" s="150" t="e">
        <f t="shared" si="30"/>
        <v>#REF!</v>
      </c>
      <c r="H168" s="150" t="e">
        <f t="shared" si="31"/>
        <v>#REF!</v>
      </c>
      <c r="I168" s="150" t="e">
        <f t="shared" si="32"/>
        <v>#REF!</v>
      </c>
      <c r="J168" s="150" t="e">
        <f t="shared" si="33"/>
        <v>#REF!</v>
      </c>
      <c r="K168" s="157" t="e">
        <f t="shared" si="34"/>
        <v>#REF!</v>
      </c>
      <c r="L168" s="64" t="e">
        <f>'Combustão Móvel'!#REF!</f>
        <v>#REF!</v>
      </c>
      <c r="M168" s="65" t="e">
        <f>'Combustão Móvel'!#REF!</f>
        <v>#REF!</v>
      </c>
      <c r="N168" s="150"/>
      <c r="O168" s="150" t="e">
        <f t="shared" si="35"/>
        <v>#REF!</v>
      </c>
      <c r="P168" s="150"/>
      <c r="Q168" s="150"/>
      <c r="R168" s="150" t="e">
        <f t="shared" si="36"/>
        <v>#REF!</v>
      </c>
      <c r="S168" s="150" t="e">
        <f t="shared" si="37"/>
        <v>#REF!</v>
      </c>
      <c r="T168" s="161" t="e">
        <f t="shared" si="38"/>
        <v>#REF!</v>
      </c>
      <c r="U168" s="161" t="e">
        <f t="shared" si="39"/>
        <v>#REF!</v>
      </c>
      <c r="V168" s="134" t="e">
        <f t="shared" si="40"/>
        <v>#REF!</v>
      </c>
      <c r="W168" s="134" t="e">
        <f t="shared" si="41"/>
        <v>#REF!</v>
      </c>
      <c r="X168" s="134" t="e">
        <f t="shared" si="42"/>
        <v>#REF!</v>
      </c>
    </row>
    <row r="169" spans="2:24" ht="15.75" thickBot="1" x14ac:dyDescent="0.3">
      <c r="B169" s="1250"/>
      <c r="C169" s="39" t="e">
        <f>'Combustão Móvel'!#REF!</f>
        <v>#REF!</v>
      </c>
      <c r="D169" s="155" t="e">
        <f>'Combustão Móvel'!#REF!</f>
        <v>#REF!</v>
      </c>
      <c r="E169" s="150" t="e">
        <f>'Combustão Móvel'!#REF!</f>
        <v>#REF!</v>
      </c>
      <c r="F169" s="150" t="e">
        <f t="shared" si="29"/>
        <v>#REF!</v>
      </c>
      <c r="G169" s="150" t="e">
        <f t="shared" si="30"/>
        <v>#REF!</v>
      </c>
      <c r="H169" s="150" t="e">
        <f t="shared" si="31"/>
        <v>#REF!</v>
      </c>
      <c r="I169" s="150" t="e">
        <f t="shared" si="32"/>
        <v>#REF!</v>
      </c>
      <c r="J169" s="150" t="e">
        <f t="shared" si="33"/>
        <v>#REF!</v>
      </c>
      <c r="K169" s="157" t="e">
        <f t="shared" si="34"/>
        <v>#REF!</v>
      </c>
      <c r="L169" s="64" t="e">
        <f>'Combustão Móvel'!#REF!</f>
        <v>#REF!</v>
      </c>
      <c r="M169" s="65" t="e">
        <f>'Combustão Móvel'!#REF!</f>
        <v>#REF!</v>
      </c>
      <c r="N169" s="150"/>
      <c r="O169" s="150" t="e">
        <f t="shared" si="35"/>
        <v>#REF!</v>
      </c>
      <c r="P169" s="150"/>
      <c r="Q169" s="150"/>
      <c r="R169" s="150" t="e">
        <f t="shared" si="36"/>
        <v>#REF!</v>
      </c>
      <c r="S169" s="150" t="e">
        <f t="shared" si="37"/>
        <v>#REF!</v>
      </c>
      <c r="T169" s="161" t="e">
        <f t="shared" si="38"/>
        <v>#REF!</v>
      </c>
      <c r="U169" s="161" t="e">
        <f t="shared" si="39"/>
        <v>#REF!</v>
      </c>
      <c r="V169" s="134" t="e">
        <f t="shared" si="40"/>
        <v>#REF!</v>
      </c>
      <c r="W169" s="134" t="e">
        <f t="shared" si="41"/>
        <v>#REF!</v>
      </c>
      <c r="X169" s="134" t="e">
        <f t="shared" si="42"/>
        <v>#REF!</v>
      </c>
    </row>
    <row r="170" spans="2:24" ht="15.75" thickBot="1" x14ac:dyDescent="0.3">
      <c r="B170" s="1250"/>
      <c r="C170" s="39" t="e">
        <f>'Combustão Móvel'!#REF!</f>
        <v>#REF!</v>
      </c>
      <c r="D170" s="155" t="e">
        <f>'Combustão Móvel'!#REF!</f>
        <v>#REF!</v>
      </c>
      <c r="E170" s="150" t="e">
        <f>'Combustão Móvel'!#REF!</f>
        <v>#REF!</v>
      </c>
      <c r="F170" s="150" t="e">
        <f t="shared" si="29"/>
        <v>#REF!</v>
      </c>
      <c r="G170" s="150" t="e">
        <f t="shared" si="30"/>
        <v>#REF!</v>
      </c>
      <c r="H170" s="150" t="e">
        <f t="shared" si="31"/>
        <v>#REF!</v>
      </c>
      <c r="I170" s="150" t="e">
        <f t="shared" si="32"/>
        <v>#REF!</v>
      </c>
      <c r="J170" s="150" t="e">
        <f t="shared" si="33"/>
        <v>#REF!</v>
      </c>
      <c r="K170" s="157" t="e">
        <f t="shared" si="34"/>
        <v>#REF!</v>
      </c>
      <c r="L170" s="64" t="e">
        <f>'Combustão Móvel'!#REF!</f>
        <v>#REF!</v>
      </c>
      <c r="M170" s="65" t="e">
        <f>'Combustão Móvel'!#REF!</f>
        <v>#REF!</v>
      </c>
      <c r="N170" s="150"/>
      <c r="O170" s="150" t="e">
        <f t="shared" si="35"/>
        <v>#REF!</v>
      </c>
      <c r="P170" s="150"/>
      <c r="Q170" s="150"/>
      <c r="R170" s="150" t="e">
        <f t="shared" si="36"/>
        <v>#REF!</v>
      </c>
      <c r="S170" s="150" t="e">
        <f t="shared" si="37"/>
        <v>#REF!</v>
      </c>
      <c r="T170" s="161" t="e">
        <f t="shared" si="38"/>
        <v>#REF!</v>
      </c>
      <c r="U170" s="161" t="e">
        <f t="shared" si="39"/>
        <v>#REF!</v>
      </c>
      <c r="V170" s="134" t="e">
        <f t="shared" si="40"/>
        <v>#REF!</v>
      </c>
      <c r="W170" s="134" t="e">
        <f t="shared" si="41"/>
        <v>#REF!</v>
      </c>
      <c r="X170" s="134" t="e">
        <f t="shared" si="42"/>
        <v>#REF!</v>
      </c>
    </row>
    <row r="171" spans="2:24" ht="15.75" thickBot="1" x14ac:dyDescent="0.3">
      <c r="B171" s="1250"/>
      <c r="C171" s="39" t="e">
        <f>'Combustão Móvel'!#REF!</f>
        <v>#REF!</v>
      </c>
      <c r="D171" s="155" t="e">
        <f>'Combustão Móvel'!#REF!</f>
        <v>#REF!</v>
      </c>
      <c r="E171" s="150" t="e">
        <f>'Combustão Móvel'!#REF!</f>
        <v>#REF!</v>
      </c>
      <c r="F171" s="150" t="e">
        <f t="shared" si="29"/>
        <v>#REF!</v>
      </c>
      <c r="G171" s="150" t="e">
        <f t="shared" si="30"/>
        <v>#REF!</v>
      </c>
      <c r="H171" s="150" t="e">
        <f t="shared" si="31"/>
        <v>#REF!</v>
      </c>
      <c r="I171" s="150" t="e">
        <f t="shared" si="32"/>
        <v>#REF!</v>
      </c>
      <c r="J171" s="150" t="e">
        <f t="shared" si="33"/>
        <v>#REF!</v>
      </c>
      <c r="K171" s="157" t="e">
        <f t="shared" si="34"/>
        <v>#REF!</v>
      </c>
      <c r="L171" s="64" t="e">
        <f>'Combustão Móvel'!#REF!</f>
        <v>#REF!</v>
      </c>
      <c r="M171" s="65" t="e">
        <f>'Combustão Móvel'!#REF!</f>
        <v>#REF!</v>
      </c>
      <c r="N171" s="150"/>
      <c r="O171" s="150" t="e">
        <f t="shared" si="35"/>
        <v>#REF!</v>
      </c>
      <c r="P171" s="150"/>
      <c r="Q171" s="150"/>
      <c r="R171" s="150" t="e">
        <f t="shared" si="36"/>
        <v>#REF!</v>
      </c>
      <c r="S171" s="150" t="e">
        <f t="shared" si="37"/>
        <v>#REF!</v>
      </c>
      <c r="T171" s="161" t="e">
        <f t="shared" si="38"/>
        <v>#REF!</v>
      </c>
      <c r="U171" s="161" t="e">
        <f t="shared" si="39"/>
        <v>#REF!</v>
      </c>
      <c r="V171" s="134" t="e">
        <f t="shared" si="40"/>
        <v>#REF!</v>
      </c>
      <c r="W171" s="134" t="e">
        <f t="shared" si="41"/>
        <v>#REF!</v>
      </c>
      <c r="X171" s="134" t="e">
        <f t="shared" si="42"/>
        <v>#REF!</v>
      </c>
    </row>
    <row r="172" spans="2:24" ht="15.75" thickBot="1" x14ac:dyDescent="0.3">
      <c r="B172" s="1250"/>
      <c r="C172" s="39" t="e">
        <f>'Combustão Móvel'!#REF!</f>
        <v>#REF!</v>
      </c>
      <c r="D172" s="155" t="e">
        <f>'Combustão Móvel'!#REF!</f>
        <v>#REF!</v>
      </c>
      <c r="E172" s="150" t="e">
        <f>'Combustão Móvel'!#REF!</f>
        <v>#REF!</v>
      </c>
      <c r="F172" s="150" t="e">
        <f t="shared" si="29"/>
        <v>#REF!</v>
      </c>
      <c r="G172" s="150" t="e">
        <f t="shared" si="30"/>
        <v>#REF!</v>
      </c>
      <c r="H172" s="150" t="e">
        <f t="shared" si="31"/>
        <v>#REF!</v>
      </c>
      <c r="I172" s="150" t="e">
        <f t="shared" si="32"/>
        <v>#REF!</v>
      </c>
      <c r="J172" s="150" t="e">
        <f t="shared" si="33"/>
        <v>#REF!</v>
      </c>
      <c r="K172" s="157" t="e">
        <f t="shared" si="34"/>
        <v>#REF!</v>
      </c>
      <c r="L172" s="64" t="e">
        <f>'Combustão Móvel'!#REF!</f>
        <v>#REF!</v>
      </c>
      <c r="M172" s="65" t="e">
        <f>'Combustão Móvel'!#REF!</f>
        <v>#REF!</v>
      </c>
      <c r="N172" s="150"/>
      <c r="O172" s="150" t="e">
        <f t="shared" si="35"/>
        <v>#REF!</v>
      </c>
      <c r="P172" s="150"/>
      <c r="Q172" s="150"/>
      <c r="R172" s="150" t="e">
        <f t="shared" si="36"/>
        <v>#REF!</v>
      </c>
      <c r="S172" s="150" t="e">
        <f t="shared" si="37"/>
        <v>#REF!</v>
      </c>
      <c r="T172" s="161" t="e">
        <f t="shared" si="38"/>
        <v>#REF!</v>
      </c>
      <c r="U172" s="161" t="e">
        <f t="shared" si="39"/>
        <v>#REF!</v>
      </c>
      <c r="V172" s="134" t="e">
        <f t="shared" si="40"/>
        <v>#REF!</v>
      </c>
      <c r="W172" s="134" t="e">
        <f t="shared" si="41"/>
        <v>#REF!</v>
      </c>
      <c r="X172" s="134" t="e">
        <f t="shared" si="42"/>
        <v>#REF!</v>
      </c>
    </row>
    <row r="173" spans="2:24" ht="15.75" thickBot="1" x14ac:dyDescent="0.3">
      <c r="B173" s="1250"/>
      <c r="C173" s="39" t="e">
        <f>'Combustão Móvel'!#REF!</f>
        <v>#REF!</v>
      </c>
      <c r="D173" s="155" t="e">
        <f>'Combustão Móvel'!#REF!</f>
        <v>#REF!</v>
      </c>
      <c r="E173" s="150" t="e">
        <f>'Combustão Móvel'!#REF!</f>
        <v>#REF!</v>
      </c>
      <c r="F173" s="150" t="e">
        <f t="shared" si="29"/>
        <v>#REF!</v>
      </c>
      <c r="G173" s="150" t="e">
        <f t="shared" si="30"/>
        <v>#REF!</v>
      </c>
      <c r="H173" s="150" t="e">
        <f t="shared" si="31"/>
        <v>#REF!</v>
      </c>
      <c r="I173" s="150" t="e">
        <f t="shared" si="32"/>
        <v>#REF!</v>
      </c>
      <c r="J173" s="150" t="e">
        <f t="shared" si="33"/>
        <v>#REF!</v>
      </c>
      <c r="K173" s="157" t="e">
        <f t="shared" si="34"/>
        <v>#REF!</v>
      </c>
      <c r="L173" s="64" t="e">
        <f>'Combustão Móvel'!#REF!</f>
        <v>#REF!</v>
      </c>
      <c r="M173" s="65" t="e">
        <f>'Combustão Móvel'!#REF!</f>
        <v>#REF!</v>
      </c>
      <c r="N173" s="150"/>
      <c r="O173" s="150" t="e">
        <f t="shared" si="35"/>
        <v>#REF!</v>
      </c>
      <c r="P173" s="150"/>
      <c r="Q173" s="150"/>
      <c r="R173" s="150" t="e">
        <f t="shared" si="36"/>
        <v>#REF!</v>
      </c>
      <c r="S173" s="150" t="e">
        <f t="shared" si="37"/>
        <v>#REF!</v>
      </c>
      <c r="T173" s="161" t="e">
        <f t="shared" si="38"/>
        <v>#REF!</v>
      </c>
      <c r="U173" s="161" t="e">
        <f t="shared" si="39"/>
        <v>#REF!</v>
      </c>
      <c r="V173" s="134" t="e">
        <f t="shared" si="40"/>
        <v>#REF!</v>
      </c>
      <c r="W173" s="134" t="e">
        <f t="shared" si="41"/>
        <v>#REF!</v>
      </c>
      <c r="X173" s="134" t="e">
        <f t="shared" si="42"/>
        <v>#REF!</v>
      </c>
    </row>
    <row r="174" spans="2:24" ht="15.75" thickBot="1" x14ac:dyDescent="0.3">
      <c r="B174" s="1250"/>
      <c r="C174" s="39" t="e">
        <f>'Combustão Móvel'!#REF!</f>
        <v>#REF!</v>
      </c>
      <c r="D174" s="155" t="e">
        <f>'Combustão Móvel'!#REF!</f>
        <v>#REF!</v>
      </c>
      <c r="E174" s="150" t="e">
        <f>'Combustão Móvel'!#REF!</f>
        <v>#REF!</v>
      </c>
      <c r="F174" s="150" t="e">
        <f t="shared" si="29"/>
        <v>#REF!</v>
      </c>
      <c r="G174" s="150" t="e">
        <f t="shared" si="30"/>
        <v>#REF!</v>
      </c>
      <c r="H174" s="150" t="e">
        <f t="shared" si="31"/>
        <v>#REF!</v>
      </c>
      <c r="I174" s="150" t="e">
        <f t="shared" si="32"/>
        <v>#REF!</v>
      </c>
      <c r="J174" s="150" t="e">
        <f t="shared" si="33"/>
        <v>#REF!</v>
      </c>
      <c r="K174" s="157" t="e">
        <f t="shared" si="34"/>
        <v>#REF!</v>
      </c>
      <c r="L174" s="64" t="e">
        <f>'Combustão Móvel'!#REF!</f>
        <v>#REF!</v>
      </c>
      <c r="M174" s="65" t="e">
        <f>'Combustão Móvel'!#REF!</f>
        <v>#REF!</v>
      </c>
      <c r="N174" s="150"/>
      <c r="O174" s="150" t="e">
        <f t="shared" si="35"/>
        <v>#REF!</v>
      </c>
      <c r="P174" s="150"/>
      <c r="Q174" s="150"/>
      <c r="R174" s="150" t="e">
        <f t="shared" si="36"/>
        <v>#REF!</v>
      </c>
      <c r="S174" s="150" t="e">
        <f t="shared" si="37"/>
        <v>#REF!</v>
      </c>
      <c r="T174" s="161" t="e">
        <f t="shared" si="38"/>
        <v>#REF!</v>
      </c>
      <c r="U174" s="161" t="e">
        <f t="shared" si="39"/>
        <v>#REF!</v>
      </c>
      <c r="V174" s="134" t="e">
        <f t="shared" si="40"/>
        <v>#REF!</v>
      </c>
      <c r="W174" s="134" t="e">
        <f t="shared" si="41"/>
        <v>#REF!</v>
      </c>
      <c r="X174" s="134" t="e">
        <f t="shared" si="42"/>
        <v>#REF!</v>
      </c>
    </row>
    <row r="175" spans="2:24" ht="15.75" thickBot="1" x14ac:dyDescent="0.3">
      <c r="B175" s="1250"/>
      <c r="C175" s="39" t="e">
        <f>'Combustão Móvel'!#REF!</f>
        <v>#REF!</v>
      </c>
      <c r="D175" s="155" t="e">
        <f>'Combustão Móvel'!#REF!</f>
        <v>#REF!</v>
      </c>
      <c r="E175" s="150" t="e">
        <f>'Combustão Móvel'!#REF!</f>
        <v>#REF!</v>
      </c>
      <c r="F175" s="150" t="e">
        <f t="shared" si="29"/>
        <v>#REF!</v>
      </c>
      <c r="G175" s="150" t="e">
        <f t="shared" si="30"/>
        <v>#REF!</v>
      </c>
      <c r="H175" s="150" t="e">
        <f t="shared" si="31"/>
        <v>#REF!</v>
      </c>
      <c r="I175" s="150" t="e">
        <f t="shared" si="32"/>
        <v>#REF!</v>
      </c>
      <c r="J175" s="150" t="e">
        <f t="shared" si="33"/>
        <v>#REF!</v>
      </c>
      <c r="K175" s="157" t="e">
        <f t="shared" si="34"/>
        <v>#REF!</v>
      </c>
      <c r="L175" s="64" t="e">
        <f>'Combustão Móvel'!#REF!</f>
        <v>#REF!</v>
      </c>
      <c r="M175" s="65" t="e">
        <f>'Combustão Móvel'!#REF!</f>
        <v>#REF!</v>
      </c>
      <c r="N175" s="150"/>
      <c r="O175" s="150" t="e">
        <f t="shared" si="35"/>
        <v>#REF!</v>
      </c>
      <c r="P175" s="150"/>
      <c r="Q175" s="150"/>
      <c r="R175" s="150" t="e">
        <f t="shared" si="36"/>
        <v>#REF!</v>
      </c>
      <c r="S175" s="150" t="e">
        <f t="shared" si="37"/>
        <v>#REF!</v>
      </c>
      <c r="T175" s="161" t="e">
        <f t="shared" si="38"/>
        <v>#REF!</v>
      </c>
      <c r="U175" s="161" t="e">
        <f t="shared" si="39"/>
        <v>#REF!</v>
      </c>
      <c r="V175" s="134" t="e">
        <f t="shared" si="40"/>
        <v>#REF!</v>
      </c>
      <c r="W175" s="134" t="e">
        <f t="shared" si="41"/>
        <v>#REF!</v>
      </c>
      <c r="X175" s="134" t="e">
        <f t="shared" si="42"/>
        <v>#REF!</v>
      </c>
    </row>
    <row r="176" spans="2:24" ht="15.75" thickBot="1" x14ac:dyDescent="0.3">
      <c r="B176" s="1250"/>
      <c r="C176" s="39" t="e">
        <f>'Combustão Móvel'!#REF!</f>
        <v>#REF!</v>
      </c>
      <c r="D176" s="155" t="e">
        <f>'Combustão Móvel'!#REF!</f>
        <v>#REF!</v>
      </c>
      <c r="E176" s="150" t="e">
        <f>'Combustão Móvel'!#REF!</f>
        <v>#REF!</v>
      </c>
      <c r="F176" s="150" t="e">
        <f t="shared" si="29"/>
        <v>#REF!</v>
      </c>
      <c r="G176" s="150" t="e">
        <f t="shared" si="30"/>
        <v>#REF!</v>
      </c>
      <c r="H176" s="150" t="e">
        <f t="shared" si="31"/>
        <v>#REF!</v>
      </c>
      <c r="I176" s="150" t="e">
        <f t="shared" si="32"/>
        <v>#REF!</v>
      </c>
      <c r="J176" s="150" t="e">
        <f t="shared" si="33"/>
        <v>#REF!</v>
      </c>
      <c r="K176" s="157" t="e">
        <f t="shared" si="34"/>
        <v>#REF!</v>
      </c>
      <c r="L176" s="64" t="e">
        <f>'Combustão Móvel'!#REF!</f>
        <v>#REF!</v>
      </c>
      <c r="M176" s="65" t="e">
        <f>'Combustão Móvel'!#REF!</f>
        <v>#REF!</v>
      </c>
      <c r="N176" s="150"/>
      <c r="O176" s="150" t="e">
        <f t="shared" si="35"/>
        <v>#REF!</v>
      </c>
      <c r="P176" s="150"/>
      <c r="Q176" s="150"/>
      <c r="R176" s="150" t="e">
        <f t="shared" si="36"/>
        <v>#REF!</v>
      </c>
      <c r="S176" s="150" t="e">
        <f t="shared" si="37"/>
        <v>#REF!</v>
      </c>
      <c r="T176" s="161" t="e">
        <f t="shared" si="38"/>
        <v>#REF!</v>
      </c>
      <c r="U176" s="161" t="e">
        <f t="shared" si="39"/>
        <v>#REF!</v>
      </c>
      <c r="V176" s="134" t="e">
        <f t="shared" si="40"/>
        <v>#REF!</v>
      </c>
      <c r="W176" s="134" t="e">
        <f t="shared" si="41"/>
        <v>#REF!</v>
      </c>
      <c r="X176" s="134" t="e">
        <f t="shared" si="42"/>
        <v>#REF!</v>
      </c>
    </row>
    <row r="177" spans="2:24" ht="15.75" thickBot="1" x14ac:dyDescent="0.3">
      <c r="B177" s="1250"/>
      <c r="C177" s="39" t="e">
        <f>'Combustão Móvel'!#REF!</f>
        <v>#REF!</v>
      </c>
      <c r="D177" s="155" t="e">
        <f>'Combustão Móvel'!#REF!</f>
        <v>#REF!</v>
      </c>
      <c r="E177" s="150" t="e">
        <f>'Combustão Móvel'!#REF!</f>
        <v>#REF!</v>
      </c>
      <c r="F177" s="150" t="e">
        <f t="shared" si="29"/>
        <v>#REF!</v>
      </c>
      <c r="G177" s="150" t="e">
        <f t="shared" si="30"/>
        <v>#REF!</v>
      </c>
      <c r="H177" s="150" t="e">
        <f t="shared" si="31"/>
        <v>#REF!</v>
      </c>
      <c r="I177" s="150" t="e">
        <f t="shared" si="32"/>
        <v>#REF!</v>
      </c>
      <c r="J177" s="150" t="e">
        <f t="shared" si="33"/>
        <v>#REF!</v>
      </c>
      <c r="K177" s="157" t="e">
        <f t="shared" si="34"/>
        <v>#REF!</v>
      </c>
      <c r="L177" s="64" t="e">
        <f>'Combustão Móvel'!#REF!</f>
        <v>#REF!</v>
      </c>
      <c r="M177" s="65" t="e">
        <f>'Combustão Móvel'!#REF!</f>
        <v>#REF!</v>
      </c>
      <c r="N177" s="150"/>
      <c r="O177" s="150" t="e">
        <f t="shared" si="35"/>
        <v>#REF!</v>
      </c>
      <c r="P177" s="150"/>
      <c r="Q177" s="150"/>
      <c r="R177" s="150" t="e">
        <f t="shared" si="36"/>
        <v>#REF!</v>
      </c>
      <c r="S177" s="150" t="e">
        <f t="shared" si="37"/>
        <v>#REF!</v>
      </c>
      <c r="T177" s="161" t="e">
        <f t="shared" si="38"/>
        <v>#REF!</v>
      </c>
      <c r="U177" s="161" t="e">
        <f t="shared" si="39"/>
        <v>#REF!</v>
      </c>
      <c r="V177" s="134" t="e">
        <f t="shared" si="40"/>
        <v>#REF!</v>
      </c>
      <c r="W177" s="134" t="e">
        <f t="shared" si="41"/>
        <v>#REF!</v>
      </c>
      <c r="X177" s="134" t="e">
        <f t="shared" si="42"/>
        <v>#REF!</v>
      </c>
    </row>
    <row r="178" spans="2:24" ht="15.75" thickBot="1" x14ac:dyDescent="0.3">
      <c r="B178" s="1250"/>
      <c r="C178" s="39" t="e">
        <f>'Combustão Móvel'!#REF!</f>
        <v>#REF!</v>
      </c>
      <c r="D178" s="155" t="e">
        <f>'Combustão Móvel'!#REF!</f>
        <v>#REF!</v>
      </c>
      <c r="E178" s="150" t="e">
        <f>'Combustão Móvel'!#REF!</f>
        <v>#REF!</v>
      </c>
      <c r="F178" s="150" t="e">
        <f t="shared" si="29"/>
        <v>#REF!</v>
      </c>
      <c r="G178" s="150" t="e">
        <f t="shared" si="30"/>
        <v>#REF!</v>
      </c>
      <c r="H178" s="150" t="e">
        <f t="shared" si="31"/>
        <v>#REF!</v>
      </c>
      <c r="I178" s="150" t="e">
        <f t="shared" si="32"/>
        <v>#REF!</v>
      </c>
      <c r="J178" s="150" t="e">
        <f t="shared" si="33"/>
        <v>#REF!</v>
      </c>
      <c r="K178" s="157" t="e">
        <f t="shared" si="34"/>
        <v>#REF!</v>
      </c>
      <c r="L178" s="64" t="e">
        <f>'Combustão Móvel'!#REF!</f>
        <v>#REF!</v>
      </c>
      <c r="M178" s="65" t="e">
        <f>'Combustão Móvel'!#REF!</f>
        <v>#REF!</v>
      </c>
      <c r="N178" s="150"/>
      <c r="O178" s="150" t="e">
        <f t="shared" si="35"/>
        <v>#REF!</v>
      </c>
      <c r="P178" s="150"/>
      <c r="Q178" s="150"/>
      <c r="R178" s="150" t="e">
        <f t="shared" si="36"/>
        <v>#REF!</v>
      </c>
      <c r="S178" s="150" t="e">
        <f t="shared" si="37"/>
        <v>#REF!</v>
      </c>
      <c r="T178" s="161" t="e">
        <f t="shared" si="38"/>
        <v>#REF!</v>
      </c>
      <c r="U178" s="161" t="e">
        <f t="shared" si="39"/>
        <v>#REF!</v>
      </c>
      <c r="V178" s="134" t="e">
        <f t="shared" si="40"/>
        <v>#REF!</v>
      </c>
      <c r="W178" s="134" t="e">
        <f t="shared" si="41"/>
        <v>#REF!</v>
      </c>
      <c r="X178" s="134" t="e">
        <f t="shared" si="42"/>
        <v>#REF!</v>
      </c>
    </row>
    <row r="179" spans="2:24" ht="15.75" thickBot="1" x14ac:dyDescent="0.3">
      <c r="B179" s="1250"/>
      <c r="C179" s="39" t="e">
        <f>'Combustão Móvel'!#REF!</f>
        <v>#REF!</v>
      </c>
      <c r="D179" s="155" t="e">
        <f>'Combustão Móvel'!#REF!</f>
        <v>#REF!</v>
      </c>
      <c r="E179" s="150" t="e">
        <f>'Combustão Móvel'!#REF!</f>
        <v>#REF!</v>
      </c>
      <c r="F179" s="150" t="e">
        <f t="shared" si="29"/>
        <v>#REF!</v>
      </c>
      <c r="G179" s="150" t="e">
        <f t="shared" si="30"/>
        <v>#REF!</v>
      </c>
      <c r="H179" s="150" t="e">
        <f t="shared" si="31"/>
        <v>#REF!</v>
      </c>
      <c r="I179" s="150" t="e">
        <f t="shared" si="32"/>
        <v>#REF!</v>
      </c>
      <c r="J179" s="150" t="e">
        <f t="shared" si="33"/>
        <v>#REF!</v>
      </c>
      <c r="K179" s="157" t="e">
        <f t="shared" si="34"/>
        <v>#REF!</v>
      </c>
      <c r="L179" s="64" t="e">
        <f>'Combustão Móvel'!#REF!</f>
        <v>#REF!</v>
      </c>
      <c r="M179" s="65" t="e">
        <f>'Combustão Móvel'!#REF!</f>
        <v>#REF!</v>
      </c>
      <c r="N179" s="150"/>
      <c r="O179" s="150" t="e">
        <f t="shared" si="35"/>
        <v>#REF!</v>
      </c>
      <c r="P179" s="150"/>
      <c r="Q179" s="150"/>
      <c r="R179" s="150" t="e">
        <f t="shared" si="36"/>
        <v>#REF!</v>
      </c>
      <c r="S179" s="150" t="e">
        <f t="shared" si="37"/>
        <v>#REF!</v>
      </c>
      <c r="T179" s="161" t="e">
        <f t="shared" si="38"/>
        <v>#REF!</v>
      </c>
      <c r="U179" s="161" t="e">
        <f t="shared" si="39"/>
        <v>#REF!</v>
      </c>
      <c r="V179" s="134" t="e">
        <f t="shared" si="40"/>
        <v>#REF!</v>
      </c>
      <c r="W179" s="134" t="e">
        <f t="shared" si="41"/>
        <v>#REF!</v>
      </c>
      <c r="X179" s="134" t="e">
        <f t="shared" si="42"/>
        <v>#REF!</v>
      </c>
    </row>
    <row r="180" spans="2:24" ht="15.75" thickBot="1" x14ac:dyDescent="0.3">
      <c r="B180" s="1250"/>
      <c r="C180" s="39" t="e">
        <f>'Combustão Móvel'!#REF!</f>
        <v>#REF!</v>
      </c>
      <c r="D180" s="155" t="e">
        <f>'Combustão Móvel'!#REF!</f>
        <v>#REF!</v>
      </c>
      <c r="E180" s="150" t="e">
        <f>'Combustão Móvel'!#REF!</f>
        <v>#REF!</v>
      </c>
      <c r="F180" s="150" t="e">
        <f t="shared" si="29"/>
        <v>#REF!</v>
      </c>
      <c r="G180" s="150" t="e">
        <f t="shared" si="30"/>
        <v>#REF!</v>
      </c>
      <c r="H180" s="150" t="e">
        <f t="shared" si="31"/>
        <v>#REF!</v>
      </c>
      <c r="I180" s="150" t="e">
        <f t="shared" si="32"/>
        <v>#REF!</v>
      </c>
      <c r="J180" s="150" t="e">
        <f t="shared" si="33"/>
        <v>#REF!</v>
      </c>
      <c r="K180" s="157" t="e">
        <f t="shared" si="34"/>
        <v>#REF!</v>
      </c>
      <c r="L180" s="64" t="e">
        <f>'Combustão Móvel'!#REF!</f>
        <v>#REF!</v>
      </c>
      <c r="M180" s="65" t="e">
        <f>'Combustão Móvel'!#REF!</f>
        <v>#REF!</v>
      </c>
      <c r="N180" s="150"/>
      <c r="O180" s="150" t="e">
        <f t="shared" si="35"/>
        <v>#REF!</v>
      </c>
      <c r="P180" s="150"/>
      <c r="Q180" s="150"/>
      <c r="R180" s="150" t="e">
        <f t="shared" si="36"/>
        <v>#REF!</v>
      </c>
      <c r="S180" s="150" t="e">
        <f t="shared" si="37"/>
        <v>#REF!</v>
      </c>
      <c r="T180" s="161" t="e">
        <f t="shared" si="38"/>
        <v>#REF!</v>
      </c>
      <c r="U180" s="161" t="e">
        <f t="shared" si="39"/>
        <v>#REF!</v>
      </c>
      <c r="V180" s="134" t="e">
        <f t="shared" si="40"/>
        <v>#REF!</v>
      </c>
      <c r="W180" s="134" t="e">
        <f t="shared" si="41"/>
        <v>#REF!</v>
      </c>
      <c r="X180" s="134" t="e">
        <f t="shared" si="42"/>
        <v>#REF!</v>
      </c>
    </row>
    <row r="181" spans="2:24" ht="15.75" thickBot="1" x14ac:dyDescent="0.3">
      <c r="B181" s="1250"/>
      <c r="C181" s="39" t="e">
        <f>'Combustão Móvel'!#REF!</f>
        <v>#REF!</v>
      </c>
      <c r="D181" s="155" t="e">
        <f>'Combustão Móvel'!#REF!</f>
        <v>#REF!</v>
      </c>
      <c r="E181" s="150" t="e">
        <f>'Combustão Móvel'!#REF!</f>
        <v>#REF!</v>
      </c>
      <c r="F181" s="150" t="e">
        <f t="shared" si="29"/>
        <v>#REF!</v>
      </c>
      <c r="G181" s="150" t="e">
        <f t="shared" si="30"/>
        <v>#REF!</v>
      </c>
      <c r="H181" s="150" t="e">
        <f t="shared" si="31"/>
        <v>#REF!</v>
      </c>
      <c r="I181" s="150" t="e">
        <f t="shared" si="32"/>
        <v>#REF!</v>
      </c>
      <c r="J181" s="150" t="e">
        <f t="shared" si="33"/>
        <v>#REF!</v>
      </c>
      <c r="K181" s="157" t="e">
        <f t="shared" si="34"/>
        <v>#REF!</v>
      </c>
      <c r="L181" s="64" t="e">
        <f>'Combustão Móvel'!#REF!</f>
        <v>#REF!</v>
      </c>
      <c r="M181" s="65" t="e">
        <f>'Combustão Móvel'!#REF!</f>
        <v>#REF!</v>
      </c>
      <c r="N181" s="150"/>
      <c r="O181" s="150" t="e">
        <f t="shared" si="35"/>
        <v>#REF!</v>
      </c>
      <c r="P181" s="150"/>
      <c r="Q181" s="150"/>
      <c r="R181" s="150" t="e">
        <f t="shared" si="36"/>
        <v>#REF!</v>
      </c>
      <c r="S181" s="150" t="e">
        <f t="shared" si="37"/>
        <v>#REF!</v>
      </c>
      <c r="T181" s="161" t="e">
        <f t="shared" si="38"/>
        <v>#REF!</v>
      </c>
      <c r="U181" s="161" t="e">
        <f t="shared" si="39"/>
        <v>#REF!</v>
      </c>
      <c r="V181" s="134" t="e">
        <f t="shared" si="40"/>
        <v>#REF!</v>
      </c>
      <c r="W181" s="134" t="e">
        <f t="shared" si="41"/>
        <v>#REF!</v>
      </c>
      <c r="X181" s="134" t="e">
        <f t="shared" si="42"/>
        <v>#REF!</v>
      </c>
    </row>
    <row r="182" spans="2:24" ht="15.75" thickBot="1" x14ac:dyDescent="0.3">
      <c r="B182" s="1250"/>
      <c r="C182" s="39" t="e">
        <f>'Combustão Móvel'!#REF!</f>
        <v>#REF!</v>
      </c>
      <c r="D182" s="155" t="e">
        <f>'Combustão Móvel'!#REF!</f>
        <v>#REF!</v>
      </c>
      <c r="E182" s="150" t="e">
        <f>'Combustão Móvel'!#REF!</f>
        <v>#REF!</v>
      </c>
      <c r="F182" s="150" t="e">
        <f t="shared" si="29"/>
        <v>#REF!</v>
      </c>
      <c r="G182" s="150" t="e">
        <f t="shared" si="30"/>
        <v>#REF!</v>
      </c>
      <c r="H182" s="150" t="e">
        <f t="shared" si="31"/>
        <v>#REF!</v>
      </c>
      <c r="I182" s="150" t="e">
        <f t="shared" si="32"/>
        <v>#REF!</v>
      </c>
      <c r="J182" s="150" t="e">
        <f t="shared" si="33"/>
        <v>#REF!</v>
      </c>
      <c r="K182" s="157" t="e">
        <f t="shared" si="34"/>
        <v>#REF!</v>
      </c>
      <c r="L182" s="64" t="e">
        <f>'Combustão Móvel'!#REF!</f>
        <v>#REF!</v>
      </c>
      <c r="M182" s="65" t="e">
        <f>'Combustão Móvel'!#REF!</f>
        <v>#REF!</v>
      </c>
      <c r="N182" s="150"/>
      <c r="O182" s="150" t="e">
        <f t="shared" si="35"/>
        <v>#REF!</v>
      </c>
      <c r="P182" s="150"/>
      <c r="Q182" s="150"/>
      <c r="R182" s="150" t="e">
        <f t="shared" si="36"/>
        <v>#REF!</v>
      </c>
      <c r="S182" s="150" t="e">
        <f t="shared" si="37"/>
        <v>#REF!</v>
      </c>
      <c r="T182" s="161" t="e">
        <f t="shared" si="38"/>
        <v>#REF!</v>
      </c>
      <c r="U182" s="161" t="e">
        <f t="shared" si="39"/>
        <v>#REF!</v>
      </c>
      <c r="V182" s="134" t="e">
        <f t="shared" si="40"/>
        <v>#REF!</v>
      </c>
      <c r="W182" s="134" t="e">
        <f t="shared" si="41"/>
        <v>#REF!</v>
      </c>
      <c r="X182" s="134" t="e">
        <f t="shared" si="42"/>
        <v>#REF!</v>
      </c>
    </row>
    <row r="183" spans="2:24" ht="15.75" thickBot="1" x14ac:dyDescent="0.3">
      <c r="B183" s="1250"/>
      <c r="C183" s="39" t="e">
        <f>'Combustão Móvel'!#REF!</f>
        <v>#REF!</v>
      </c>
      <c r="D183" s="155" t="e">
        <f>'Combustão Móvel'!#REF!</f>
        <v>#REF!</v>
      </c>
      <c r="E183" s="150" t="e">
        <f>'Combustão Móvel'!#REF!</f>
        <v>#REF!</v>
      </c>
      <c r="F183" s="150" t="e">
        <f t="shared" si="29"/>
        <v>#REF!</v>
      </c>
      <c r="G183" s="150" t="e">
        <f t="shared" si="30"/>
        <v>#REF!</v>
      </c>
      <c r="H183" s="150" t="e">
        <f t="shared" si="31"/>
        <v>#REF!</v>
      </c>
      <c r="I183" s="150" t="e">
        <f t="shared" si="32"/>
        <v>#REF!</v>
      </c>
      <c r="J183" s="150" t="e">
        <f t="shared" si="33"/>
        <v>#REF!</v>
      </c>
      <c r="K183" s="157" t="e">
        <f t="shared" si="34"/>
        <v>#REF!</v>
      </c>
      <c r="L183" s="64" t="e">
        <f>'Combustão Móvel'!#REF!</f>
        <v>#REF!</v>
      </c>
      <c r="M183" s="65" t="e">
        <f>'Combustão Móvel'!#REF!</f>
        <v>#REF!</v>
      </c>
      <c r="N183" s="150"/>
      <c r="O183" s="150" t="e">
        <f t="shared" si="35"/>
        <v>#REF!</v>
      </c>
      <c r="P183" s="150"/>
      <c r="Q183" s="150"/>
      <c r="R183" s="150" t="e">
        <f t="shared" si="36"/>
        <v>#REF!</v>
      </c>
      <c r="S183" s="150" t="e">
        <f t="shared" si="37"/>
        <v>#REF!</v>
      </c>
      <c r="T183" s="161" t="e">
        <f t="shared" si="38"/>
        <v>#REF!</v>
      </c>
      <c r="U183" s="161" t="e">
        <f t="shared" si="39"/>
        <v>#REF!</v>
      </c>
      <c r="V183" s="134" t="e">
        <f t="shared" si="40"/>
        <v>#REF!</v>
      </c>
      <c r="W183" s="134" t="e">
        <f t="shared" si="41"/>
        <v>#REF!</v>
      </c>
      <c r="X183" s="134" t="e">
        <f t="shared" si="42"/>
        <v>#REF!</v>
      </c>
    </row>
    <row r="184" spans="2:24" ht="15.75" thickBot="1" x14ac:dyDescent="0.3">
      <c r="B184" s="1250"/>
      <c r="C184" s="39" t="e">
        <f>'Combustão Móvel'!#REF!</f>
        <v>#REF!</v>
      </c>
      <c r="D184" s="155" t="e">
        <f>'Combustão Móvel'!#REF!</f>
        <v>#REF!</v>
      </c>
      <c r="E184" s="150" t="e">
        <f>'Combustão Móvel'!#REF!</f>
        <v>#REF!</v>
      </c>
      <c r="F184" s="150" t="e">
        <f t="shared" si="29"/>
        <v>#REF!</v>
      </c>
      <c r="G184" s="150" t="e">
        <f t="shared" si="30"/>
        <v>#REF!</v>
      </c>
      <c r="H184" s="150" t="e">
        <f t="shared" si="31"/>
        <v>#REF!</v>
      </c>
      <c r="I184" s="150" t="e">
        <f t="shared" si="32"/>
        <v>#REF!</v>
      </c>
      <c r="J184" s="150" t="e">
        <f t="shared" si="33"/>
        <v>#REF!</v>
      </c>
      <c r="K184" s="157" t="e">
        <f t="shared" si="34"/>
        <v>#REF!</v>
      </c>
      <c r="L184" s="64" t="e">
        <f>'Combustão Móvel'!#REF!</f>
        <v>#REF!</v>
      </c>
      <c r="M184" s="65" t="e">
        <f>'Combustão Móvel'!#REF!</f>
        <v>#REF!</v>
      </c>
      <c r="N184" s="150"/>
      <c r="O184" s="150" t="e">
        <f t="shared" si="35"/>
        <v>#REF!</v>
      </c>
      <c r="P184" s="150"/>
      <c r="Q184" s="150"/>
      <c r="R184" s="150" t="e">
        <f t="shared" si="36"/>
        <v>#REF!</v>
      </c>
      <c r="S184" s="150" t="e">
        <f t="shared" si="37"/>
        <v>#REF!</v>
      </c>
      <c r="T184" s="161" t="e">
        <f t="shared" si="38"/>
        <v>#REF!</v>
      </c>
      <c r="U184" s="161" t="e">
        <f t="shared" si="39"/>
        <v>#REF!</v>
      </c>
      <c r="V184" s="134" t="e">
        <f t="shared" si="40"/>
        <v>#REF!</v>
      </c>
      <c r="W184" s="134" t="e">
        <f t="shared" si="41"/>
        <v>#REF!</v>
      </c>
      <c r="X184" s="134" t="e">
        <f t="shared" si="42"/>
        <v>#REF!</v>
      </c>
    </row>
    <row r="185" spans="2:24" ht="15.75" thickBot="1" x14ac:dyDescent="0.3">
      <c r="B185" s="1250"/>
      <c r="C185" s="39" t="e">
        <f>'Combustão Móvel'!#REF!</f>
        <v>#REF!</v>
      </c>
      <c r="D185" s="155" t="e">
        <f>'Combustão Móvel'!#REF!</f>
        <v>#REF!</v>
      </c>
      <c r="E185" s="150" t="e">
        <f>'Combustão Móvel'!#REF!</f>
        <v>#REF!</v>
      </c>
      <c r="F185" s="150" t="e">
        <f t="shared" si="29"/>
        <v>#REF!</v>
      </c>
      <c r="G185" s="150" t="e">
        <f t="shared" si="30"/>
        <v>#REF!</v>
      </c>
      <c r="H185" s="150" t="e">
        <f t="shared" si="31"/>
        <v>#REF!</v>
      </c>
      <c r="I185" s="150" t="e">
        <f t="shared" si="32"/>
        <v>#REF!</v>
      </c>
      <c r="J185" s="150" t="e">
        <f t="shared" si="33"/>
        <v>#REF!</v>
      </c>
      <c r="K185" s="157" t="e">
        <f t="shared" si="34"/>
        <v>#REF!</v>
      </c>
      <c r="L185" s="64" t="e">
        <f>'Combustão Móvel'!#REF!</f>
        <v>#REF!</v>
      </c>
      <c r="M185" s="65" t="e">
        <f>'Combustão Móvel'!#REF!</f>
        <v>#REF!</v>
      </c>
      <c r="N185" s="150"/>
      <c r="O185" s="150" t="e">
        <f t="shared" si="35"/>
        <v>#REF!</v>
      </c>
      <c r="P185" s="150"/>
      <c r="Q185" s="150"/>
      <c r="R185" s="150" t="e">
        <f t="shared" si="36"/>
        <v>#REF!</v>
      </c>
      <c r="S185" s="150" t="e">
        <f t="shared" si="37"/>
        <v>#REF!</v>
      </c>
      <c r="T185" s="161" t="e">
        <f t="shared" si="38"/>
        <v>#REF!</v>
      </c>
      <c r="U185" s="161" t="e">
        <f t="shared" si="39"/>
        <v>#REF!</v>
      </c>
      <c r="V185" s="134" t="e">
        <f t="shared" si="40"/>
        <v>#REF!</v>
      </c>
      <c r="W185" s="134" t="e">
        <f t="shared" si="41"/>
        <v>#REF!</v>
      </c>
      <c r="X185" s="134" t="e">
        <f t="shared" si="42"/>
        <v>#REF!</v>
      </c>
    </row>
    <row r="186" spans="2:24" ht="15.75" thickBot="1" x14ac:dyDescent="0.3">
      <c r="B186" s="1250"/>
      <c r="C186" s="39" t="e">
        <f>'Combustão Móvel'!#REF!</f>
        <v>#REF!</v>
      </c>
      <c r="D186" s="155" t="e">
        <f>'Combustão Móvel'!#REF!</f>
        <v>#REF!</v>
      </c>
      <c r="E186" s="150" t="e">
        <f>'Combustão Móvel'!#REF!</f>
        <v>#REF!</v>
      </c>
      <c r="F186" s="150" t="e">
        <f t="shared" si="29"/>
        <v>#REF!</v>
      </c>
      <c r="G186" s="150" t="e">
        <f t="shared" si="30"/>
        <v>#REF!</v>
      </c>
      <c r="H186" s="150" t="e">
        <f t="shared" si="31"/>
        <v>#REF!</v>
      </c>
      <c r="I186" s="150" t="e">
        <f t="shared" si="32"/>
        <v>#REF!</v>
      </c>
      <c r="J186" s="150" t="e">
        <f t="shared" si="33"/>
        <v>#REF!</v>
      </c>
      <c r="K186" s="157" t="e">
        <f t="shared" si="34"/>
        <v>#REF!</v>
      </c>
      <c r="L186" s="64" t="e">
        <f>'Combustão Móvel'!#REF!</f>
        <v>#REF!</v>
      </c>
      <c r="M186" s="65" t="e">
        <f>'Combustão Móvel'!#REF!</f>
        <v>#REF!</v>
      </c>
      <c r="N186" s="150"/>
      <c r="O186" s="150" t="e">
        <f t="shared" si="35"/>
        <v>#REF!</v>
      </c>
      <c r="P186" s="150"/>
      <c r="Q186" s="150"/>
      <c r="R186" s="150" t="e">
        <f t="shared" si="36"/>
        <v>#REF!</v>
      </c>
      <c r="S186" s="150" t="e">
        <f t="shared" si="37"/>
        <v>#REF!</v>
      </c>
      <c r="T186" s="161" t="e">
        <f t="shared" si="38"/>
        <v>#REF!</v>
      </c>
      <c r="U186" s="161" t="e">
        <f t="shared" si="39"/>
        <v>#REF!</v>
      </c>
      <c r="V186" s="134" t="e">
        <f t="shared" si="40"/>
        <v>#REF!</v>
      </c>
      <c r="W186" s="134" t="e">
        <f t="shared" si="41"/>
        <v>#REF!</v>
      </c>
      <c r="X186" s="134" t="e">
        <f t="shared" si="42"/>
        <v>#REF!</v>
      </c>
    </row>
    <row r="187" spans="2:24" ht="15.75" thickBot="1" x14ac:dyDescent="0.3">
      <c r="B187" s="1250"/>
      <c r="C187" s="39" t="e">
        <f>'Combustão Móvel'!#REF!</f>
        <v>#REF!</v>
      </c>
      <c r="D187" s="155" t="e">
        <f>'Combustão Móvel'!#REF!</f>
        <v>#REF!</v>
      </c>
      <c r="E187" s="150" t="e">
        <f>'Combustão Móvel'!#REF!</f>
        <v>#REF!</v>
      </c>
      <c r="F187" s="150" t="e">
        <f t="shared" si="29"/>
        <v>#REF!</v>
      </c>
      <c r="G187" s="150" t="e">
        <f t="shared" si="30"/>
        <v>#REF!</v>
      </c>
      <c r="H187" s="150" t="e">
        <f t="shared" si="31"/>
        <v>#REF!</v>
      </c>
      <c r="I187" s="150" t="e">
        <f t="shared" si="32"/>
        <v>#REF!</v>
      </c>
      <c r="J187" s="150" t="e">
        <f t="shared" si="33"/>
        <v>#REF!</v>
      </c>
      <c r="K187" s="157" t="e">
        <f t="shared" si="34"/>
        <v>#REF!</v>
      </c>
      <c r="L187" s="64" t="e">
        <f>'Combustão Móvel'!#REF!</f>
        <v>#REF!</v>
      </c>
      <c r="M187" s="65" t="e">
        <f>'Combustão Móvel'!#REF!</f>
        <v>#REF!</v>
      </c>
      <c r="N187" s="150"/>
      <c r="O187" s="150" t="e">
        <f t="shared" si="35"/>
        <v>#REF!</v>
      </c>
      <c r="P187" s="150"/>
      <c r="Q187" s="150"/>
      <c r="R187" s="150" t="e">
        <f t="shared" si="36"/>
        <v>#REF!</v>
      </c>
      <c r="S187" s="150" t="e">
        <f t="shared" si="37"/>
        <v>#REF!</v>
      </c>
      <c r="T187" s="161" t="e">
        <f t="shared" si="38"/>
        <v>#REF!</v>
      </c>
      <c r="U187" s="161" t="e">
        <f t="shared" si="39"/>
        <v>#REF!</v>
      </c>
      <c r="V187" s="134" t="e">
        <f t="shared" si="40"/>
        <v>#REF!</v>
      </c>
      <c r="W187" s="134" t="e">
        <f t="shared" si="41"/>
        <v>#REF!</v>
      </c>
      <c r="X187" s="134" t="e">
        <f t="shared" si="42"/>
        <v>#REF!</v>
      </c>
    </row>
    <row r="188" spans="2:24" ht="15.75" thickBot="1" x14ac:dyDescent="0.3">
      <c r="B188" s="1250"/>
      <c r="C188" s="39" t="e">
        <f>'Combustão Móvel'!#REF!</f>
        <v>#REF!</v>
      </c>
      <c r="D188" s="155" t="e">
        <f>'Combustão Móvel'!#REF!</f>
        <v>#REF!</v>
      </c>
      <c r="E188" s="150" t="e">
        <f>'Combustão Móvel'!#REF!</f>
        <v>#REF!</v>
      </c>
      <c r="F188" s="150" t="e">
        <f t="shared" si="29"/>
        <v>#REF!</v>
      </c>
      <c r="G188" s="150" t="e">
        <f t="shared" si="30"/>
        <v>#REF!</v>
      </c>
      <c r="H188" s="150" t="e">
        <f t="shared" si="31"/>
        <v>#REF!</v>
      </c>
      <c r="I188" s="150" t="e">
        <f t="shared" si="32"/>
        <v>#REF!</v>
      </c>
      <c r="J188" s="150" t="e">
        <f t="shared" si="33"/>
        <v>#REF!</v>
      </c>
      <c r="K188" s="157" t="e">
        <f t="shared" si="34"/>
        <v>#REF!</v>
      </c>
      <c r="L188" s="64" t="e">
        <f>'Combustão Móvel'!#REF!</f>
        <v>#REF!</v>
      </c>
      <c r="M188" s="65" t="e">
        <f>'Combustão Móvel'!#REF!</f>
        <v>#REF!</v>
      </c>
      <c r="N188" s="150"/>
      <c r="O188" s="150" t="e">
        <f t="shared" si="35"/>
        <v>#REF!</v>
      </c>
      <c r="P188" s="150"/>
      <c r="Q188" s="150"/>
      <c r="R188" s="150" t="e">
        <f t="shared" si="36"/>
        <v>#REF!</v>
      </c>
      <c r="S188" s="150" t="e">
        <f t="shared" si="37"/>
        <v>#REF!</v>
      </c>
      <c r="T188" s="161" t="e">
        <f t="shared" si="38"/>
        <v>#REF!</v>
      </c>
      <c r="U188" s="161" t="e">
        <f t="shared" si="39"/>
        <v>#REF!</v>
      </c>
      <c r="V188" s="134" t="e">
        <f t="shared" si="40"/>
        <v>#REF!</v>
      </c>
      <c r="W188" s="134" t="e">
        <f t="shared" si="41"/>
        <v>#REF!</v>
      </c>
      <c r="X188" s="134" t="e">
        <f t="shared" si="42"/>
        <v>#REF!</v>
      </c>
    </row>
    <row r="189" spans="2:24" ht="15.75" thickBot="1" x14ac:dyDescent="0.3">
      <c r="B189" s="1250"/>
      <c r="C189" s="39" t="e">
        <f>'Combustão Móvel'!#REF!</f>
        <v>#REF!</v>
      </c>
      <c r="D189" s="155" t="e">
        <f>'Combustão Móvel'!#REF!</f>
        <v>#REF!</v>
      </c>
      <c r="E189" s="150" t="e">
        <f>'Combustão Móvel'!#REF!</f>
        <v>#REF!</v>
      </c>
      <c r="F189" s="150" t="e">
        <f t="shared" si="29"/>
        <v>#REF!</v>
      </c>
      <c r="G189" s="150" t="e">
        <f t="shared" si="30"/>
        <v>#REF!</v>
      </c>
      <c r="H189" s="150" t="e">
        <f t="shared" si="31"/>
        <v>#REF!</v>
      </c>
      <c r="I189" s="150" t="e">
        <f t="shared" si="32"/>
        <v>#REF!</v>
      </c>
      <c r="J189" s="150" t="e">
        <f t="shared" si="33"/>
        <v>#REF!</v>
      </c>
      <c r="K189" s="157" t="e">
        <f t="shared" si="34"/>
        <v>#REF!</v>
      </c>
      <c r="L189" s="64" t="e">
        <f>'Combustão Móvel'!#REF!</f>
        <v>#REF!</v>
      </c>
      <c r="M189" s="65" t="e">
        <f>'Combustão Móvel'!#REF!</f>
        <v>#REF!</v>
      </c>
      <c r="N189" s="150"/>
      <c r="O189" s="150" t="e">
        <f t="shared" si="35"/>
        <v>#REF!</v>
      </c>
      <c r="P189" s="150"/>
      <c r="Q189" s="150"/>
      <c r="R189" s="150" t="e">
        <f t="shared" si="36"/>
        <v>#REF!</v>
      </c>
      <c r="S189" s="150" t="e">
        <f t="shared" si="37"/>
        <v>#REF!</v>
      </c>
      <c r="T189" s="161" t="e">
        <f t="shared" si="38"/>
        <v>#REF!</v>
      </c>
      <c r="U189" s="161" t="e">
        <f t="shared" si="39"/>
        <v>#REF!</v>
      </c>
      <c r="V189" s="134" t="e">
        <f t="shared" si="40"/>
        <v>#REF!</v>
      </c>
      <c r="W189" s="134" t="e">
        <f t="shared" si="41"/>
        <v>#REF!</v>
      </c>
      <c r="X189" s="134" t="e">
        <f t="shared" si="42"/>
        <v>#REF!</v>
      </c>
    </row>
    <row r="190" spans="2:24" ht="15.75" thickBot="1" x14ac:dyDescent="0.3">
      <c r="B190" s="1250"/>
      <c r="C190" s="39" t="e">
        <f>'Combustão Móvel'!#REF!</f>
        <v>#REF!</v>
      </c>
      <c r="D190" s="155" t="e">
        <f>'Combustão Móvel'!#REF!</f>
        <v>#REF!</v>
      </c>
      <c r="E190" s="150" t="e">
        <f>'Combustão Móvel'!#REF!</f>
        <v>#REF!</v>
      </c>
      <c r="F190" s="150" t="e">
        <f t="shared" si="29"/>
        <v>#REF!</v>
      </c>
      <c r="G190" s="150" t="e">
        <f t="shared" si="30"/>
        <v>#REF!</v>
      </c>
      <c r="H190" s="150" t="e">
        <f t="shared" si="31"/>
        <v>#REF!</v>
      </c>
      <c r="I190" s="150" t="e">
        <f t="shared" si="32"/>
        <v>#REF!</v>
      </c>
      <c r="J190" s="150" t="e">
        <f t="shared" si="33"/>
        <v>#REF!</v>
      </c>
      <c r="K190" s="157" t="e">
        <f t="shared" si="34"/>
        <v>#REF!</v>
      </c>
      <c r="L190" s="64" t="e">
        <f>'Combustão Móvel'!#REF!</f>
        <v>#REF!</v>
      </c>
      <c r="M190" s="65" t="e">
        <f>'Combustão Móvel'!#REF!</f>
        <v>#REF!</v>
      </c>
      <c r="N190" s="150"/>
      <c r="O190" s="150" t="e">
        <f t="shared" si="35"/>
        <v>#REF!</v>
      </c>
      <c r="P190" s="150"/>
      <c r="Q190" s="150"/>
      <c r="R190" s="150" t="e">
        <f t="shared" si="36"/>
        <v>#REF!</v>
      </c>
      <c r="S190" s="150" t="e">
        <f t="shared" si="37"/>
        <v>#REF!</v>
      </c>
      <c r="T190" s="161" t="e">
        <f t="shared" si="38"/>
        <v>#REF!</v>
      </c>
      <c r="U190" s="161" t="e">
        <f t="shared" si="39"/>
        <v>#REF!</v>
      </c>
      <c r="V190" s="134" t="e">
        <f t="shared" si="40"/>
        <v>#REF!</v>
      </c>
      <c r="W190" s="134" t="e">
        <f t="shared" si="41"/>
        <v>#REF!</v>
      </c>
      <c r="X190" s="134" t="e">
        <f t="shared" si="42"/>
        <v>#REF!</v>
      </c>
    </row>
    <row r="191" spans="2:24" ht="15.75" thickBot="1" x14ac:dyDescent="0.3">
      <c r="B191" s="1250"/>
      <c r="C191" s="39" t="e">
        <f>'Combustão Móvel'!#REF!</f>
        <v>#REF!</v>
      </c>
      <c r="D191" s="155" t="e">
        <f>'Combustão Móvel'!#REF!</f>
        <v>#REF!</v>
      </c>
      <c r="E191" s="150" t="e">
        <f>'Combustão Móvel'!#REF!</f>
        <v>#REF!</v>
      </c>
      <c r="F191" s="150" t="e">
        <f t="shared" si="29"/>
        <v>#REF!</v>
      </c>
      <c r="G191" s="150" t="e">
        <f t="shared" si="30"/>
        <v>#REF!</v>
      </c>
      <c r="H191" s="150" t="e">
        <f t="shared" si="31"/>
        <v>#REF!</v>
      </c>
      <c r="I191" s="150" t="e">
        <f t="shared" si="32"/>
        <v>#REF!</v>
      </c>
      <c r="J191" s="150" t="e">
        <f t="shared" si="33"/>
        <v>#REF!</v>
      </c>
      <c r="K191" s="157" t="e">
        <f t="shared" si="34"/>
        <v>#REF!</v>
      </c>
      <c r="L191" s="64" t="e">
        <f>'Combustão Móvel'!#REF!</f>
        <v>#REF!</v>
      </c>
      <c r="M191" s="65" t="e">
        <f>'Combustão Móvel'!#REF!</f>
        <v>#REF!</v>
      </c>
      <c r="N191" s="150"/>
      <c r="O191" s="150" t="e">
        <f t="shared" si="35"/>
        <v>#REF!</v>
      </c>
      <c r="P191" s="150"/>
      <c r="Q191" s="150"/>
      <c r="R191" s="150" t="e">
        <f t="shared" si="36"/>
        <v>#REF!</v>
      </c>
      <c r="S191" s="150" t="e">
        <f t="shared" si="37"/>
        <v>#REF!</v>
      </c>
      <c r="T191" s="161" t="e">
        <f t="shared" si="38"/>
        <v>#REF!</v>
      </c>
      <c r="U191" s="161" t="e">
        <f t="shared" si="39"/>
        <v>#REF!</v>
      </c>
      <c r="V191" s="134" t="e">
        <f t="shared" si="40"/>
        <v>#REF!</v>
      </c>
      <c r="W191" s="134" t="e">
        <f t="shared" si="41"/>
        <v>#REF!</v>
      </c>
      <c r="X191" s="134" t="e">
        <f t="shared" si="42"/>
        <v>#REF!</v>
      </c>
    </row>
    <row r="192" spans="2:24" ht="15.75" thickBot="1" x14ac:dyDescent="0.3">
      <c r="B192" s="1250"/>
      <c r="C192" s="39" t="e">
        <f>'Combustão Móvel'!#REF!</f>
        <v>#REF!</v>
      </c>
      <c r="D192" s="155" t="e">
        <f>'Combustão Móvel'!#REF!</f>
        <v>#REF!</v>
      </c>
      <c r="E192" s="150" t="e">
        <f>'Combustão Móvel'!#REF!</f>
        <v>#REF!</v>
      </c>
      <c r="F192" s="150" t="e">
        <f t="shared" si="29"/>
        <v>#REF!</v>
      </c>
      <c r="G192" s="150" t="e">
        <f t="shared" si="30"/>
        <v>#REF!</v>
      </c>
      <c r="H192" s="150" t="e">
        <f t="shared" si="31"/>
        <v>#REF!</v>
      </c>
      <c r="I192" s="150" t="e">
        <f t="shared" si="32"/>
        <v>#REF!</v>
      </c>
      <c r="J192" s="150" t="e">
        <f t="shared" si="33"/>
        <v>#REF!</v>
      </c>
      <c r="K192" s="157" t="e">
        <f t="shared" si="34"/>
        <v>#REF!</v>
      </c>
      <c r="L192" s="64" t="e">
        <f>'Combustão Móvel'!#REF!</f>
        <v>#REF!</v>
      </c>
      <c r="M192" s="65" t="e">
        <f>'Combustão Móvel'!#REF!</f>
        <v>#REF!</v>
      </c>
      <c r="N192" s="150"/>
      <c r="O192" s="150" t="e">
        <f t="shared" si="35"/>
        <v>#REF!</v>
      </c>
      <c r="P192" s="150"/>
      <c r="Q192" s="150"/>
      <c r="R192" s="150" t="e">
        <f t="shared" si="36"/>
        <v>#REF!</v>
      </c>
      <c r="S192" s="150" t="e">
        <f t="shared" si="37"/>
        <v>#REF!</v>
      </c>
      <c r="T192" s="161" t="e">
        <f t="shared" si="38"/>
        <v>#REF!</v>
      </c>
      <c r="U192" s="161" t="e">
        <f t="shared" si="39"/>
        <v>#REF!</v>
      </c>
      <c r="V192" s="134" t="e">
        <f t="shared" si="40"/>
        <v>#REF!</v>
      </c>
      <c r="W192" s="134" t="e">
        <f t="shared" si="41"/>
        <v>#REF!</v>
      </c>
      <c r="X192" s="134" t="e">
        <f t="shared" si="42"/>
        <v>#REF!</v>
      </c>
    </row>
    <row r="193" spans="2:24" ht="15.75" thickBot="1" x14ac:dyDescent="0.3">
      <c r="B193" s="1250"/>
      <c r="C193" s="39" t="e">
        <f>'Combustão Móvel'!#REF!</f>
        <v>#REF!</v>
      </c>
      <c r="D193" s="155" t="e">
        <f>'Combustão Móvel'!#REF!</f>
        <v>#REF!</v>
      </c>
      <c r="E193" s="150" t="e">
        <f>'Combustão Móvel'!#REF!</f>
        <v>#REF!</v>
      </c>
      <c r="F193" s="150" t="e">
        <f t="shared" si="29"/>
        <v>#REF!</v>
      </c>
      <c r="G193" s="150" t="e">
        <f t="shared" si="30"/>
        <v>#REF!</v>
      </c>
      <c r="H193" s="150" t="e">
        <f t="shared" si="31"/>
        <v>#REF!</v>
      </c>
      <c r="I193" s="150" t="e">
        <f t="shared" si="32"/>
        <v>#REF!</v>
      </c>
      <c r="J193" s="150" t="e">
        <f t="shared" si="33"/>
        <v>#REF!</v>
      </c>
      <c r="K193" s="157" t="e">
        <f t="shared" si="34"/>
        <v>#REF!</v>
      </c>
      <c r="L193" s="64" t="e">
        <f>'Combustão Móvel'!#REF!</f>
        <v>#REF!</v>
      </c>
      <c r="M193" s="65" t="e">
        <f>'Combustão Móvel'!#REF!</f>
        <v>#REF!</v>
      </c>
      <c r="N193" s="150"/>
      <c r="O193" s="150" t="e">
        <f t="shared" si="35"/>
        <v>#REF!</v>
      </c>
      <c r="P193" s="150"/>
      <c r="Q193" s="150"/>
      <c r="R193" s="150" t="e">
        <f t="shared" si="36"/>
        <v>#REF!</v>
      </c>
      <c r="S193" s="150" t="e">
        <f t="shared" si="37"/>
        <v>#REF!</v>
      </c>
      <c r="T193" s="161" t="e">
        <f t="shared" si="38"/>
        <v>#REF!</v>
      </c>
      <c r="U193" s="161" t="e">
        <f t="shared" si="39"/>
        <v>#REF!</v>
      </c>
      <c r="V193" s="134" t="e">
        <f t="shared" si="40"/>
        <v>#REF!</v>
      </c>
      <c r="W193" s="134" t="e">
        <f t="shared" si="41"/>
        <v>#REF!</v>
      </c>
      <c r="X193" s="134" t="e">
        <f t="shared" si="42"/>
        <v>#REF!</v>
      </c>
    </row>
    <row r="194" spans="2:24" ht="15.75" thickBot="1" x14ac:dyDescent="0.3">
      <c r="B194" s="1250"/>
      <c r="C194" s="39" t="e">
        <f>'Combustão Móvel'!#REF!</f>
        <v>#REF!</v>
      </c>
      <c r="D194" s="155" t="e">
        <f>'Combustão Móvel'!#REF!</f>
        <v>#REF!</v>
      </c>
      <c r="E194" s="150" t="e">
        <f>'Combustão Móvel'!#REF!</f>
        <v>#REF!</v>
      </c>
      <c r="F194" s="150" t="e">
        <f t="shared" si="29"/>
        <v>#REF!</v>
      </c>
      <c r="G194" s="150" t="e">
        <f t="shared" si="30"/>
        <v>#REF!</v>
      </c>
      <c r="H194" s="150" t="e">
        <f t="shared" si="31"/>
        <v>#REF!</v>
      </c>
      <c r="I194" s="150" t="e">
        <f t="shared" si="32"/>
        <v>#REF!</v>
      </c>
      <c r="J194" s="150" t="e">
        <f t="shared" si="33"/>
        <v>#REF!</v>
      </c>
      <c r="K194" s="157" t="e">
        <f t="shared" si="34"/>
        <v>#REF!</v>
      </c>
      <c r="L194" s="64" t="e">
        <f>'Combustão Móvel'!#REF!</f>
        <v>#REF!</v>
      </c>
      <c r="M194" s="65" t="e">
        <f>'Combustão Móvel'!#REF!</f>
        <v>#REF!</v>
      </c>
      <c r="N194" s="150"/>
      <c r="O194" s="150" t="e">
        <f t="shared" si="35"/>
        <v>#REF!</v>
      </c>
      <c r="P194" s="150"/>
      <c r="Q194" s="150"/>
      <c r="R194" s="150" t="e">
        <f t="shared" si="36"/>
        <v>#REF!</v>
      </c>
      <c r="S194" s="150" t="e">
        <f t="shared" si="37"/>
        <v>#REF!</v>
      </c>
      <c r="T194" s="161" t="e">
        <f t="shared" si="38"/>
        <v>#REF!</v>
      </c>
      <c r="U194" s="161" t="e">
        <f t="shared" si="39"/>
        <v>#REF!</v>
      </c>
      <c r="V194" s="134" t="e">
        <f t="shared" si="40"/>
        <v>#REF!</v>
      </c>
      <c r="W194" s="134" t="e">
        <f t="shared" si="41"/>
        <v>#REF!</v>
      </c>
      <c r="X194" s="134" t="e">
        <f t="shared" si="42"/>
        <v>#REF!</v>
      </c>
    </row>
    <row r="195" spans="2:24" ht="15.75" thickBot="1" x14ac:dyDescent="0.3">
      <c r="B195" s="1250"/>
      <c r="C195" s="39" t="e">
        <f>'Combustão Móvel'!#REF!</f>
        <v>#REF!</v>
      </c>
      <c r="D195" s="155" t="e">
        <f>'Combustão Móvel'!#REF!</f>
        <v>#REF!</v>
      </c>
      <c r="E195" s="150" t="e">
        <f>'Combustão Móvel'!#REF!</f>
        <v>#REF!</v>
      </c>
      <c r="F195" s="150" t="e">
        <f t="shared" si="29"/>
        <v>#REF!</v>
      </c>
      <c r="G195" s="150" t="e">
        <f t="shared" si="30"/>
        <v>#REF!</v>
      </c>
      <c r="H195" s="150" t="e">
        <f t="shared" si="31"/>
        <v>#REF!</v>
      </c>
      <c r="I195" s="150" t="e">
        <f t="shared" si="32"/>
        <v>#REF!</v>
      </c>
      <c r="J195" s="150" t="e">
        <f t="shared" si="33"/>
        <v>#REF!</v>
      </c>
      <c r="K195" s="157" t="e">
        <f t="shared" si="34"/>
        <v>#REF!</v>
      </c>
      <c r="L195" s="64" t="e">
        <f>'Combustão Móvel'!#REF!</f>
        <v>#REF!</v>
      </c>
      <c r="M195" s="65" t="e">
        <f>'Combustão Móvel'!#REF!</f>
        <v>#REF!</v>
      </c>
      <c r="N195" s="150"/>
      <c r="O195" s="150" t="e">
        <f t="shared" si="35"/>
        <v>#REF!</v>
      </c>
      <c r="P195" s="150"/>
      <c r="Q195" s="150"/>
      <c r="R195" s="150" t="e">
        <f t="shared" si="36"/>
        <v>#REF!</v>
      </c>
      <c r="S195" s="150" t="e">
        <f t="shared" si="37"/>
        <v>#REF!</v>
      </c>
      <c r="T195" s="161" t="e">
        <f t="shared" si="38"/>
        <v>#REF!</v>
      </c>
      <c r="U195" s="161" t="e">
        <f t="shared" si="39"/>
        <v>#REF!</v>
      </c>
      <c r="V195" s="134" t="e">
        <f t="shared" si="40"/>
        <v>#REF!</v>
      </c>
      <c r="W195" s="134" t="e">
        <f t="shared" si="41"/>
        <v>#REF!</v>
      </c>
      <c r="X195" s="134" t="e">
        <f t="shared" si="42"/>
        <v>#REF!</v>
      </c>
    </row>
    <row r="196" spans="2:24" ht="15.75" thickBot="1" x14ac:dyDescent="0.3">
      <c r="B196" s="1250"/>
      <c r="C196" s="39" t="e">
        <f>'Combustão Móvel'!#REF!</f>
        <v>#REF!</v>
      </c>
      <c r="D196" s="155" t="e">
        <f>'Combustão Móvel'!#REF!</f>
        <v>#REF!</v>
      </c>
      <c r="E196" s="150" t="e">
        <f>'Combustão Móvel'!#REF!</f>
        <v>#REF!</v>
      </c>
      <c r="F196" s="150" t="e">
        <f t="shared" si="29"/>
        <v>#REF!</v>
      </c>
      <c r="G196" s="150" t="e">
        <f t="shared" si="30"/>
        <v>#REF!</v>
      </c>
      <c r="H196" s="150" t="e">
        <f t="shared" si="31"/>
        <v>#REF!</v>
      </c>
      <c r="I196" s="150" t="e">
        <f t="shared" si="32"/>
        <v>#REF!</v>
      </c>
      <c r="J196" s="150" t="e">
        <f t="shared" si="33"/>
        <v>#REF!</v>
      </c>
      <c r="K196" s="157" t="e">
        <f t="shared" si="34"/>
        <v>#REF!</v>
      </c>
      <c r="L196" s="64" t="e">
        <f>'Combustão Móvel'!#REF!</f>
        <v>#REF!</v>
      </c>
      <c r="M196" s="65" t="e">
        <f>'Combustão Móvel'!#REF!</f>
        <v>#REF!</v>
      </c>
      <c r="N196" s="150"/>
      <c r="O196" s="150" t="e">
        <f t="shared" si="35"/>
        <v>#REF!</v>
      </c>
      <c r="P196" s="150"/>
      <c r="Q196" s="150"/>
      <c r="R196" s="150" t="e">
        <f t="shared" si="36"/>
        <v>#REF!</v>
      </c>
      <c r="S196" s="150" t="e">
        <f t="shared" si="37"/>
        <v>#REF!</v>
      </c>
      <c r="T196" s="161" t="e">
        <f t="shared" si="38"/>
        <v>#REF!</v>
      </c>
      <c r="U196" s="161" t="e">
        <f t="shared" si="39"/>
        <v>#REF!</v>
      </c>
      <c r="V196" s="134" t="e">
        <f t="shared" si="40"/>
        <v>#REF!</v>
      </c>
      <c r="W196" s="134" t="e">
        <f t="shared" si="41"/>
        <v>#REF!</v>
      </c>
      <c r="X196" s="134" t="e">
        <f t="shared" si="42"/>
        <v>#REF!</v>
      </c>
    </row>
    <row r="197" spans="2:24" ht="15.75" thickBot="1" x14ac:dyDescent="0.3">
      <c r="B197" s="1250"/>
      <c r="C197" s="39" t="e">
        <f>'Combustão Móvel'!#REF!</f>
        <v>#REF!</v>
      </c>
      <c r="D197" s="155" t="e">
        <f>'Combustão Móvel'!#REF!</f>
        <v>#REF!</v>
      </c>
      <c r="E197" s="150" t="e">
        <f>'Combustão Móvel'!#REF!</f>
        <v>#REF!</v>
      </c>
      <c r="F197" s="150" t="e">
        <f t="shared" si="29"/>
        <v>#REF!</v>
      </c>
      <c r="G197" s="150" t="e">
        <f t="shared" si="30"/>
        <v>#REF!</v>
      </c>
      <c r="H197" s="150" t="e">
        <f t="shared" si="31"/>
        <v>#REF!</v>
      </c>
      <c r="I197" s="150" t="e">
        <f t="shared" si="32"/>
        <v>#REF!</v>
      </c>
      <c r="J197" s="150" t="e">
        <f t="shared" si="33"/>
        <v>#REF!</v>
      </c>
      <c r="K197" s="157" t="e">
        <f t="shared" si="34"/>
        <v>#REF!</v>
      </c>
      <c r="L197" s="64" t="e">
        <f>'Combustão Móvel'!#REF!</f>
        <v>#REF!</v>
      </c>
      <c r="M197" s="65" t="e">
        <f>'Combustão Móvel'!#REF!</f>
        <v>#REF!</v>
      </c>
      <c r="N197" s="150"/>
      <c r="O197" s="150" t="e">
        <f t="shared" si="35"/>
        <v>#REF!</v>
      </c>
      <c r="P197" s="150"/>
      <c r="Q197" s="150"/>
      <c r="R197" s="150" t="e">
        <f t="shared" si="36"/>
        <v>#REF!</v>
      </c>
      <c r="S197" s="150" t="e">
        <f t="shared" si="37"/>
        <v>#REF!</v>
      </c>
      <c r="T197" s="161" t="e">
        <f t="shared" si="38"/>
        <v>#REF!</v>
      </c>
      <c r="U197" s="161" t="e">
        <f t="shared" si="39"/>
        <v>#REF!</v>
      </c>
      <c r="V197" s="134" t="e">
        <f t="shared" si="40"/>
        <v>#REF!</v>
      </c>
      <c r="W197" s="134" t="e">
        <f t="shared" si="41"/>
        <v>#REF!</v>
      </c>
      <c r="X197" s="134" t="e">
        <f t="shared" si="42"/>
        <v>#REF!</v>
      </c>
    </row>
    <row r="198" spans="2:24" ht="15.75" thickBot="1" x14ac:dyDescent="0.3">
      <c r="B198" s="1250"/>
      <c r="C198" s="39" t="e">
        <f>'Combustão Móvel'!#REF!</f>
        <v>#REF!</v>
      </c>
      <c r="D198" s="155" t="e">
        <f>'Combustão Móvel'!#REF!</f>
        <v>#REF!</v>
      </c>
      <c r="E198" s="150" t="e">
        <f>'Combustão Móvel'!#REF!</f>
        <v>#REF!</v>
      </c>
      <c r="F198" s="150" t="e">
        <f t="shared" ref="F198:F232" si="43">IF(C198=$F$32,D198,0)</f>
        <v>#REF!</v>
      </c>
      <c r="G198" s="150" t="e">
        <f t="shared" ref="G198:G232" si="44">IF(C198=$G$32,D198,0)</f>
        <v>#REF!</v>
      </c>
      <c r="H198" s="150" t="e">
        <f t="shared" ref="H198:H232" si="45">IF(C198=$H$32,D198,0)</f>
        <v>#REF!</v>
      </c>
      <c r="I198" s="150" t="e">
        <f t="shared" ref="I198:I232" si="46">IF(C198=$I$32,E198,0)</f>
        <v>#REF!</v>
      </c>
      <c r="J198" s="150" t="e">
        <f t="shared" ref="J198:J232" si="47">IF(C198=$J$32,E198,0)</f>
        <v>#REF!</v>
      </c>
      <c r="K198" s="157" t="e">
        <f t="shared" ref="K198:K232" si="48">IF(C198=$K$32,E198,0)</f>
        <v>#REF!</v>
      </c>
      <c r="L198" s="64" t="e">
        <f>'Combustão Móvel'!#REF!</f>
        <v>#REF!</v>
      </c>
      <c r="M198" s="65" t="e">
        <f>'Combustão Móvel'!#REF!</f>
        <v>#REF!</v>
      </c>
      <c r="N198" s="150"/>
      <c r="O198" s="150" t="e">
        <f t="shared" si="35"/>
        <v>#REF!</v>
      </c>
      <c r="P198" s="150"/>
      <c r="Q198" s="150"/>
      <c r="R198" s="150" t="e">
        <f t="shared" si="36"/>
        <v>#REF!</v>
      </c>
      <c r="S198" s="150" t="e">
        <f t="shared" si="37"/>
        <v>#REF!</v>
      </c>
      <c r="T198" s="161" t="e">
        <f t="shared" si="38"/>
        <v>#REF!</v>
      </c>
      <c r="U198" s="161" t="e">
        <f t="shared" si="39"/>
        <v>#REF!</v>
      </c>
      <c r="V198" s="134" t="e">
        <f t="shared" si="40"/>
        <v>#REF!</v>
      </c>
      <c r="W198" s="134" t="e">
        <f t="shared" si="41"/>
        <v>#REF!</v>
      </c>
      <c r="X198" s="134" t="e">
        <f t="shared" si="42"/>
        <v>#REF!</v>
      </c>
    </row>
    <row r="199" spans="2:24" ht="15.75" thickBot="1" x14ac:dyDescent="0.3">
      <c r="B199" s="1250"/>
      <c r="C199" s="39" t="e">
        <f>'Combustão Móvel'!#REF!</f>
        <v>#REF!</v>
      </c>
      <c r="D199" s="155" t="e">
        <f>'Combustão Móvel'!#REF!</f>
        <v>#REF!</v>
      </c>
      <c r="E199" s="150" t="e">
        <f>'Combustão Móvel'!#REF!</f>
        <v>#REF!</v>
      </c>
      <c r="F199" s="150" t="e">
        <f t="shared" si="43"/>
        <v>#REF!</v>
      </c>
      <c r="G199" s="150" t="e">
        <f t="shared" si="44"/>
        <v>#REF!</v>
      </c>
      <c r="H199" s="150" t="e">
        <f t="shared" si="45"/>
        <v>#REF!</v>
      </c>
      <c r="I199" s="150" t="e">
        <f t="shared" si="46"/>
        <v>#REF!</v>
      </c>
      <c r="J199" s="150" t="e">
        <f t="shared" si="47"/>
        <v>#REF!</v>
      </c>
      <c r="K199" s="157" t="e">
        <f t="shared" si="48"/>
        <v>#REF!</v>
      </c>
      <c r="L199" s="64" t="e">
        <f>'Combustão Móvel'!#REF!</f>
        <v>#REF!</v>
      </c>
      <c r="M199" s="65" t="e">
        <f>'Combustão Móvel'!#REF!</f>
        <v>#REF!</v>
      </c>
      <c r="N199" s="150"/>
      <c r="O199" s="150" t="e">
        <f t="shared" si="35"/>
        <v>#REF!</v>
      </c>
      <c r="P199" s="150"/>
      <c r="Q199" s="150"/>
      <c r="R199" s="150" t="e">
        <f t="shared" si="36"/>
        <v>#REF!</v>
      </c>
      <c r="S199" s="150" t="e">
        <f t="shared" si="37"/>
        <v>#REF!</v>
      </c>
      <c r="T199" s="161" t="e">
        <f t="shared" si="38"/>
        <v>#REF!</v>
      </c>
      <c r="U199" s="161" t="e">
        <f t="shared" si="39"/>
        <v>#REF!</v>
      </c>
      <c r="V199" s="134" t="e">
        <f t="shared" si="40"/>
        <v>#REF!</v>
      </c>
      <c r="W199" s="134" t="e">
        <f t="shared" si="41"/>
        <v>#REF!</v>
      </c>
      <c r="X199" s="134" t="e">
        <f t="shared" si="42"/>
        <v>#REF!</v>
      </c>
    </row>
    <row r="200" spans="2:24" ht="15.75" thickBot="1" x14ac:dyDescent="0.3">
      <c r="B200" s="1250"/>
      <c r="C200" s="39" t="e">
        <f>'Combustão Móvel'!#REF!</f>
        <v>#REF!</v>
      </c>
      <c r="D200" s="155" t="e">
        <f>'Combustão Móvel'!#REF!</f>
        <v>#REF!</v>
      </c>
      <c r="E200" s="150" t="e">
        <f>'Combustão Móvel'!#REF!</f>
        <v>#REF!</v>
      </c>
      <c r="F200" s="150" t="e">
        <f t="shared" si="43"/>
        <v>#REF!</v>
      </c>
      <c r="G200" s="150" t="e">
        <f t="shared" si="44"/>
        <v>#REF!</v>
      </c>
      <c r="H200" s="150" t="e">
        <f t="shared" si="45"/>
        <v>#REF!</v>
      </c>
      <c r="I200" s="150" t="e">
        <f t="shared" si="46"/>
        <v>#REF!</v>
      </c>
      <c r="J200" s="150" t="e">
        <f t="shared" si="47"/>
        <v>#REF!</v>
      </c>
      <c r="K200" s="157" t="e">
        <f t="shared" si="48"/>
        <v>#REF!</v>
      </c>
      <c r="L200" s="64" t="e">
        <f>'Combustão Móvel'!#REF!</f>
        <v>#REF!</v>
      </c>
      <c r="M200" s="65" t="e">
        <f>'Combustão Móvel'!#REF!</f>
        <v>#REF!</v>
      </c>
      <c r="N200" s="150"/>
      <c r="O200" s="150" t="e">
        <f t="shared" si="35"/>
        <v>#REF!</v>
      </c>
      <c r="P200" s="150"/>
      <c r="Q200" s="150"/>
      <c r="R200" s="150" t="e">
        <f t="shared" si="36"/>
        <v>#REF!</v>
      </c>
      <c r="S200" s="150" t="e">
        <f t="shared" si="37"/>
        <v>#REF!</v>
      </c>
      <c r="T200" s="161" t="e">
        <f t="shared" si="38"/>
        <v>#REF!</v>
      </c>
      <c r="U200" s="161" t="e">
        <f t="shared" si="39"/>
        <v>#REF!</v>
      </c>
      <c r="V200" s="134" t="e">
        <f t="shared" si="40"/>
        <v>#REF!</v>
      </c>
      <c r="W200" s="134" t="e">
        <f t="shared" si="41"/>
        <v>#REF!</v>
      </c>
      <c r="X200" s="134" t="e">
        <f t="shared" si="42"/>
        <v>#REF!</v>
      </c>
    </row>
    <row r="201" spans="2:24" ht="15.75" thickBot="1" x14ac:dyDescent="0.3">
      <c r="B201" s="1250"/>
      <c r="C201" s="39" t="e">
        <f>'Combustão Móvel'!#REF!</f>
        <v>#REF!</v>
      </c>
      <c r="D201" s="155" t="e">
        <f>'Combustão Móvel'!#REF!</f>
        <v>#REF!</v>
      </c>
      <c r="E201" s="150" t="e">
        <f>'Combustão Móvel'!#REF!</f>
        <v>#REF!</v>
      </c>
      <c r="F201" s="150" t="e">
        <f t="shared" si="43"/>
        <v>#REF!</v>
      </c>
      <c r="G201" s="150" t="e">
        <f t="shared" si="44"/>
        <v>#REF!</v>
      </c>
      <c r="H201" s="150" t="e">
        <f t="shared" si="45"/>
        <v>#REF!</v>
      </c>
      <c r="I201" s="150" t="e">
        <f t="shared" si="46"/>
        <v>#REF!</v>
      </c>
      <c r="J201" s="150" t="e">
        <f t="shared" si="47"/>
        <v>#REF!</v>
      </c>
      <c r="K201" s="157" t="e">
        <f t="shared" si="48"/>
        <v>#REF!</v>
      </c>
      <c r="L201" s="64" t="e">
        <f>'Combustão Móvel'!#REF!</f>
        <v>#REF!</v>
      </c>
      <c r="M201" s="65" t="e">
        <f>'Combustão Móvel'!#REF!</f>
        <v>#REF!</v>
      </c>
      <c r="N201" s="150"/>
      <c r="O201" s="150" t="e">
        <f t="shared" si="35"/>
        <v>#REF!</v>
      </c>
      <c r="P201" s="150"/>
      <c r="Q201" s="150"/>
      <c r="R201" s="150" t="e">
        <f t="shared" si="36"/>
        <v>#REF!</v>
      </c>
      <c r="S201" s="150" t="e">
        <f t="shared" si="37"/>
        <v>#REF!</v>
      </c>
      <c r="T201" s="161" t="e">
        <f t="shared" si="38"/>
        <v>#REF!</v>
      </c>
      <c r="U201" s="161" t="e">
        <f t="shared" si="39"/>
        <v>#REF!</v>
      </c>
      <c r="V201" s="134" t="e">
        <f t="shared" si="40"/>
        <v>#REF!</v>
      </c>
      <c r="W201" s="134" t="e">
        <f t="shared" si="41"/>
        <v>#REF!</v>
      </c>
      <c r="X201" s="134" t="e">
        <f t="shared" si="42"/>
        <v>#REF!</v>
      </c>
    </row>
    <row r="202" spans="2:24" ht="15.75" thickBot="1" x14ac:dyDescent="0.3">
      <c r="B202" s="1250"/>
      <c r="C202" s="39" t="e">
        <f>'Combustão Móvel'!#REF!</f>
        <v>#REF!</v>
      </c>
      <c r="D202" s="155" t="e">
        <f>'Combustão Móvel'!#REF!</f>
        <v>#REF!</v>
      </c>
      <c r="E202" s="150" t="e">
        <f>'Combustão Móvel'!#REF!</f>
        <v>#REF!</v>
      </c>
      <c r="F202" s="150" t="e">
        <f t="shared" si="43"/>
        <v>#REF!</v>
      </c>
      <c r="G202" s="150" t="e">
        <f t="shared" si="44"/>
        <v>#REF!</v>
      </c>
      <c r="H202" s="150" t="e">
        <f t="shared" si="45"/>
        <v>#REF!</v>
      </c>
      <c r="I202" s="150" t="e">
        <f t="shared" si="46"/>
        <v>#REF!</v>
      </c>
      <c r="J202" s="150" t="e">
        <f t="shared" si="47"/>
        <v>#REF!</v>
      </c>
      <c r="K202" s="157" t="e">
        <f t="shared" si="48"/>
        <v>#REF!</v>
      </c>
      <c r="L202" s="64" t="e">
        <f>'Combustão Móvel'!#REF!</f>
        <v>#REF!</v>
      </c>
      <c r="M202" s="65" t="e">
        <f>'Combustão Móvel'!#REF!</f>
        <v>#REF!</v>
      </c>
      <c r="N202" s="150"/>
      <c r="O202" s="150" t="e">
        <f t="shared" si="35"/>
        <v>#REF!</v>
      </c>
      <c r="P202" s="150"/>
      <c r="Q202" s="150"/>
      <c r="R202" s="150" t="e">
        <f t="shared" si="36"/>
        <v>#REF!</v>
      </c>
      <c r="S202" s="150" t="e">
        <f t="shared" si="37"/>
        <v>#REF!</v>
      </c>
      <c r="T202" s="161" t="e">
        <f t="shared" si="38"/>
        <v>#REF!</v>
      </c>
      <c r="U202" s="161" t="e">
        <f t="shared" si="39"/>
        <v>#REF!</v>
      </c>
      <c r="V202" s="134" t="e">
        <f t="shared" si="40"/>
        <v>#REF!</v>
      </c>
      <c r="W202" s="134" t="e">
        <f t="shared" si="41"/>
        <v>#REF!</v>
      </c>
      <c r="X202" s="134" t="e">
        <f t="shared" si="42"/>
        <v>#REF!</v>
      </c>
    </row>
    <row r="203" spans="2:24" ht="15.75" thickBot="1" x14ac:dyDescent="0.3">
      <c r="B203" s="1250"/>
      <c r="C203" s="39" t="e">
        <f>'Combustão Móvel'!#REF!</f>
        <v>#REF!</v>
      </c>
      <c r="D203" s="155" t="e">
        <f>'Combustão Móvel'!#REF!</f>
        <v>#REF!</v>
      </c>
      <c r="E203" s="150" t="e">
        <f>'Combustão Móvel'!#REF!</f>
        <v>#REF!</v>
      </c>
      <c r="F203" s="150" t="e">
        <f t="shared" si="43"/>
        <v>#REF!</v>
      </c>
      <c r="G203" s="150" t="e">
        <f t="shared" si="44"/>
        <v>#REF!</v>
      </c>
      <c r="H203" s="150" t="e">
        <f t="shared" si="45"/>
        <v>#REF!</v>
      </c>
      <c r="I203" s="150" t="e">
        <f t="shared" si="46"/>
        <v>#REF!</v>
      </c>
      <c r="J203" s="150" t="e">
        <f t="shared" si="47"/>
        <v>#REF!</v>
      </c>
      <c r="K203" s="157" t="e">
        <f t="shared" si="48"/>
        <v>#REF!</v>
      </c>
      <c r="L203" s="64" t="e">
        <f>'Combustão Móvel'!#REF!</f>
        <v>#REF!</v>
      </c>
      <c r="M203" s="65" t="e">
        <f>'Combustão Móvel'!#REF!</f>
        <v>#REF!</v>
      </c>
      <c r="N203" s="150"/>
      <c r="O203" s="150" t="e">
        <f t="shared" si="35"/>
        <v>#REF!</v>
      </c>
      <c r="P203" s="150"/>
      <c r="Q203" s="150"/>
      <c r="R203" s="150" t="e">
        <f t="shared" si="36"/>
        <v>#REF!</v>
      </c>
      <c r="S203" s="150" t="e">
        <f t="shared" si="37"/>
        <v>#REF!</v>
      </c>
      <c r="T203" s="161" t="e">
        <f t="shared" si="38"/>
        <v>#REF!</v>
      </c>
      <c r="U203" s="161" t="e">
        <f t="shared" si="39"/>
        <v>#REF!</v>
      </c>
      <c r="V203" s="134" t="e">
        <f t="shared" si="40"/>
        <v>#REF!</v>
      </c>
      <c r="W203" s="134" t="e">
        <f t="shared" si="41"/>
        <v>#REF!</v>
      </c>
      <c r="X203" s="134" t="e">
        <f t="shared" si="42"/>
        <v>#REF!</v>
      </c>
    </row>
    <row r="204" spans="2:24" ht="15.75" thickBot="1" x14ac:dyDescent="0.3">
      <c r="B204" s="1250"/>
      <c r="C204" s="39" t="e">
        <f>'Combustão Móvel'!#REF!</f>
        <v>#REF!</v>
      </c>
      <c r="D204" s="155" t="e">
        <f>'Combustão Móvel'!#REF!</f>
        <v>#REF!</v>
      </c>
      <c r="E204" s="150" t="e">
        <f>'Combustão Móvel'!#REF!</f>
        <v>#REF!</v>
      </c>
      <c r="F204" s="150" t="e">
        <f t="shared" si="43"/>
        <v>#REF!</v>
      </c>
      <c r="G204" s="150" t="e">
        <f t="shared" si="44"/>
        <v>#REF!</v>
      </c>
      <c r="H204" s="150" t="e">
        <f t="shared" si="45"/>
        <v>#REF!</v>
      </c>
      <c r="I204" s="150" t="e">
        <f t="shared" si="46"/>
        <v>#REF!</v>
      </c>
      <c r="J204" s="150" t="e">
        <f t="shared" si="47"/>
        <v>#REF!</v>
      </c>
      <c r="K204" s="157" t="e">
        <f t="shared" si="48"/>
        <v>#REF!</v>
      </c>
      <c r="L204" s="64" t="e">
        <f>'Combustão Móvel'!#REF!</f>
        <v>#REF!</v>
      </c>
      <c r="M204" s="65" t="e">
        <f>'Combustão Móvel'!#REF!</f>
        <v>#REF!</v>
      </c>
      <c r="N204" s="150"/>
      <c r="O204" s="150" t="e">
        <f t="shared" si="35"/>
        <v>#REF!</v>
      </c>
      <c r="P204" s="150"/>
      <c r="Q204" s="150"/>
      <c r="R204" s="150" t="e">
        <f t="shared" si="36"/>
        <v>#REF!</v>
      </c>
      <c r="S204" s="150" t="e">
        <f t="shared" si="37"/>
        <v>#REF!</v>
      </c>
      <c r="T204" s="161" t="e">
        <f t="shared" si="38"/>
        <v>#REF!</v>
      </c>
      <c r="U204" s="161" t="e">
        <f t="shared" si="39"/>
        <v>#REF!</v>
      </c>
      <c r="V204" s="134" t="e">
        <f t="shared" si="40"/>
        <v>#REF!</v>
      </c>
      <c r="W204" s="134" t="e">
        <f t="shared" si="41"/>
        <v>#REF!</v>
      </c>
      <c r="X204" s="134" t="e">
        <f t="shared" si="42"/>
        <v>#REF!</v>
      </c>
    </row>
    <row r="205" spans="2:24" ht="15.75" thickBot="1" x14ac:dyDescent="0.3">
      <c r="B205" s="1250"/>
      <c r="C205" s="39" t="e">
        <f>'Combustão Móvel'!#REF!</f>
        <v>#REF!</v>
      </c>
      <c r="D205" s="155" t="e">
        <f>'Combustão Móvel'!#REF!</f>
        <v>#REF!</v>
      </c>
      <c r="E205" s="150" t="e">
        <f>'Combustão Móvel'!#REF!</f>
        <v>#REF!</v>
      </c>
      <c r="F205" s="150" t="e">
        <f t="shared" si="43"/>
        <v>#REF!</v>
      </c>
      <c r="G205" s="150" t="e">
        <f t="shared" si="44"/>
        <v>#REF!</v>
      </c>
      <c r="H205" s="150" t="e">
        <f t="shared" si="45"/>
        <v>#REF!</v>
      </c>
      <c r="I205" s="150" t="e">
        <f t="shared" si="46"/>
        <v>#REF!</v>
      </c>
      <c r="J205" s="150" t="e">
        <f t="shared" si="47"/>
        <v>#REF!</v>
      </c>
      <c r="K205" s="157" t="e">
        <f t="shared" si="48"/>
        <v>#REF!</v>
      </c>
      <c r="L205" s="64" t="e">
        <f>'Combustão Móvel'!#REF!</f>
        <v>#REF!</v>
      </c>
      <c r="M205" s="65" t="e">
        <f>'Combustão Móvel'!#REF!</f>
        <v>#REF!</v>
      </c>
      <c r="N205" s="150"/>
      <c r="O205" s="150" t="e">
        <f t="shared" si="35"/>
        <v>#REF!</v>
      </c>
      <c r="P205" s="150"/>
      <c r="Q205" s="150"/>
      <c r="R205" s="150" t="e">
        <f t="shared" si="36"/>
        <v>#REF!</v>
      </c>
      <c r="S205" s="150" t="e">
        <f t="shared" si="37"/>
        <v>#REF!</v>
      </c>
      <c r="T205" s="161" t="e">
        <f t="shared" si="38"/>
        <v>#REF!</v>
      </c>
      <c r="U205" s="161" t="e">
        <f t="shared" si="39"/>
        <v>#REF!</v>
      </c>
      <c r="V205" s="134" t="e">
        <f t="shared" si="40"/>
        <v>#REF!</v>
      </c>
      <c r="W205" s="134" t="e">
        <f t="shared" si="41"/>
        <v>#REF!</v>
      </c>
      <c r="X205" s="134" t="e">
        <f t="shared" si="42"/>
        <v>#REF!</v>
      </c>
    </row>
    <row r="206" spans="2:24" ht="15.75" thickBot="1" x14ac:dyDescent="0.3">
      <c r="B206" s="1250"/>
      <c r="C206" s="39" t="e">
        <f>'Combustão Móvel'!#REF!</f>
        <v>#REF!</v>
      </c>
      <c r="D206" s="155" t="e">
        <f>'Combustão Móvel'!#REF!</f>
        <v>#REF!</v>
      </c>
      <c r="E206" s="150" t="e">
        <f>'Combustão Móvel'!#REF!</f>
        <v>#REF!</v>
      </c>
      <c r="F206" s="150" t="e">
        <f t="shared" si="43"/>
        <v>#REF!</v>
      </c>
      <c r="G206" s="150" t="e">
        <f t="shared" si="44"/>
        <v>#REF!</v>
      </c>
      <c r="H206" s="150" t="e">
        <f t="shared" si="45"/>
        <v>#REF!</v>
      </c>
      <c r="I206" s="150" t="e">
        <f t="shared" si="46"/>
        <v>#REF!</v>
      </c>
      <c r="J206" s="150" t="e">
        <f t="shared" si="47"/>
        <v>#REF!</v>
      </c>
      <c r="K206" s="157" t="e">
        <f t="shared" si="48"/>
        <v>#REF!</v>
      </c>
      <c r="L206" s="64" t="e">
        <f>'Combustão Móvel'!#REF!</f>
        <v>#REF!</v>
      </c>
      <c r="M206" s="65" t="e">
        <f>'Combustão Móvel'!#REF!</f>
        <v>#REF!</v>
      </c>
      <c r="N206" s="150"/>
      <c r="O206" s="150" t="e">
        <f t="shared" si="35"/>
        <v>#REF!</v>
      </c>
      <c r="P206" s="150"/>
      <c r="Q206" s="150"/>
      <c r="R206" s="150" t="e">
        <f t="shared" si="36"/>
        <v>#REF!</v>
      </c>
      <c r="S206" s="150" t="e">
        <f t="shared" si="37"/>
        <v>#REF!</v>
      </c>
      <c r="T206" s="161" t="e">
        <f t="shared" si="38"/>
        <v>#REF!</v>
      </c>
      <c r="U206" s="161" t="e">
        <f t="shared" si="39"/>
        <v>#REF!</v>
      </c>
      <c r="V206" s="134" t="e">
        <f t="shared" si="40"/>
        <v>#REF!</v>
      </c>
      <c r="W206" s="134" t="e">
        <f t="shared" si="41"/>
        <v>#REF!</v>
      </c>
      <c r="X206" s="134" t="e">
        <f t="shared" si="42"/>
        <v>#REF!</v>
      </c>
    </row>
    <row r="207" spans="2:24" ht="15.75" thickBot="1" x14ac:dyDescent="0.3">
      <c r="B207" s="1250"/>
      <c r="C207" s="39" t="e">
        <f>'Combustão Móvel'!#REF!</f>
        <v>#REF!</v>
      </c>
      <c r="D207" s="155" t="e">
        <f>'Combustão Móvel'!#REF!</f>
        <v>#REF!</v>
      </c>
      <c r="E207" s="150" t="e">
        <f>'Combustão Móvel'!#REF!</f>
        <v>#REF!</v>
      </c>
      <c r="F207" s="150" t="e">
        <f t="shared" si="43"/>
        <v>#REF!</v>
      </c>
      <c r="G207" s="150" t="e">
        <f t="shared" si="44"/>
        <v>#REF!</v>
      </c>
      <c r="H207" s="150" t="e">
        <f t="shared" si="45"/>
        <v>#REF!</v>
      </c>
      <c r="I207" s="150" t="e">
        <f t="shared" si="46"/>
        <v>#REF!</v>
      </c>
      <c r="J207" s="150" t="e">
        <f t="shared" si="47"/>
        <v>#REF!</v>
      </c>
      <c r="K207" s="157" t="e">
        <f t="shared" si="48"/>
        <v>#REF!</v>
      </c>
      <c r="L207" s="64" t="e">
        <f>'Combustão Móvel'!#REF!</f>
        <v>#REF!</v>
      </c>
      <c r="M207" s="65" t="e">
        <f>'Combustão Móvel'!#REF!</f>
        <v>#REF!</v>
      </c>
      <c r="N207" s="150"/>
      <c r="O207" s="150" t="e">
        <f t="shared" si="35"/>
        <v>#REF!</v>
      </c>
      <c r="P207" s="150"/>
      <c r="Q207" s="150"/>
      <c r="R207" s="150" t="e">
        <f t="shared" si="36"/>
        <v>#REF!</v>
      </c>
      <c r="S207" s="150" t="e">
        <f t="shared" si="37"/>
        <v>#REF!</v>
      </c>
      <c r="T207" s="161" t="e">
        <f t="shared" si="38"/>
        <v>#REF!</v>
      </c>
      <c r="U207" s="161" t="e">
        <f t="shared" si="39"/>
        <v>#REF!</v>
      </c>
      <c r="V207" s="134" t="e">
        <f t="shared" si="40"/>
        <v>#REF!</v>
      </c>
      <c r="W207" s="134" t="e">
        <f t="shared" si="41"/>
        <v>#REF!</v>
      </c>
      <c r="X207" s="134" t="e">
        <f t="shared" si="42"/>
        <v>#REF!</v>
      </c>
    </row>
    <row r="208" spans="2:24" ht="15.75" thickBot="1" x14ac:dyDescent="0.3">
      <c r="B208" s="1250"/>
      <c r="C208" s="39" t="e">
        <f>'Combustão Móvel'!#REF!</f>
        <v>#REF!</v>
      </c>
      <c r="D208" s="155" t="e">
        <f>'Combustão Móvel'!#REF!</f>
        <v>#REF!</v>
      </c>
      <c r="E208" s="150" t="e">
        <f>'Combustão Móvel'!#REF!</f>
        <v>#REF!</v>
      </c>
      <c r="F208" s="150" t="e">
        <f t="shared" si="43"/>
        <v>#REF!</v>
      </c>
      <c r="G208" s="150" t="e">
        <f t="shared" si="44"/>
        <v>#REF!</v>
      </c>
      <c r="H208" s="150" t="e">
        <f t="shared" si="45"/>
        <v>#REF!</v>
      </c>
      <c r="I208" s="150" t="e">
        <f t="shared" si="46"/>
        <v>#REF!</v>
      </c>
      <c r="J208" s="150" t="e">
        <f t="shared" si="47"/>
        <v>#REF!</v>
      </c>
      <c r="K208" s="157" t="e">
        <f t="shared" si="48"/>
        <v>#REF!</v>
      </c>
      <c r="L208" s="64" t="e">
        <f>'Combustão Móvel'!#REF!</f>
        <v>#REF!</v>
      </c>
      <c r="M208" s="65" t="e">
        <f>'Combustão Móvel'!#REF!</f>
        <v>#REF!</v>
      </c>
      <c r="N208" s="150"/>
      <c r="O208" s="150" t="e">
        <f t="shared" si="35"/>
        <v>#REF!</v>
      </c>
      <c r="P208" s="150"/>
      <c r="Q208" s="150"/>
      <c r="R208" s="150" t="e">
        <f t="shared" si="36"/>
        <v>#REF!</v>
      </c>
      <c r="S208" s="150" t="e">
        <f t="shared" si="37"/>
        <v>#REF!</v>
      </c>
      <c r="T208" s="161" t="e">
        <f t="shared" si="38"/>
        <v>#REF!</v>
      </c>
      <c r="U208" s="161" t="e">
        <f t="shared" si="39"/>
        <v>#REF!</v>
      </c>
      <c r="V208" s="134" t="e">
        <f t="shared" si="40"/>
        <v>#REF!</v>
      </c>
      <c r="W208" s="134" t="e">
        <f t="shared" si="41"/>
        <v>#REF!</v>
      </c>
      <c r="X208" s="134" t="e">
        <f t="shared" si="42"/>
        <v>#REF!</v>
      </c>
    </row>
    <row r="209" spans="2:24" ht="15.75" thickBot="1" x14ac:dyDescent="0.3">
      <c r="B209" s="1250"/>
      <c r="C209" s="39" t="e">
        <f>'Combustão Móvel'!#REF!</f>
        <v>#REF!</v>
      </c>
      <c r="D209" s="155" t="e">
        <f>'Combustão Móvel'!#REF!</f>
        <v>#REF!</v>
      </c>
      <c r="E209" s="150" t="e">
        <f>'Combustão Móvel'!#REF!</f>
        <v>#REF!</v>
      </c>
      <c r="F209" s="150" t="e">
        <f t="shared" si="43"/>
        <v>#REF!</v>
      </c>
      <c r="G209" s="150" t="e">
        <f t="shared" si="44"/>
        <v>#REF!</v>
      </c>
      <c r="H209" s="150" t="e">
        <f t="shared" si="45"/>
        <v>#REF!</v>
      </c>
      <c r="I209" s="150" t="e">
        <f t="shared" si="46"/>
        <v>#REF!</v>
      </c>
      <c r="J209" s="150" t="e">
        <f t="shared" si="47"/>
        <v>#REF!</v>
      </c>
      <c r="K209" s="157" t="e">
        <f t="shared" si="48"/>
        <v>#REF!</v>
      </c>
      <c r="L209" s="64" t="e">
        <f>'Combustão Móvel'!#REF!</f>
        <v>#REF!</v>
      </c>
      <c r="M209" s="65" t="e">
        <f>'Combustão Móvel'!#REF!</f>
        <v>#REF!</v>
      </c>
      <c r="N209" s="150"/>
      <c r="O209" s="150" t="e">
        <f t="shared" si="35"/>
        <v>#REF!</v>
      </c>
      <c r="P209" s="150"/>
      <c r="Q209" s="150"/>
      <c r="R209" s="150" t="e">
        <f t="shared" si="36"/>
        <v>#REF!</v>
      </c>
      <c r="S209" s="150" t="e">
        <f t="shared" si="37"/>
        <v>#REF!</v>
      </c>
      <c r="T209" s="161" t="e">
        <f t="shared" si="38"/>
        <v>#REF!</v>
      </c>
      <c r="U209" s="161" t="e">
        <f t="shared" si="39"/>
        <v>#REF!</v>
      </c>
      <c r="V209" s="134" t="e">
        <f t="shared" si="40"/>
        <v>#REF!</v>
      </c>
      <c r="W209" s="134" t="e">
        <f t="shared" si="41"/>
        <v>#REF!</v>
      </c>
      <c r="X209" s="134" t="e">
        <f t="shared" si="42"/>
        <v>#REF!</v>
      </c>
    </row>
    <row r="210" spans="2:24" ht="15.75" thickBot="1" x14ac:dyDescent="0.3">
      <c r="B210" s="1250"/>
      <c r="C210" s="39" t="e">
        <f>'Combustão Móvel'!#REF!</f>
        <v>#REF!</v>
      </c>
      <c r="D210" s="155" t="e">
        <f>'Combustão Móvel'!#REF!</f>
        <v>#REF!</v>
      </c>
      <c r="E210" s="150" t="e">
        <f>'Combustão Móvel'!#REF!</f>
        <v>#REF!</v>
      </c>
      <c r="F210" s="150" t="e">
        <f t="shared" si="43"/>
        <v>#REF!</v>
      </c>
      <c r="G210" s="150" t="e">
        <f t="shared" si="44"/>
        <v>#REF!</v>
      </c>
      <c r="H210" s="150" t="e">
        <f t="shared" si="45"/>
        <v>#REF!</v>
      </c>
      <c r="I210" s="150" t="e">
        <f t="shared" si="46"/>
        <v>#REF!</v>
      </c>
      <c r="J210" s="150" t="e">
        <f t="shared" si="47"/>
        <v>#REF!</v>
      </c>
      <c r="K210" s="157" t="e">
        <f t="shared" si="48"/>
        <v>#REF!</v>
      </c>
      <c r="L210" s="64" t="e">
        <f>'Combustão Móvel'!#REF!</f>
        <v>#REF!</v>
      </c>
      <c r="M210" s="65" t="e">
        <f>'Combustão Móvel'!#REF!</f>
        <v>#REF!</v>
      </c>
      <c r="N210" s="150"/>
      <c r="O210" s="150" t="e">
        <f t="shared" si="35"/>
        <v>#REF!</v>
      </c>
      <c r="P210" s="150"/>
      <c r="Q210" s="150"/>
      <c r="R210" s="150" t="e">
        <f t="shared" si="36"/>
        <v>#REF!</v>
      </c>
      <c r="S210" s="150" t="e">
        <f t="shared" si="37"/>
        <v>#REF!</v>
      </c>
      <c r="T210" s="161" t="e">
        <f t="shared" si="38"/>
        <v>#REF!</v>
      </c>
      <c r="U210" s="161" t="e">
        <f t="shared" si="39"/>
        <v>#REF!</v>
      </c>
      <c r="V210" s="134" t="e">
        <f t="shared" si="40"/>
        <v>#REF!</v>
      </c>
      <c r="W210" s="134" t="e">
        <f t="shared" si="41"/>
        <v>#REF!</v>
      </c>
      <c r="X210" s="134" t="e">
        <f t="shared" si="42"/>
        <v>#REF!</v>
      </c>
    </row>
    <row r="211" spans="2:24" ht="15.75" thickBot="1" x14ac:dyDescent="0.3">
      <c r="B211" s="1250"/>
      <c r="C211" s="39" t="e">
        <f>'Combustão Móvel'!#REF!</f>
        <v>#REF!</v>
      </c>
      <c r="D211" s="155" t="e">
        <f>'Combustão Móvel'!#REF!</f>
        <v>#REF!</v>
      </c>
      <c r="E211" s="150" t="e">
        <f>'Combustão Móvel'!#REF!</f>
        <v>#REF!</v>
      </c>
      <c r="F211" s="150" t="e">
        <f t="shared" si="43"/>
        <v>#REF!</v>
      </c>
      <c r="G211" s="150" t="e">
        <f t="shared" si="44"/>
        <v>#REF!</v>
      </c>
      <c r="H211" s="150" t="e">
        <f t="shared" si="45"/>
        <v>#REF!</v>
      </c>
      <c r="I211" s="150" t="e">
        <f t="shared" si="46"/>
        <v>#REF!</v>
      </c>
      <c r="J211" s="150" t="e">
        <f t="shared" si="47"/>
        <v>#REF!</v>
      </c>
      <c r="K211" s="157" t="e">
        <f t="shared" si="48"/>
        <v>#REF!</v>
      </c>
      <c r="L211" s="64" t="e">
        <f>'Combustão Móvel'!#REF!</f>
        <v>#REF!</v>
      </c>
      <c r="M211" s="65" t="e">
        <f>'Combustão Móvel'!#REF!</f>
        <v>#REF!</v>
      </c>
      <c r="N211" s="150"/>
      <c r="O211" s="150" t="e">
        <f t="shared" si="35"/>
        <v>#REF!</v>
      </c>
      <c r="P211" s="150"/>
      <c r="Q211" s="150"/>
      <c r="R211" s="150" t="e">
        <f t="shared" si="36"/>
        <v>#REF!</v>
      </c>
      <c r="S211" s="150" t="e">
        <f t="shared" si="37"/>
        <v>#REF!</v>
      </c>
      <c r="T211" s="161" t="e">
        <f t="shared" si="38"/>
        <v>#REF!</v>
      </c>
      <c r="U211" s="161" t="e">
        <f t="shared" si="39"/>
        <v>#REF!</v>
      </c>
      <c r="V211" s="134" t="e">
        <f t="shared" si="40"/>
        <v>#REF!</v>
      </c>
      <c r="W211" s="134" t="e">
        <f t="shared" si="41"/>
        <v>#REF!</v>
      </c>
      <c r="X211" s="134" t="e">
        <f t="shared" si="42"/>
        <v>#REF!</v>
      </c>
    </row>
    <row r="212" spans="2:24" ht="15.75" thickBot="1" x14ac:dyDescent="0.3">
      <c r="B212" s="1250"/>
      <c r="C212" s="39" t="e">
        <f>'Combustão Móvel'!#REF!</f>
        <v>#REF!</v>
      </c>
      <c r="D212" s="155" t="e">
        <f>'Combustão Móvel'!#REF!</f>
        <v>#REF!</v>
      </c>
      <c r="E212" s="150" t="e">
        <f>'Combustão Móvel'!#REF!</f>
        <v>#REF!</v>
      </c>
      <c r="F212" s="150" t="e">
        <f t="shared" si="43"/>
        <v>#REF!</v>
      </c>
      <c r="G212" s="150" t="e">
        <f t="shared" si="44"/>
        <v>#REF!</v>
      </c>
      <c r="H212" s="150" t="e">
        <f t="shared" si="45"/>
        <v>#REF!</v>
      </c>
      <c r="I212" s="150" t="e">
        <f t="shared" si="46"/>
        <v>#REF!</v>
      </c>
      <c r="J212" s="150" t="e">
        <f t="shared" si="47"/>
        <v>#REF!</v>
      </c>
      <c r="K212" s="157" t="e">
        <f t="shared" si="48"/>
        <v>#REF!</v>
      </c>
      <c r="L212" s="64" t="e">
        <f>'Combustão Móvel'!#REF!</f>
        <v>#REF!</v>
      </c>
      <c r="M212" s="65" t="e">
        <f>'Combustão Móvel'!#REF!</f>
        <v>#REF!</v>
      </c>
      <c r="N212" s="150"/>
      <c r="O212" s="150" t="e">
        <f t="shared" si="35"/>
        <v>#REF!</v>
      </c>
      <c r="P212" s="150"/>
      <c r="Q212" s="150"/>
      <c r="R212" s="150" t="e">
        <f t="shared" si="36"/>
        <v>#REF!</v>
      </c>
      <c r="S212" s="150" t="e">
        <f t="shared" si="37"/>
        <v>#REF!</v>
      </c>
      <c r="T212" s="161" t="e">
        <f t="shared" si="38"/>
        <v>#REF!</v>
      </c>
      <c r="U212" s="161" t="e">
        <f t="shared" si="39"/>
        <v>#REF!</v>
      </c>
      <c r="V212" s="134" t="e">
        <f t="shared" si="40"/>
        <v>#REF!</v>
      </c>
      <c r="W212" s="134" t="e">
        <f t="shared" si="41"/>
        <v>#REF!</v>
      </c>
      <c r="X212" s="134" t="e">
        <f t="shared" si="42"/>
        <v>#REF!</v>
      </c>
    </row>
    <row r="213" spans="2:24" ht="15.75" thickBot="1" x14ac:dyDescent="0.3">
      <c r="B213" s="1250"/>
      <c r="C213" s="39" t="e">
        <f>'Combustão Móvel'!#REF!</f>
        <v>#REF!</v>
      </c>
      <c r="D213" s="155" t="e">
        <f>'Combustão Móvel'!#REF!</f>
        <v>#REF!</v>
      </c>
      <c r="E213" s="150" t="e">
        <f>'Combustão Móvel'!#REF!</f>
        <v>#REF!</v>
      </c>
      <c r="F213" s="150" t="e">
        <f t="shared" si="43"/>
        <v>#REF!</v>
      </c>
      <c r="G213" s="150" t="e">
        <f t="shared" si="44"/>
        <v>#REF!</v>
      </c>
      <c r="H213" s="150" t="e">
        <f t="shared" si="45"/>
        <v>#REF!</v>
      </c>
      <c r="I213" s="150" t="e">
        <f t="shared" si="46"/>
        <v>#REF!</v>
      </c>
      <c r="J213" s="150" t="e">
        <f t="shared" si="47"/>
        <v>#REF!</v>
      </c>
      <c r="K213" s="157" t="e">
        <f t="shared" si="48"/>
        <v>#REF!</v>
      </c>
      <c r="L213" s="64" t="e">
        <f>'Combustão Móvel'!#REF!</f>
        <v>#REF!</v>
      </c>
      <c r="M213" s="65" t="e">
        <f>'Combustão Móvel'!#REF!</f>
        <v>#REF!</v>
      </c>
      <c r="N213" s="150"/>
      <c r="O213" s="150" t="e">
        <f t="shared" si="35"/>
        <v>#REF!</v>
      </c>
      <c r="P213" s="150"/>
      <c r="Q213" s="150"/>
      <c r="R213" s="150" t="e">
        <f t="shared" si="36"/>
        <v>#REF!</v>
      </c>
      <c r="S213" s="150" t="e">
        <f t="shared" si="37"/>
        <v>#REF!</v>
      </c>
      <c r="T213" s="161" t="e">
        <f t="shared" si="38"/>
        <v>#REF!</v>
      </c>
      <c r="U213" s="161" t="e">
        <f t="shared" si="39"/>
        <v>#REF!</v>
      </c>
      <c r="V213" s="134" t="e">
        <f t="shared" si="40"/>
        <v>#REF!</v>
      </c>
      <c r="W213" s="134" t="e">
        <f t="shared" si="41"/>
        <v>#REF!</v>
      </c>
      <c r="X213" s="134" t="e">
        <f t="shared" si="42"/>
        <v>#REF!</v>
      </c>
    </row>
    <row r="214" spans="2:24" ht="15.75" thickBot="1" x14ac:dyDescent="0.3">
      <c r="B214" s="1250"/>
      <c r="C214" s="39" t="e">
        <f>'Combustão Móvel'!#REF!</f>
        <v>#REF!</v>
      </c>
      <c r="D214" s="155" t="e">
        <f>'Combustão Móvel'!#REF!</f>
        <v>#REF!</v>
      </c>
      <c r="E214" s="150" t="e">
        <f>'Combustão Móvel'!#REF!</f>
        <v>#REF!</v>
      </c>
      <c r="F214" s="150" t="e">
        <f t="shared" si="43"/>
        <v>#REF!</v>
      </c>
      <c r="G214" s="150" t="e">
        <f t="shared" si="44"/>
        <v>#REF!</v>
      </c>
      <c r="H214" s="150" t="e">
        <f t="shared" si="45"/>
        <v>#REF!</v>
      </c>
      <c r="I214" s="150" t="e">
        <f t="shared" si="46"/>
        <v>#REF!</v>
      </c>
      <c r="J214" s="150" t="e">
        <f t="shared" si="47"/>
        <v>#REF!</v>
      </c>
      <c r="K214" s="157" t="e">
        <f t="shared" si="48"/>
        <v>#REF!</v>
      </c>
      <c r="L214" s="64" t="e">
        <f>'Combustão Móvel'!#REF!</f>
        <v>#REF!</v>
      </c>
      <c r="M214" s="65" t="e">
        <f>'Combustão Móvel'!#REF!</f>
        <v>#REF!</v>
      </c>
      <c r="N214" s="150"/>
      <c r="O214" s="150" t="e">
        <f t="shared" si="35"/>
        <v>#REF!</v>
      </c>
      <c r="P214" s="150"/>
      <c r="Q214" s="150"/>
      <c r="R214" s="150" t="e">
        <f t="shared" si="36"/>
        <v>#REF!</v>
      </c>
      <c r="S214" s="150" t="e">
        <f t="shared" si="37"/>
        <v>#REF!</v>
      </c>
      <c r="T214" s="161" t="e">
        <f t="shared" si="38"/>
        <v>#REF!</v>
      </c>
      <c r="U214" s="161" t="e">
        <f t="shared" si="39"/>
        <v>#REF!</v>
      </c>
      <c r="V214" s="134" t="e">
        <f t="shared" si="40"/>
        <v>#REF!</v>
      </c>
      <c r="W214" s="134" t="e">
        <f t="shared" si="41"/>
        <v>#REF!</v>
      </c>
      <c r="X214" s="134" t="e">
        <f t="shared" si="42"/>
        <v>#REF!</v>
      </c>
    </row>
    <row r="215" spans="2:24" ht="15.75" thickBot="1" x14ac:dyDescent="0.3">
      <c r="B215" s="1250"/>
      <c r="C215" s="39" t="e">
        <f>'Combustão Móvel'!#REF!</f>
        <v>#REF!</v>
      </c>
      <c r="D215" s="155" t="e">
        <f>'Combustão Móvel'!#REF!</f>
        <v>#REF!</v>
      </c>
      <c r="E215" s="150" t="e">
        <f>'Combustão Móvel'!#REF!</f>
        <v>#REF!</v>
      </c>
      <c r="F215" s="150" t="e">
        <f t="shared" si="43"/>
        <v>#REF!</v>
      </c>
      <c r="G215" s="150" t="e">
        <f t="shared" si="44"/>
        <v>#REF!</v>
      </c>
      <c r="H215" s="150" t="e">
        <f t="shared" si="45"/>
        <v>#REF!</v>
      </c>
      <c r="I215" s="150" t="e">
        <f t="shared" si="46"/>
        <v>#REF!</v>
      </c>
      <c r="J215" s="150" t="e">
        <f t="shared" si="47"/>
        <v>#REF!</v>
      </c>
      <c r="K215" s="157" t="e">
        <f t="shared" si="48"/>
        <v>#REF!</v>
      </c>
      <c r="L215" s="64" t="e">
        <f>'Combustão Móvel'!#REF!</f>
        <v>#REF!</v>
      </c>
      <c r="M215" s="65" t="e">
        <f>'Combustão Móvel'!#REF!</f>
        <v>#REF!</v>
      </c>
      <c r="N215" s="150"/>
      <c r="O215" s="150" t="e">
        <f t="shared" si="35"/>
        <v>#REF!</v>
      </c>
      <c r="P215" s="150"/>
      <c r="Q215" s="150"/>
      <c r="R215" s="150" t="e">
        <f t="shared" si="36"/>
        <v>#REF!</v>
      </c>
      <c r="S215" s="150" t="e">
        <f t="shared" si="37"/>
        <v>#REF!</v>
      </c>
      <c r="T215" s="161" t="e">
        <f t="shared" si="38"/>
        <v>#REF!</v>
      </c>
      <c r="U215" s="161" t="e">
        <f t="shared" si="39"/>
        <v>#REF!</v>
      </c>
      <c r="V215" s="134" t="e">
        <f t="shared" si="40"/>
        <v>#REF!</v>
      </c>
      <c r="W215" s="134" t="e">
        <f t="shared" si="41"/>
        <v>#REF!</v>
      </c>
      <c r="X215" s="134" t="e">
        <f t="shared" si="42"/>
        <v>#REF!</v>
      </c>
    </row>
    <row r="216" spans="2:24" ht="15.75" thickBot="1" x14ac:dyDescent="0.3">
      <c r="B216" s="1250"/>
      <c r="C216" s="39" t="e">
        <f>'Combustão Móvel'!#REF!</f>
        <v>#REF!</v>
      </c>
      <c r="D216" s="155" t="e">
        <f>'Combustão Móvel'!#REF!</f>
        <v>#REF!</v>
      </c>
      <c r="E216" s="150" t="e">
        <f>'Combustão Móvel'!#REF!</f>
        <v>#REF!</v>
      </c>
      <c r="F216" s="150" t="e">
        <f t="shared" si="43"/>
        <v>#REF!</v>
      </c>
      <c r="G216" s="150" t="e">
        <f t="shared" si="44"/>
        <v>#REF!</v>
      </c>
      <c r="H216" s="150" t="e">
        <f t="shared" si="45"/>
        <v>#REF!</v>
      </c>
      <c r="I216" s="150" t="e">
        <f t="shared" si="46"/>
        <v>#REF!</v>
      </c>
      <c r="J216" s="150" t="e">
        <f t="shared" si="47"/>
        <v>#REF!</v>
      </c>
      <c r="K216" s="157" t="e">
        <f t="shared" si="48"/>
        <v>#REF!</v>
      </c>
      <c r="L216" s="64" t="e">
        <f>'Combustão Móvel'!#REF!</f>
        <v>#REF!</v>
      </c>
      <c r="M216" s="65" t="e">
        <f>'Combustão Móvel'!#REF!</f>
        <v>#REF!</v>
      </c>
      <c r="N216" s="150"/>
      <c r="O216" s="150" t="e">
        <f t="shared" si="35"/>
        <v>#REF!</v>
      </c>
      <c r="P216" s="150"/>
      <c r="Q216" s="150"/>
      <c r="R216" s="150" t="e">
        <f t="shared" si="36"/>
        <v>#REF!</v>
      </c>
      <c r="S216" s="150" t="e">
        <f t="shared" si="37"/>
        <v>#REF!</v>
      </c>
      <c r="T216" s="161" t="e">
        <f t="shared" si="38"/>
        <v>#REF!</v>
      </c>
      <c r="U216" s="161" t="e">
        <f t="shared" si="39"/>
        <v>#REF!</v>
      </c>
      <c r="V216" s="134" t="e">
        <f t="shared" si="40"/>
        <v>#REF!</v>
      </c>
      <c r="W216" s="134" t="e">
        <f t="shared" si="41"/>
        <v>#REF!</v>
      </c>
      <c r="X216" s="134" t="e">
        <f t="shared" si="42"/>
        <v>#REF!</v>
      </c>
    </row>
    <row r="217" spans="2:24" ht="15.75" thickBot="1" x14ac:dyDescent="0.3">
      <c r="B217" s="1250"/>
      <c r="C217" s="39" t="e">
        <f>'Combustão Móvel'!#REF!</f>
        <v>#REF!</v>
      </c>
      <c r="D217" s="155" t="e">
        <f>'Combustão Móvel'!#REF!</f>
        <v>#REF!</v>
      </c>
      <c r="E217" s="150" t="e">
        <f>'Combustão Móvel'!#REF!</f>
        <v>#REF!</v>
      </c>
      <c r="F217" s="150" t="e">
        <f t="shared" si="43"/>
        <v>#REF!</v>
      </c>
      <c r="G217" s="150" t="e">
        <f t="shared" si="44"/>
        <v>#REF!</v>
      </c>
      <c r="H217" s="150" t="e">
        <f t="shared" si="45"/>
        <v>#REF!</v>
      </c>
      <c r="I217" s="150" t="e">
        <f t="shared" si="46"/>
        <v>#REF!</v>
      </c>
      <c r="J217" s="150" t="e">
        <f t="shared" si="47"/>
        <v>#REF!</v>
      </c>
      <c r="K217" s="157" t="e">
        <f t="shared" si="48"/>
        <v>#REF!</v>
      </c>
      <c r="L217" s="64" t="e">
        <f>'Combustão Móvel'!#REF!</f>
        <v>#REF!</v>
      </c>
      <c r="M217" s="65" t="e">
        <f>'Combustão Móvel'!#REF!</f>
        <v>#REF!</v>
      </c>
      <c r="N217" s="150"/>
      <c r="O217" s="150" t="e">
        <f t="shared" si="35"/>
        <v>#REF!</v>
      </c>
      <c r="P217" s="150"/>
      <c r="Q217" s="150"/>
      <c r="R217" s="150" t="e">
        <f t="shared" si="36"/>
        <v>#REF!</v>
      </c>
      <c r="S217" s="150" t="e">
        <f t="shared" si="37"/>
        <v>#REF!</v>
      </c>
      <c r="T217" s="161" t="e">
        <f t="shared" si="38"/>
        <v>#REF!</v>
      </c>
      <c r="U217" s="161" t="e">
        <f t="shared" si="39"/>
        <v>#REF!</v>
      </c>
      <c r="V217" s="134" t="e">
        <f t="shared" si="40"/>
        <v>#REF!</v>
      </c>
      <c r="W217" s="134" t="e">
        <f t="shared" si="41"/>
        <v>#REF!</v>
      </c>
      <c r="X217" s="134" t="e">
        <f t="shared" si="42"/>
        <v>#REF!</v>
      </c>
    </row>
    <row r="218" spans="2:24" ht="15.75" thickBot="1" x14ac:dyDescent="0.3">
      <c r="B218" s="1250"/>
      <c r="C218" s="39" t="e">
        <f>'Combustão Móvel'!#REF!</f>
        <v>#REF!</v>
      </c>
      <c r="D218" s="155" t="e">
        <f>'Combustão Móvel'!#REF!</f>
        <v>#REF!</v>
      </c>
      <c r="E218" s="150" t="e">
        <f>'Combustão Móvel'!#REF!</f>
        <v>#REF!</v>
      </c>
      <c r="F218" s="150" t="e">
        <f t="shared" si="43"/>
        <v>#REF!</v>
      </c>
      <c r="G218" s="150" t="e">
        <f t="shared" si="44"/>
        <v>#REF!</v>
      </c>
      <c r="H218" s="150" t="e">
        <f t="shared" si="45"/>
        <v>#REF!</v>
      </c>
      <c r="I218" s="150" t="e">
        <f t="shared" si="46"/>
        <v>#REF!</v>
      </c>
      <c r="J218" s="150" t="e">
        <f t="shared" si="47"/>
        <v>#REF!</v>
      </c>
      <c r="K218" s="157" t="e">
        <f t="shared" si="48"/>
        <v>#REF!</v>
      </c>
      <c r="L218" s="64" t="e">
        <f>'Combustão Móvel'!#REF!</f>
        <v>#REF!</v>
      </c>
      <c r="M218" s="65" t="e">
        <f>'Combustão Móvel'!#REF!</f>
        <v>#REF!</v>
      </c>
      <c r="N218" s="150"/>
      <c r="O218" s="150" t="e">
        <f t="shared" si="35"/>
        <v>#REF!</v>
      </c>
      <c r="P218" s="150"/>
      <c r="Q218" s="150"/>
      <c r="R218" s="150" t="e">
        <f t="shared" si="36"/>
        <v>#REF!</v>
      </c>
      <c r="S218" s="150" t="e">
        <f t="shared" si="37"/>
        <v>#REF!</v>
      </c>
      <c r="T218" s="161" t="e">
        <f t="shared" si="38"/>
        <v>#REF!</v>
      </c>
      <c r="U218" s="161" t="e">
        <f t="shared" si="39"/>
        <v>#REF!</v>
      </c>
      <c r="V218" s="134" t="e">
        <f t="shared" si="40"/>
        <v>#REF!</v>
      </c>
      <c r="W218" s="134" t="e">
        <f t="shared" si="41"/>
        <v>#REF!</v>
      </c>
      <c r="X218" s="134" t="e">
        <f t="shared" si="42"/>
        <v>#REF!</v>
      </c>
    </row>
    <row r="219" spans="2:24" ht="15.75" thickBot="1" x14ac:dyDescent="0.3">
      <c r="B219" s="1250"/>
      <c r="C219" s="39" t="e">
        <f>'Combustão Móvel'!#REF!</f>
        <v>#REF!</v>
      </c>
      <c r="D219" s="155" t="e">
        <f>'Combustão Móvel'!#REF!</f>
        <v>#REF!</v>
      </c>
      <c r="E219" s="150" t="e">
        <f>'Combustão Móvel'!#REF!</f>
        <v>#REF!</v>
      </c>
      <c r="F219" s="150" t="e">
        <f t="shared" si="43"/>
        <v>#REF!</v>
      </c>
      <c r="G219" s="150" t="e">
        <f t="shared" si="44"/>
        <v>#REF!</v>
      </c>
      <c r="H219" s="150" t="e">
        <f t="shared" si="45"/>
        <v>#REF!</v>
      </c>
      <c r="I219" s="150" t="e">
        <f t="shared" si="46"/>
        <v>#REF!</v>
      </c>
      <c r="J219" s="150" t="e">
        <f t="shared" si="47"/>
        <v>#REF!</v>
      </c>
      <c r="K219" s="157" t="e">
        <f t="shared" si="48"/>
        <v>#REF!</v>
      </c>
      <c r="L219" s="64" t="e">
        <f>'Combustão Móvel'!#REF!</f>
        <v>#REF!</v>
      </c>
      <c r="M219" s="65" t="e">
        <f>'Combustão Móvel'!#REF!</f>
        <v>#REF!</v>
      </c>
      <c r="N219" s="150"/>
      <c r="O219" s="150" t="e">
        <f t="shared" si="35"/>
        <v>#REF!</v>
      </c>
      <c r="P219" s="150"/>
      <c r="Q219" s="150"/>
      <c r="R219" s="150" t="e">
        <f t="shared" si="36"/>
        <v>#REF!</v>
      </c>
      <c r="S219" s="150" t="e">
        <f t="shared" si="37"/>
        <v>#REF!</v>
      </c>
      <c r="T219" s="161" t="e">
        <f t="shared" si="38"/>
        <v>#REF!</v>
      </c>
      <c r="U219" s="161" t="e">
        <f t="shared" si="39"/>
        <v>#REF!</v>
      </c>
      <c r="V219" s="134" t="e">
        <f t="shared" si="40"/>
        <v>#REF!</v>
      </c>
      <c r="W219" s="134" t="e">
        <f t="shared" si="41"/>
        <v>#REF!</v>
      </c>
      <c r="X219" s="134" t="e">
        <f t="shared" si="42"/>
        <v>#REF!</v>
      </c>
    </row>
    <row r="220" spans="2:24" ht="15.75" thickBot="1" x14ac:dyDescent="0.3">
      <c r="B220" s="1250"/>
      <c r="C220" s="39" t="e">
        <f>'Combustão Móvel'!#REF!</f>
        <v>#REF!</v>
      </c>
      <c r="D220" s="155" t="e">
        <f>'Combustão Móvel'!#REF!</f>
        <v>#REF!</v>
      </c>
      <c r="E220" s="150" t="e">
        <f>'Combustão Móvel'!#REF!</f>
        <v>#REF!</v>
      </c>
      <c r="F220" s="150" t="e">
        <f t="shared" si="43"/>
        <v>#REF!</v>
      </c>
      <c r="G220" s="150" t="e">
        <f t="shared" si="44"/>
        <v>#REF!</v>
      </c>
      <c r="H220" s="150" t="e">
        <f t="shared" si="45"/>
        <v>#REF!</v>
      </c>
      <c r="I220" s="150" t="e">
        <f t="shared" si="46"/>
        <v>#REF!</v>
      </c>
      <c r="J220" s="150" t="e">
        <f t="shared" si="47"/>
        <v>#REF!</v>
      </c>
      <c r="K220" s="157" t="e">
        <f t="shared" si="48"/>
        <v>#REF!</v>
      </c>
      <c r="L220" s="64" t="e">
        <f>'Combustão Móvel'!#REF!</f>
        <v>#REF!</v>
      </c>
      <c r="M220" s="65" t="e">
        <f>'Combustão Móvel'!#REF!</f>
        <v>#REF!</v>
      </c>
      <c r="N220" s="150"/>
      <c r="O220" s="150" t="e">
        <f t="shared" si="35"/>
        <v>#REF!</v>
      </c>
      <c r="P220" s="150"/>
      <c r="Q220" s="150"/>
      <c r="R220" s="150" t="e">
        <f t="shared" si="36"/>
        <v>#REF!</v>
      </c>
      <c r="S220" s="150" t="e">
        <f t="shared" si="37"/>
        <v>#REF!</v>
      </c>
      <c r="T220" s="161" t="e">
        <f t="shared" si="38"/>
        <v>#REF!</v>
      </c>
      <c r="U220" s="161" t="e">
        <f t="shared" si="39"/>
        <v>#REF!</v>
      </c>
      <c r="V220" s="134" t="e">
        <f t="shared" si="40"/>
        <v>#REF!</v>
      </c>
      <c r="W220" s="134" t="e">
        <f t="shared" si="41"/>
        <v>#REF!</v>
      </c>
      <c r="X220" s="134" t="e">
        <f t="shared" si="42"/>
        <v>#REF!</v>
      </c>
    </row>
    <row r="221" spans="2:24" ht="15.75" thickBot="1" x14ac:dyDescent="0.3">
      <c r="B221" s="1250"/>
      <c r="C221" s="39" t="e">
        <f>'Combustão Móvel'!#REF!</f>
        <v>#REF!</v>
      </c>
      <c r="D221" s="155" t="e">
        <f>'Combustão Móvel'!#REF!</f>
        <v>#REF!</v>
      </c>
      <c r="E221" s="150" t="e">
        <f>'Combustão Móvel'!#REF!</f>
        <v>#REF!</v>
      </c>
      <c r="F221" s="150" t="e">
        <f t="shared" si="43"/>
        <v>#REF!</v>
      </c>
      <c r="G221" s="150" t="e">
        <f t="shared" si="44"/>
        <v>#REF!</v>
      </c>
      <c r="H221" s="150" t="e">
        <f t="shared" si="45"/>
        <v>#REF!</v>
      </c>
      <c r="I221" s="150" t="e">
        <f t="shared" si="46"/>
        <v>#REF!</v>
      </c>
      <c r="J221" s="150" t="e">
        <f t="shared" si="47"/>
        <v>#REF!</v>
      </c>
      <c r="K221" s="157" t="e">
        <f t="shared" si="48"/>
        <v>#REF!</v>
      </c>
      <c r="L221" s="64" t="e">
        <f>'Combustão Móvel'!#REF!</f>
        <v>#REF!</v>
      </c>
      <c r="M221" s="65" t="e">
        <f>'Combustão Móvel'!#REF!</f>
        <v>#REF!</v>
      </c>
      <c r="N221" s="150"/>
      <c r="O221" s="150" t="e">
        <f t="shared" si="35"/>
        <v>#REF!</v>
      </c>
      <c r="P221" s="150"/>
      <c r="Q221" s="150"/>
      <c r="R221" s="150" t="e">
        <f t="shared" si="36"/>
        <v>#REF!</v>
      </c>
      <c r="S221" s="150" t="e">
        <f t="shared" si="37"/>
        <v>#REF!</v>
      </c>
      <c r="T221" s="161" t="e">
        <f t="shared" si="38"/>
        <v>#REF!</v>
      </c>
      <c r="U221" s="161" t="e">
        <f t="shared" si="39"/>
        <v>#REF!</v>
      </c>
      <c r="V221" s="134" t="e">
        <f t="shared" si="40"/>
        <v>#REF!</v>
      </c>
      <c r="W221" s="134" t="e">
        <f t="shared" si="41"/>
        <v>#REF!</v>
      </c>
      <c r="X221" s="134" t="e">
        <f t="shared" si="42"/>
        <v>#REF!</v>
      </c>
    </row>
    <row r="222" spans="2:24" ht="15.75" thickBot="1" x14ac:dyDescent="0.3">
      <c r="B222" s="1250"/>
      <c r="C222" s="39" t="e">
        <f>'Combustão Móvel'!#REF!</f>
        <v>#REF!</v>
      </c>
      <c r="D222" s="155" t="e">
        <f>'Combustão Móvel'!#REF!</f>
        <v>#REF!</v>
      </c>
      <c r="E222" s="150" t="e">
        <f>'Combustão Móvel'!#REF!</f>
        <v>#REF!</v>
      </c>
      <c r="F222" s="150" t="e">
        <f t="shared" si="43"/>
        <v>#REF!</v>
      </c>
      <c r="G222" s="150" t="e">
        <f t="shared" si="44"/>
        <v>#REF!</v>
      </c>
      <c r="H222" s="150" t="e">
        <f t="shared" si="45"/>
        <v>#REF!</v>
      </c>
      <c r="I222" s="150" t="e">
        <f t="shared" si="46"/>
        <v>#REF!</v>
      </c>
      <c r="J222" s="150" t="e">
        <f t="shared" si="47"/>
        <v>#REF!</v>
      </c>
      <c r="K222" s="157" t="e">
        <f t="shared" si="48"/>
        <v>#REF!</v>
      </c>
      <c r="L222" s="64" t="e">
        <f>'Combustão Móvel'!#REF!</f>
        <v>#REF!</v>
      </c>
      <c r="M222" s="65" t="e">
        <f>'Combustão Móvel'!#REF!</f>
        <v>#REF!</v>
      </c>
      <c r="N222" s="150"/>
      <c r="O222" s="150" t="e">
        <f t="shared" si="35"/>
        <v>#REF!</v>
      </c>
      <c r="P222" s="150"/>
      <c r="Q222" s="150"/>
      <c r="R222" s="150" t="e">
        <f t="shared" si="36"/>
        <v>#REF!</v>
      </c>
      <c r="S222" s="150" t="e">
        <f t="shared" si="37"/>
        <v>#REF!</v>
      </c>
      <c r="T222" s="161" t="e">
        <f t="shared" si="38"/>
        <v>#REF!</v>
      </c>
      <c r="U222" s="161" t="e">
        <f t="shared" si="39"/>
        <v>#REF!</v>
      </c>
      <c r="V222" s="134" t="e">
        <f t="shared" si="40"/>
        <v>#REF!</v>
      </c>
      <c r="W222" s="134" t="e">
        <f t="shared" si="41"/>
        <v>#REF!</v>
      </c>
      <c r="X222" s="134" t="e">
        <f t="shared" si="42"/>
        <v>#REF!</v>
      </c>
    </row>
    <row r="223" spans="2:24" ht="15.75" thickBot="1" x14ac:dyDescent="0.3">
      <c r="B223" s="1250"/>
      <c r="C223" s="39" t="e">
        <f>'Combustão Móvel'!#REF!</f>
        <v>#REF!</v>
      </c>
      <c r="D223" s="155" t="e">
        <f>'Combustão Móvel'!#REF!</f>
        <v>#REF!</v>
      </c>
      <c r="E223" s="150" t="e">
        <f>'Combustão Móvel'!#REF!</f>
        <v>#REF!</v>
      </c>
      <c r="F223" s="150" t="e">
        <f t="shared" si="43"/>
        <v>#REF!</v>
      </c>
      <c r="G223" s="150" t="e">
        <f t="shared" si="44"/>
        <v>#REF!</v>
      </c>
      <c r="H223" s="150" t="e">
        <f t="shared" si="45"/>
        <v>#REF!</v>
      </c>
      <c r="I223" s="150" t="e">
        <f t="shared" si="46"/>
        <v>#REF!</v>
      </c>
      <c r="J223" s="150" t="e">
        <f t="shared" si="47"/>
        <v>#REF!</v>
      </c>
      <c r="K223" s="157" t="e">
        <f t="shared" si="48"/>
        <v>#REF!</v>
      </c>
      <c r="L223" s="64" t="e">
        <f>'Combustão Móvel'!#REF!</f>
        <v>#REF!</v>
      </c>
      <c r="M223" s="65" t="e">
        <f>'Combustão Móvel'!#REF!</f>
        <v>#REF!</v>
      </c>
      <c r="N223" s="150"/>
      <c r="O223" s="150" t="e">
        <f t="shared" si="35"/>
        <v>#REF!</v>
      </c>
      <c r="P223" s="150"/>
      <c r="Q223" s="150"/>
      <c r="R223" s="150" t="e">
        <f t="shared" si="36"/>
        <v>#REF!</v>
      </c>
      <c r="S223" s="150" t="e">
        <f t="shared" si="37"/>
        <v>#REF!</v>
      </c>
      <c r="T223" s="161" t="e">
        <f t="shared" si="38"/>
        <v>#REF!</v>
      </c>
      <c r="U223" s="161" t="e">
        <f t="shared" si="39"/>
        <v>#REF!</v>
      </c>
      <c r="V223" s="134" t="e">
        <f t="shared" si="40"/>
        <v>#REF!</v>
      </c>
      <c r="W223" s="134" t="e">
        <f t="shared" si="41"/>
        <v>#REF!</v>
      </c>
      <c r="X223" s="134" t="e">
        <f t="shared" si="42"/>
        <v>#REF!</v>
      </c>
    </row>
    <row r="224" spans="2:24" ht="15.75" thickBot="1" x14ac:dyDescent="0.3">
      <c r="B224" s="1250"/>
      <c r="C224" s="39" t="e">
        <f>'Combustão Móvel'!#REF!</f>
        <v>#REF!</v>
      </c>
      <c r="D224" s="155" t="e">
        <f>'Combustão Móvel'!#REF!</f>
        <v>#REF!</v>
      </c>
      <c r="E224" s="150" t="e">
        <f>'Combustão Móvel'!#REF!</f>
        <v>#REF!</v>
      </c>
      <c r="F224" s="150" t="e">
        <f t="shared" si="43"/>
        <v>#REF!</v>
      </c>
      <c r="G224" s="150" t="e">
        <f t="shared" si="44"/>
        <v>#REF!</v>
      </c>
      <c r="H224" s="150" t="e">
        <f t="shared" si="45"/>
        <v>#REF!</v>
      </c>
      <c r="I224" s="150" t="e">
        <f t="shared" si="46"/>
        <v>#REF!</v>
      </c>
      <c r="J224" s="150" t="e">
        <f t="shared" si="47"/>
        <v>#REF!</v>
      </c>
      <c r="K224" s="157" t="e">
        <f t="shared" si="48"/>
        <v>#REF!</v>
      </c>
      <c r="L224" s="64" t="e">
        <f>'Combustão Móvel'!#REF!</f>
        <v>#REF!</v>
      </c>
      <c r="M224" s="65" t="e">
        <f>'Combustão Móvel'!#REF!</f>
        <v>#REF!</v>
      </c>
      <c r="N224" s="150"/>
      <c r="O224" s="150" t="e">
        <f t="shared" si="35"/>
        <v>#REF!</v>
      </c>
      <c r="P224" s="150"/>
      <c r="Q224" s="150"/>
      <c r="R224" s="150" t="e">
        <f t="shared" si="36"/>
        <v>#REF!</v>
      </c>
      <c r="S224" s="150" t="e">
        <f t="shared" si="37"/>
        <v>#REF!</v>
      </c>
      <c r="T224" s="161" t="e">
        <f t="shared" si="38"/>
        <v>#REF!</v>
      </c>
      <c r="U224" s="161" t="e">
        <f t="shared" si="39"/>
        <v>#REF!</v>
      </c>
      <c r="V224" s="134" t="e">
        <f t="shared" si="40"/>
        <v>#REF!</v>
      </c>
      <c r="W224" s="134" t="e">
        <f t="shared" si="41"/>
        <v>#REF!</v>
      </c>
      <c r="X224" s="134" t="e">
        <f t="shared" si="42"/>
        <v>#REF!</v>
      </c>
    </row>
    <row r="225" spans="2:24" ht="15.75" thickBot="1" x14ac:dyDescent="0.3">
      <c r="B225" s="1250"/>
      <c r="C225" s="39" t="e">
        <f>'Combustão Móvel'!#REF!</f>
        <v>#REF!</v>
      </c>
      <c r="D225" s="155" t="e">
        <f>'Combustão Móvel'!#REF!</f>
        <v>#REF!</v>
      </c>
      <c r="E225" s="150" t="e">
        <f>'Combustão Móvel'!#REF!</f>
        <v>#REF!</v>
      </c>
      <c r="F225" s="150" t="e">
        <f t="shared" si="43"/>
        <v>#REF!</v>
      </c>
      <c r="G225" s="150" t="e">
        <f t="shared" si="44"/>
        <v>#REF!</v>
      </c>
      <c r="H225" s="150" t="e">
        <f t="shared" si="45"/>
        <v>#REF!</v>
      </c>
      <c r="I225" s="150" t="e">
        <f t="shared" si="46"/>
        <v>#REF!</v>
      </c>
      <c r="J225" s="150" t="e">
        <f t="shared" si="47"/>
        <v>#REF!</v>
      </c>
      <c r="K225" s="157" t="e">
        <f t="shared" si="48"/>
        <v>#REF!</v>
      </c>
      <c r="L225" s="64" t="e">
        <f>'Combustão Móvel'!#REF!</f>
        <v>#REF!</v>
      </c>
      <c r="M225" s="65" t="e">
        <f>'Combustão Móvel'!#REF!</f>
        <v>#REF!</v>
      </c>
      <c r="N225" s="150"/>
      <c r="O225" s="150" t="e">
        <f t="shared" si="35"/>
        <v>#REF!</v>
      </c>
      <c r="P225" s="150"/>
      <c r="Q225" s="150"/>
      <c r="R225" s="150" t="e">
        <f t="shared" si="36"/>
        <v>#REF!</v>
      </c>
      <c r="S225" s="150" t="e">
        <f t="shared" si="37"/>
        <v>#REF!</v>
      </c>
      <c r="T225" s="161" t="e">
        <f t="shared" si="38"/>
        <v>#REF!</v>
      </c>
      <c r="U225" s="161" t="e">
        <f t="shared" si="39"/>
        <v>#REF!</v>
      </c>
      <c r="V225" s="134" t="e">
        <f t="shared" si="40"/>
        <v>#REF!</v>
      </c>
      <c r="W225" s="134" t="e">
        <f t="shared" si="41"/>
        <v>#REF!</v>
      </c>
      <c r="X225" s="134" t="e">
        <f t="shared" si="42"/>
        <v>#REF!</v>
      </c>
    </row>
    <row r="226" spans="2:24" ht="15.75" thickBot="1" x14ac:dyDescent="0.3">
      <c r="B226" s="1250"/>
      <c r="C226" s="39" t="e">
        <f>'Combustão Móvel'!#REF!</f>
        <v>#REF!</v>
      </c>
      <c r="D226" s="155" t="e">
        <f>'Combustão Móvel'!#REF!</f>
        <v>#REF!</v>
      </c>
      <c r="E226" s="150" t="e">
        <f>'Combustão Móvel'!#REF!</f>
        <v>#REF!</v>
      </c>
      <c r="F226" s="150" t="e">
        <f t="shared" si="43"/>
        <v>#REF!</v>
      </c>
      <c r="G226" s="150" t="e">
        <f t="shared" si="44"/>
        <v>#REF!</v>
      </c>
      <c r="H226" s="150" t="e">
        <f t="shared" si="45"/>
        <v>#REF!</v>
      </c>
      <c r="I226" s="150" t="e">
        <f t="shared" si="46"/>
        <v>#REF!</v>
      </c>
      <c r="J226" s="150" t="e">
        <f t="shared" si="47"/>
        <v>#REF!</v>
      </c>
      <c r="K226" s="157" t="e">
        <f t="shared" si="48"/>
        <v>#REF!</v>
      </c>
      <c r="L226" s="64" t="e">
        <f>'Combustão Móvel'!#REF!</f>
        <v>#REF!</v>
      </c>
      <c r="M226" s="65" t="e">
        <f>'Combustão Móvel'!#REF!</f>
        <v>#REF!</v>
      </c>
      <c r="N226" s="150"/>
      <c r="O226" s="150" t="e">
        <f t="shared" ref="O226:O289" si="49">IF($M226=$O$31,IF($L226=$B$26,$D226,0),0)</f>
        <v>#REF!</v>
      </c>
      <c r="P226" s="150"/>
      <c r="Q226" s="150"/>
      <c r="R226" s="150" t="e">
        <f t="shared" ref="R226:R289" si="50">IF($M226=$R$31,IF($L226=$B$26,$D226,0),0)</f>
        <v>#REF!</v>
      </c>
      <c r="S226" s="150" t="e">
        <f t="shared" ref="S226:S289" si="51">IF($M226=$S$31,IF($L226=$B$26,$D226,0),0)</f>
        <v>#REF!</v>
      </c>
      <c r="T226" s="161" t="e">
        <f t="shared" ref="T226:T289" si="52">IF($L226=$T$32,$D226,0)</f>
        <v>#REF!</v>
      </c>
      <c r="U226" s="161" t="e">
        <f t="shared" ref="U226:U289" si="53">IF($L226=$U$32,$D226,0)</f>
        <v>#REF!</v>
      </c>
      <c r="V226" s="134" t="e">
        <f t="shared" si="40"/>
        <v>#REF!</v>
      </c>
      <c r="W226" s="134" t="e">
        <f t="shared" si="41"/>
        <v>#REF!</v>
      </c>
      <c r="X226" s="134" t="e">
        <f t="shared" si="42"/>
        <v>#REF!</v>
      </c>
    </row>
    <row r="227" spans="2:24" ht="15.75" thickBot="1" x14ac:dyDescent="0.3">
      <c r="B227" s="1250"/>
      <c r="C227" s="39" t="e">
        <f>'Combustão Móvel'!#REF!</f>
        <v>#REF!</v>
      </c>
      <c r="D227" s="155" t="e">
        <f>'Combustão Móvel'!#REF!</f>
        <v>#REF!</v>
      </c>
      <c r="E227" s="150" t="e">
        <f>'Combustão Móvel'!#REF!</f>
        <v>#REF!</v>
      </c>
      <c r="F227" s="150" t="e">
        <f t="shared" si="43"/>
        <v>#REF!</v>
      </c>
      <c r="G227" s="150" t="e">
        <f t="shared" si="44"/>
        <v>#REF!</v>
      </c>
      <c r="H227" s="150" t="e">
        <f t="shared" si="45"/>
        <v>#REF!</v>
      </c>
      <c r="I227" s="150" t="e">
        <f t="shared" si="46"/>
        <v>#REF!</v>
      </c>
      <c r="J227" s="150" t="e">
        <f t="shared" si="47"/>
        <v>#REF!</v>
      </c>
      <c r="K227" s="157" t="e">
        <f t="shared" si="48"/>
        <v>#REF!</v>
      </c>
      <c r="L227" s="64" t="e">
        <f>'Combustão Móvel'!#REF!</f>
        <v>#REF!</v>
      </c>
      <c r="M227" s="65" t="e">
        <f>'Combustão Móvel'!#REF!</f>
        <v>#REF!</v>
      </c>
      <c r="N227" s="150"/>
      <c r="O227" s="150" t="e">
        <f t="shared" si="49"/>
        <v>#REF!</v>
      </c>
      <c r="P227" s="150"/>
      <c r="Q227" s="150"/>
      <c r="R227" s="150" t="e">
        <f t="shared" si="50"/>
        <v>#REF!</v>
      </c>
      <c r="S227" s="150" t="e">
        <f t="shared" si="51"/>
        <v>#REF!</v>
      </c>
      <c r="T227" s="161" t="e">
        <f t="shared" si="52"/>
        <v>#REF!</v>
      </c>
      <c r="U227" s="161" t="e">
        <f t="shared" si="53"/>
        <v>#REF!</v>
      </c>
      <c r="V227" s="134" t="e">
        <f t="shared" si="40"/>
        <v>#REF!</v>
      </c>
      <c r="W227" s="134" t="e">
        <f t="shared" si="41"/>
        <v>#REF!</v>
      </c>
      <c r="X227" s="134" t="e">
        <f t="shared" si="42"/>
        <v>#REF!</v>
      </c>
    </row>
    <row r="228" spans="2:24" ht="15.75" thickBot="1" x14ac:dyDescent="0.3">
      <c r="B228" s="1250"/>
      <c r="C228" s="39" t="e">
        <f>'Combustão Móvel'!#REF!</f>
        <v>#REF!</v>
      </c>
      <c r="D228" s="155" t="e">
        <f>'Combustão Móvel'!#REF!</f>
        <v>#REF!</v>
      </c>
      <c r="E228" s="150" t="e">
        <f>'Combustão Móvel'!#REF!</f>
        <v>#REF!</v>
      </c>
      <c r="F228" s="150" t="e">
        <f t="shared" si="43"/>
        <v>#REF!</v>
      </c>
      <c r="G228" s="150" t="e">
        <f t="shared" si="44"/>
        <v>#REF!</v>
      </c>
      <c r="H228" s="150" t="e">
        <f t="shared" si="45"/>
        <v>#REF!</v>
      </c>
      <c r="I228" s="150" t="e">
        <f t="shared" si="46"/>
        <v>#REF!</v>
      </c>
      <c r="J228" s="150" t="e">
        <f t="shared" si="47"/>
        <v>#REF!</v>
      </c>
      <c r="K228" s="157" t="e">
        <f t="shared" si="48"/>
        <v>#REF!</v>
      </c>
      <c r="L228" s="64" t="e">
        <f>'Combustão Móvel'!#REF!</f>
        <v>#REF!</v>
      </c>
      <c r="M228" s="65" t="e">
        <f>'Combustão Móvel'!#REF!</f>
        <v>#REF!</v>
      </c>
      <c r="N228" s="150"/>
      <c r="O228" s="150" t="e">
        <f t="shared" si="49"/>
        <v>#REF!</v>
      </c>
      <c r="P228" s="150"/>
      <c r="Q228" s="150"/>
      <c r="R228" s="150" t="e">
        <f t="shared" si="50"/>
        <v>#REF!</v>
      </c>
      <c r="S228" s="150" t="e">
        <f t="shared" si="51"/>
        <v>#REF!</v>
      </c>
      <c r="T228" s="161" t="e">
        <f t="shared" si="52"/>
        <v>#REF!</v>
      </c>
      <c r="U228" s="161" t="e">
        <f t="shared" si="53"/>
        <v>#REF!</v>
      </c>
      <c r="V228" s="134" t="e">
        <f t="shared" si="40"/>
        <v>#REF!</v>
      </c>
      <c r="W228" s="134" t="e">
        <f t="shared" si="41"/>
        <v>#REF!</v>
      </c>
      <c r="X228" s="134" t="e">
        <f t="shared" si="42"/>
        <v>#REF!</v>
      </c>
    </row>
    <row r="229" spans="2:24" ht="15.75" thickBot="1" x14ac:dyDescent="0.3">
      <c r="B229" s="1250"/>
      <c r="C229" s="39" t="e">
        <f>'Combustão Móvel'!#REF!</f>
        <v>#REF!</v>
      </c>
      <c r="D229" s="155" t="e">
        <f>'Combustão Móvel'!#REF!</f>
        <v>#REF!</v>
      </c>
      <c r="E229" s="150" t="e">
        <f>'Combustão Móvel'!#REF!</f>
        <v>#REF!</v>
      </c>
      <c r="F229" s="150" t="e">
        <f t="shared" si="43"/>
        <v>#REF!</v>
      </c>
      <c r="G229" s="150" t="e">
        <f t="shared" si="44"/>
        <v>#REF!</v>
      </c>
      <c r="H229" s="150" t="e">
        <f t="shared" si="45"/>
        <v>#REF!</v>
      </c>
      <c r="I229" s="150" t="e">
        <f t="shared" si="46"/>
        <v>#REF!</v>
      </c>
      <c r="J229" s="150" t="e">
        <f t="shared" si="47"/>
        <v>#REF!</v>
      </c>
      <c r="K229" s="157" t="e">
        <f t="shared" si="48"/>
        <v>#REF!</v>
      </c>
      <c r="L229" s="64" t="e">
        <f>'Combustão Móvel'!#REF!</f>
        <v>#REF!</v>
      </c>
      <c r="M229" s="65" t="e">
        <f>'Combustão Móvel'!#REF!</f>
        <v>#REF!</v>
      </c>
      <c r="N229" s="150"/>
      <c r="O229" s="150" t="e">
        <f t="shared" si="49"/>
        <v>#REF!</v>
      </c>
      <c r="P229" s="150"/>
      <c r="Q229" s="150"/>
      <c r="R229" s="150" t="e">
        <f t="shared" si="50"/>
        <v>#REF!</v>
      </c>
      <c r="S229" s="150" t="e">
        <f t="shared" si="51"/>
        <v>#REF!</v>
      </c>
      <c r="T229" s="161" t="e">
        <f t="shared" si="52"/>
        <v>#REF!</v>
      </c>
      <c r="U229" s="161" t="e">
        <f t="shared" si="53"/>
        <v>#REF!</v>
      </c>
      <c r="V229" s="134" t="e">
        <f t="shared" ref="V229:V292" si="54">IF($L229="Não",F229,"")</f>
        <v>#REF!</v>
      </c>
      <c r="W229" s="134" t="e">
        <f t="shared" ref="W229:W292" si="55">IF($L229="Não",G229,"")</f>
        <v>#REF!</v>
      </c>
      <c r="X229" s="134" t="e">
        <f t="shared" ref="X229:X292" si="56">IF($L229="Não",H229,"")</f>
        <v>#REF!</v>
      </c>
    </row>
    <row r="230" spans="2:24" ht="15.75" thickBot="1" x14ac:dyDescent="0.3">
      <c r="B230" s="1250"/>
      <c r="C230" s="39" t="e">
        <f>'Combustão Móvel'!#REF!</f>
        <v>#REF!</v>
      </c>
      <c r="D230" s="155" t="e">
        <f>'Combustão Móvel'!#REF!</f>
        <v>#REF!</v>
      </c>
      <c r="E230" s="150" t="e">
        <f>'Combustão Móvel'!#REF!</f>
        <v>#REF!</v>
      </c>
      <c r="F230" s="150" t="e">
        <f t="shared" si="43"/>
        <v>#REF!</v>
      </c>
      <c r="G230" s="150" t="e">
        <f t="shared" si="44"/>
        <v>#REF!</v>
      </c>
      <c r="H230" s="150" t="e">
        <f t="shared" si="45"/>
        <v>#REF!</v>
      </c>
      <c r="I230" s="150" t="e">
        <f t="shared" si="46"/>
        <v>#REF!</v>
      </c>
      <c r="J230" s="150" t="e">
        <f t="shared" si="47"/>
        <v>#REF!</v>
      </c>
      <c r="K230" s="157" t="e">
        <f t="shared" si="48"/>
        <v>#REF!</v>
      </c>
      <c r="L230" s="64" t="e">
        <f>'Combustão Móvel'!#REF!</f>
        <v>#REF!</v>
      </c>
      <c r="M230" s="65" t="e">
        <f>'Combustão Móvel'!#REF!</f>
        <v>#REF!</v>
      </c>
      <c r="N230" s="150"/>
      <c r="O230" s="150" t="e">
        <f t="shared" si="49"/>
        <v>#REF!</v>
      </c>
      <c r="P230" s="150"/>
      <c r="Q230" s="150"/>
      <c r="R230" s="150" t="e">
        <f t="shared" si="50"/>
        <v>#REF!</v>
      </c>
      <c r="S230" s="150" t="e">
        <f t="shared" si="51"/>
        <v>#REF!</v>
      </c>
      <c r="T230" s="161" t="e">
        <f t="shared" si="52"/>
        <v>#REF!</v>
      </c>
      <c r="U230" s="161" t="e">
        <f t="shared" si="53"/>
        <v>#REF!</v>
      </c>
      <c r="V230" s="134" t="e">
        <f t="shared" si="54"/>
        <v>#REF!</v>
      </c>
      <c r="W230" s="134" t="e">
        <f t="shared" si="55"/>
        <v>#REF!</v>
      </c>
      <c r="X230" s="134" t="e">
        <f t="shared" si="56"/>
        <v>#REF!</v>
      </c>
    </row>
    <row r="231" spans="2:24" ht="15.75" thickBot="1" x14ac:dyDescent="0.3">
      <c r="B231" s="1250"/>
      <c r="C231" s="39" t="e">
        <f>'Combustão Móvel'!#REF!</f>
        <v>#REF!</v>
      </c>
      <c r="D231" s="155" t="e">
        <f>'Combustão Móvel'!#REF!</f>
        <v>#REF!</v>
      </c>
      <c r="E231" s="150" t="e">
        <f>'Combustão Móvel'!#REF!</f>
        <v>#REF!</v>
      </c>
      <c r="F231" s="150" t="e">
        <f t="shared" si="43"/>
        <v>#REF!</v>
      </c>
      <c r="G231" s="150" t="e">
        <f t="shared" si="44"/>
        <v>#REF!</v>
      </c>
      <c r="H231" s="150" t="e">
        <f t="shared" si="45"/>
        <v>#REF!</v>
      </c>
      <c r="I231" s="150" t="e">
        <f t="shared" si="46"/>
        <v>#REF!</v>
      </c>
      <c r="J231" s="150" t="e">
        <f t="shared" si="47"/>
        <v>#REF!</v>
      </c>
      <c r="K231" s="157" t="e">
        <f t="shared" si="48"/>
        <v>#REF!</v>
      </c>
      <c r="L231" s="64" t="e">
        <f>'Combustão Móvel'!#REF!</f>
        <v>#REF!</v>
      </c>
      <c r="M231" s="65" t="e">
        <f>'Combustão Móvel'!#REF!</f>
        <v>#REF!</v>
      </c>
      <c r="N231" s="150"/>
      <c r="O231" s="150" t="e">
        <f t="shared" si="49"/>
        <v>#REF!</v>
      </c>
      <c r="P231" s="150"/>
      <c r="Q231" s="150"/>
      <c r="R231" s="150" t="e">
        <f t="shared" si="50"/>
        <v>#REF!</v>
      </c>
      <c r="S231" s="150" t="e">
        <f t="shared" si="51"/>
        <v>#REF!</v>
      </c>
      <c r="T231" s="161" t="e">
        <f t="shared" si="52"/>
        <v>#REF!</v>
      </c>
      <c r="U231" s="161" t="e">
        <f t="shared" si="53"/>
        <v>#REF!</v>
      </c>
      <c r="V231" s="134" t="e">
        <f t="shared" si="54"/>
        <v>#REF!</v>
      </c>
      <c r="W231" s="134" t="e">
        <f t="shared" si="55"/>
        <v>#REF!</v>
      </c>
      <c r="X231" s="134" t="e">
        <f t="shared" si="56"/>
        <v>#REF!</v>
      </c>
    </row>
    <row r="232" spans="2:24" ht="15.75" thickBot="1" x14ac:dyDescent="0.3">
      <c r="B232" s="1251"/>
      <c r="C232" s="39" t="e">
        <f>'Combustão Móvel'!#REF!</f>
        <v>#REF!</v>
      </c>
      <c r="D232" s="155" t="e">
        <f>'Combustão Móvel'!#REF!</f>
        <v>#REF!</v>
      </c>
      <c r="E232" s="153" t="e">
        <f>'Combustão Móvel'!#REF!</f>
        <v>#REF!</v>
      </c>
      <c r="F232" s="153" t="e">
        <f t="shared" si="43"/>
        <v>#REF!</v>
      </c>
      <c r="G232" s="153" t="e">
        <f t="shared" si="44"/>
        <v>#REF!</v>
      </c>
      <c r="H232" s="153" t="e">
        <f t="shared" si="45"/>
        <v>#REF!</v>
      </c>
      <c r="I232" s="153" t="e">
        <f t="shared" si="46"/>
        <v>#REF!</v>
      </c>
      <c r="J232" s="153" t="e">
        <f t="shared" si="47"/>
        <v>#REF!</v>
      </c>
      <c r="K232" s="158" t="e">
        <f t="shared" si="48"/>
        <v>#REF!</v>
      </c>
      <c r="L232" s="64" t="e">
        <f>'Combustão Móvel'!#REF!</f>
        <v>#REF!</v>
      </c>
      <c r="M232" s="65" t="e">
        <f>'Combustão Móvel'!#REF!</f>
        <v>#REF!</v>
      </c>
      <c r="N232" s="150"/>
      <c r="O232" s="150" t="e">
        <f t="shared" si="49"/>
        <v>#REF!</v>
      </c>
      <c r="P232" s="150"/>
      <c r="Q232" s="150"/>
      <c r="R232" s="150" t="e">
        <f t="shared" si="50"/>
        <v>#REF!</v>
      </c>
      <c r="S232" s="150" t="e">
        <f t="shared" si="51"/>
        <v>#REF!</v>
      </c>
      <c r="T232" s="161" t="e">
        <f t="shared" si="52"/>
        <v>#REF!</v>
      </c>
      <c r="U232" s="161" t="e">
        <f t="shared" si="53"/>
        <v>#REF!</v>
      </c>
      <c r="V232" s="134" t="e">
        <f t="shared" si="54"/>
        <v>#REF!</v>
      </c>
      <c r="W232" s="134" t="e">
        <f t="shared" si="55"/>
        <v>#REF!</v>
      </c>
      <c r="X232" s="134" t="e">
        <f t="shared" si="56"/>
        <v>#REF!</v>
      </c>
    </row>
    <row r="233" spans="2:24" ht="58.15" customHeight="1" thickBot="1" x14ac:dyDescent="0.3">
      <c r="B233" s="1252" t="s">
        <v>229</v>
      </c>
      <c r="C233" s="36" t="e">
        <f>'Combustão Móvel'!#REF!</f>
        <v>#REF!</v>
      </c>
      <c r="D233" s="156" t="e">
        <f>'Combustão Móvel'!#REF!</f>
        <v>#REF!</v>
      </c>
      <c r="E233" s="156" t="e">
        <f>'Combustão Móvel'!#REF!</f>
        <v>#REF!</v>
      </c>
      <c r="F233" s="156" t="e">
        <f>IF(C233=$F$32,D233,0)</f>
        <v>#REF!</v>
      </c>
      <c r="G233" s="156" t="e">
        <f>IF(C233=$G$32,D233,0)</f>
        <v>#REF!</v>
      </c>
      <c r="H233" s="156" t="e">
        <f>IF(C233=$H$32,D233,0)</f>
        <v>#REF!</v>
      </c>
      <c r="I233" s="156" t="e">
        <f>IF(C233=$I$32,E233,0)</f>
        <v>#REF!</v>
      </c>
      <c r="J233" s="156" t="e">
        <f>IF(C233=$J$32,E233,0)</f>
        <v>#REF!</v>
      </c>
      <c r="K233" s="155" t="e">
        <f>IF(C233=$K$32,E233,0)</f>
        <v>#REF!</v>
      </c>
      <c r="L233" s="64" t="e">
        <f>'Combustão Móvel'!#REF!</f>
        <v>#REF!</v>
      </c>
      <c r="M233" s="65" t="e">
        <f>'Combustão Móvel'!#REF!</f>
        <v>#REF!</v>
      </c>
      <c r="N233" s="150"/>
      <c r="O233" s="150" t="e">
        <f t="shared" si="49"/>
        <v>#REF!</v>
      </c>
      <c r="P233" s="150"/>
      <c r="Q233" s="150"/>
      <c r="R233" s="150" t="e">
        <f t="shared" si="50"/>
        <v>#REF!</v>
      </c>
      <c r="S233" s="150" t="e">
        <f t="shared" si="51"/>
        <v>#REF!</v>
      </c>
      <c r="T233" s="161" t="e">
        <f t="shared" si="52"/>
        <v>#REF!</v>
      </c>
      <c r="U233" s="161" t="e">
        <f t="shared" si="53"/>
        <v>#REF!</v>
      </c>
      <c r="V233" s="134" t="e">
        <f t="shared" si="54"/>
        <v>#REF!</v>
      </c>
      <c r="W233" s="134" t="e">
        <f t="shared" si="55"/>
        <v>#REF!</v>
      </c>
      <c r="X233" s="134" t="e">
        <f t="shared" si="56"/>
        <v>#REF!</v>
      </c>
    </row>
    <row r="234" spans="2:24" ht="15.75" thickBot="1" x14ac:dyDescent="0.3">
      <c r="B234" s="1253"/>
      <c r="C234" s="36" t="e">
        <f>'Combustão Móvel'!#REF!</f>
        <v>#REF!</v>
      </c>
      <c r="D234" s="156" t="e">
        <f>'Combustão Móvel'!#REF!</f>
        <v>#REF!</v>
      </c>
      <c r="E234" s="150" t="e">
        <f>'Combustão Móvel'!#REF!</f>
        <v>#REF!</v>
      </c>
      <c r="F234" s="150" t="e">
        <f t="shared" ref="F234:F297" si="57">IF(C234=$F$32,D234,0)</f>
        <v>#REF!</v>
      </c>
      <c r="G234" s="150" t="e">
        <f t="shared" ref="G234:G297" si="58">IF(C234=$G$32,D234,0)</f>
        <v>#REF!</v>
      </c>
      <c r="H234" s="150" t="e">
        <f t="shared" ref="H234:H297" si="59">IF(C234=$H$32,D234,0)</f>
        <v>#REF!</v>
      </c>
      <c r="I234" s="150" t="e">
        <f t="shared" ref="I234:I297" si="60">IF(C234=$I$32,E234,0)</f>
        <v>#REF!</v>
      </c>
      <c r="J234" s="150" t="e">
        <f t="shared" ref="J234:J297" si="61">IF(C234=$J$32,E234,0)</f>
        <v>#REF!</v>
      </c>
      <c r="K234" s="157" t="e">
        <f t="shared" ref="K234:K297" si="62">IF(C234=$K$32,E234,0)</f>
        <v>#REF!</v>
      </c>
      <c r="L234" s="64" t="e">
        <f>'Combustão Móvel'!#REF!</f>
        <v>#REF!</v>
      </c>
      <c r="M234" s="65" t="e">
        <f>'Combustão Móvel'!#REF!</f>
        <v>#REF!</v>
      </c>
      <c r="N234" s="150"/>
      <c r="O234" s="150" t="e">
        <f t="shared" si="49"/>
        <v>#REF!</v>
      </c>
      <c r="P234" s="150"/>
      <c r="Q234" s="150"/>
      <c r="R234" s="150" t="e">
        <f t="shared" si="50"/>
        <v>#REF!</v>
      </c>
      <c r="S234" s="150" t="e">
        <f t="shared" si="51"/>
        <v>#REF!</v>
      </c>
      <c r="T234" s="161" t="e">
        <f t="shared" si="52"/>
        <v>#REF!</v>
      </c>
      <c r="U234" s="161" t="e">
        <f t="shared" si="53"/>
        <v>#REF!</v>
      </c>
      <c r="V234" s="134" t="e">
        <f t="shared" si="54"/>
        <v>#REF!</v>
      </c>
      <c r="W234" s="134" t="e">
        <f t="shared" si="55"/>
        <v>#REF!</v>
      </c>
      <c r="X234" s="134" t="e">
        <f t="shared" si="56"/>
        <v>#REF!</v>
      </c>
    </row>
    <row r="235" spans="2:24" ht="15.75" thickBot="1" x14ac:dyDescent="0.3">
      <c r="B235" s="1253"/>
      <c r="C235" s="36" t="e">
        <f>'Combustão Móvel'!#REF!</f>
        <v>#REF!</v>
      </c>
      <c r="D235" s="156" t="e">
        <f>'Combustão Móvel'!#REF!</f>
        <v>#REF!</v>
      </c>
      <c r="E235" s="150" t="e">
        <f>'Combustão Móvel'!#REF!</f>
        <v>#REF!</v>
      </c>
      <c r="F235" s="150" t="e">
        <f t="shared" si="57"/>
        <v>#REF!</v>
      </c>
      <c r="G235" s="150" t="e">
        <f t="shared" si="58"/>
        <v>#REF!</v>
      </c>
      <c r="H235" s="150" t="e">
        <f t="shared" si="59"/>
        <v>#REF!</v>
      </c>
      <c r="I235" s="150" t="e">
        <f t="shared" si="60"/>
        <v>#REF!</v>
      </c>
      <c r="J235" s="150" t="e">
        <f t="shared" si="61"/>
        <v>#REF!</v>
      </c>
      <c r="K235" s="157" t="e">
        <f t="shared" si="62"/>
        <v>#REF!</v>
      </c>
      <c r="L235" s="64" t="e">
        <f>'Combustão Móvel'!#REF!</f>
        <v>#REF!</v>
      </c>
      <c r="M235" s="65" t="e">
        <f>'Combustão Móvel'!#REF!</f>
        <v>#REF!</v>
      </c>
      <c r="N235" s="150"/>
      <c r="O235" s="150" t="e">
        <f t="shared" si="49"/>
        <v>#REF!</v>
      </c>
      <c r="P235" s="150"/>
      <c r="Q235" s="150"/>
      <c r="R235" s="150" t="e">
        <f t="shared" si="50"/>
        <v>#REF!</v>
      </c>
      <c r="S235" s="150" t="e">
        <f t="shared" si="51"/>
        <v>#REF!</v>
      </c>
      <c r="T235" s="161" t="e">
        <f t="shared" si="52"/>
        <v>#REF!</v>
      </c>
      <c r="U235" s="161" t="e">
        <f t="shared" si="53"/>
        <v>#REF!</v>
      </c>
      <c r="V235" s="134" t="e">
        <f t="shared" si="54"/>
        <v>#REF!</v>
      </c>
      <c r="W235" s="134" t="e">
        <f t="shared" si="55"/>
        <v>#REF!</v>
      </c>
      <c r="X235" s="134" t="e">
        <f t="shared" si="56"/>
        <v>#REF!</v>
      </c>
    </row>
    <row r="236" spans="2:24" ht="15.75" thickBot="1" x14ac:dyDescent="0.3">
      <c r="B236" s="1253"/>
      <c r="C236" s="36" t="e">
        <f>'Combustão Móvel'!#REF!</f>
        <v>#REF!</v>
      </c>
      <c r="D236" s="156" t="e">
        <f>'Combustão Móvel'!#REF!</f>
        <v>#REF!</v>
      </c>
      <c r="E236" s="150" t="e">
        <f>'Combustão Móvel'!#REF!</f>
        <v>#REF!</v>
      </c>
      <c r="F236" s="150" t="e">
        <f t="shared" si="57"/>
        <v>#REF!</v>
      </c>
      <c r="G236" s="150" t="e">
        <f t="shared" si="58"/>
        <v>#REF!</v>
      </c>
      <c r="H236" s="150" t="e">
        <f t="shared" si="59"/>
        <v>#REF!</v>
      </c>
      <c r="I236" s="150" t="e">
        <f t="shared" si="60"/>
        <v>#REF!</v>
      </c>
      <c r="J236" s="150" t="e">
        <f t="shared" si="61"/>
        <v>#REF!</v>
      </c>
      <c r="K236" s="157" t="e">
        <f t="shared" si="62"/>
        <v>#REF!</v>
      </c>
      <c r="L236" s="64" t="e">
        <f>'Combustão Móvel'!#REF!</f>
        <v>#REF!</v>
      </c>
      <c r="M236" s="65" t="e">
        <f>'Combustão Móvel'!#REF!</f>
        <v>#REF!</v>
      </c>
      <c r="N236" s="150"/>
      <c r="O236" s="150" t="e">
        <f t="shared" si="49"/>
        <v>#REF!</v>
      </c>
      <c r="P236" s="150"/>
      <c r="Q236" s="150"/>
      <c r="R236" s="150" t="e">
        <f t="shared" si="50"/>
        <v>#REF!</v>
      </c>
      <c r="S236" s="150" t="e">
        <f t="shared" si="51"/>
        <v>#REF!</v>
      </c>
      <c r="T236" s="161" t="e">
        <f t="shared" si="52"/>
        <v>#REF!</v>
      </c>
      <c r="U236" s="161" t="e">
        <f t="shared" si="53"/>
        <v>#REF!</v>
      </c>
      <c r="V236" s="134" t="e">
        <f t="shared" si="54"/>
        <v>#REF!</v>
      </c>
      <c r="W236" s="134" t="e">
        <f t="shared" si="55"/>
        <v>#REF!</v>
      </c>
      <c r="X236" s="134" t="e">
        <f t="shared" si="56"/>
        <v>#REF!</v>
      </c>
    </row>
    <row r="237" spans="2:24" ht="15.75" thickBot="1" x14ac:dyDescent="0.3">
      <c r="B237" s="1253"/>
      <c r="C237" s="36" t="e">
        <f>'Combustão Móvel'!#REF!</f>
        <v>#REF!</v>
      </c>
      <c r="D237" s="156" t="e">
        <f>'Combustão Móvel'!#REF!</f>
        <v>#REF!</v>
      </c>
      <c r="E237" s="150" t="e">
        <f>'Combustão Móvel'!#REF!</f>
        <v>#REF!</v>
      </c>
      <c r="F237" s="150" t="e">
        <f t="shared" si="57"/>
        <v>#REF!</v>
      </c>
      <c r="G237" s="150" t="e">
        <f t="shared" si="58"/>
        <v>#REF!</v>
      </c>
      <c r="H237" s="150" t="e">
        <f t="shared" si="59"/>
        <v>#REF!</v>
      </c>
      <c r="I237" s="150" t="e">
        <f t="shared" si="60"/>
        <v>#REF!</v>
      </c>
      <c r="J237" s="150" t="e">
        <f t="shared" si="61"/>
        <v>#REF!</v>
      </c>
      <c r="K237" s="157" t="e">
        <f t="shared" si="62"/>
        <v>#REF!</v>
      </c>
      <c r="L237" s="64" t="e">
        <f>'Combustão Móvel'!#REF!</f>
        <v>#REF!</v>
      </c>
      <c r="M237" s="65" t="e">
        <f>'Combustão Móvel'!#REF!</f>
        <v>#REF!</v>
      </c>
      <c r="N237" s="150"/>
      <c r="O237" s="150" t="e">
        <f t="shared" si="49"/>
        <v>#REF!</v>
      </c>
      <c r="P237" s="150"/>
      <c r="Q237" s="150"/>
      <c r="R237" s="150" t="e">
        <f t="shared" si="50"/>
        <v>#REF!</v>
      </c>
      <c r="S237" s="150" t="e">
        <f t="shared" si="51"/>
        <v>#REF!</v>
      </c>
      <c r="T237" s="161" t="e">
        <f t="shared" si="52"/>
        <v>#REF!</v>
      </c>
      <c r="U237" s="161" t="e">
        <f t="shared" si="53"/>
        <v>#REF!</v>
      </c>
      <c r="V237" s="134" t="e">
        <f t="shared" si="54"/>
        <v>#REF!</v>
      </c>
      <c r="W237" s="134" t="e">
        <f t="shared" si="55"/>
        <v>#REF!</v>
      </c>
      <c r="X237" s="134" t="e">
        <f t="shared" si="56"/>
        <v>#REF!</v>
      </c>
    </row>
    <row r="238" spans="2:24" ht="15.75" thickBot="1" x14ac:dyDescent="0.3">
      <c r="B238" s="1253"/>
      <c r="C238" s="36" t="e">
        <f>'Combustão Móvel'!#REF!</f>
        <v>#REF!</v>
      </c>
      <c r="D238" s="156" t="e">
        <f>'Combustão Móvel'!#REF!</f>
        <v>#REF!</v>
      </c>
      <c r="E238" s="150" t="e">
        <f>'Combustão Móvel'!#REF!</f>
        <v>#REF!</v>
      </c>
      <c r="F238" s="150" t="e">
        <f t="shared" si="57"/>
        <v>#REF!</v>
      </c>
      <c r="G238" s="150" t="e">
        <f t="shared" si="58"/>
        <v>#REF!</v>
      </c>
      <c r="H238" s="150" t="e">
        <f t="shared" si="59"/>
        <v>#REF!</v>
      </c>
      <c r="I238" s="150" t="e">
        <f t="shared" si="60"/>
        <v>#REF!</v>
      </c>
      <c r="J238" s="150" t="e">
        <f t="shared" si="61"/>
        <v>#REF!</v>
      </c>
      <c r="K238" s="157" t="e">
        <f t="shared" si="62"/>
        <v>#REF!</v>
      </c>
      <c r="L238" s="64" t="e">
        <f>'Combustão Móvel'!#REF!</f>
        <v>#REF!</v>
      </c>
      <c r="M238" s="65" t="e">
        <f>'Combustão Móvel'!#REF!</f>
        <v>#REF!</v>
      </c>
      <c r="N238" s="150"/>
      <c r="O238" s="150" t="e">
        <f t="shared" si="49"/>
        <v>#REF!</v>
      </c>
      <c r="P238" s="150"/>
      <c r="Q238" s="150"/>
      <c r="R238" s="150" t="e">
        <f t="shared" si="50"/>
        <v>#REF!</v>
      </c>
      <c r="S238" s="150" t="e">
        <f t="shared" si="51"/>
        <v>#REF!</v>
      </c>
      <c r="T238" s="161" t="e">
        <f t="shared" si="52"/>
        <v>#REF!</v>
      </c>
      <c r="U238" s="161" t="e">
        <f t="shared" si="53"/>
        <v>#REF!</v>
      </c>
      <c r="V238" s="134" t="e">
        <f t="shared" si="54"/>
        <v>#REF!</v>
      </c>
      <c r="W238" s="134" t="e">
        <f t="shared" si="55"/>
        <v>#REF!</v>
      </c>
      <c r="X238" s="134" t="e">
        <f t="shared" si="56"/>
        <v>#REF!</v>
      </c>
    </row>
    <row r="239" spans="2:24" ht="15.75" thickBot="1" x14ac:dyDescent="0.3">
      <c r="B239" s="1253"/>
      <c r="C239" s="36" t="e">
        <f>'Combustão Móvel'!#REF!</f>
        <v>#REF!</v>
      </c>
      <c r="D239" s="156" t="e">
        <f>'Combustão Móvel'!#REF!</f>
        <v>#REF!</v>
      </c>
      <c r="E239" s="150" t="e">
        <f>'Combustão Móvel'!#REF!</f>
        <v>#REF!</v>
      </c>
      <c r="F239" s="150" t="e">
        <f t="shared" si="57"/>
        <v>#REF!</v>
      </c>
      <c r="G239" s="150" t="e">
        <f t="shared" si="58"/>
        <v>#REF!</v>
      </c>
      <c r="H239" s="150" t="e">
        <f t="shared" si="59"/>
        <v>#REF!</v>
      </c>
      <c r="I239" s="150" t="e">
        <f t="shared" si="60"/>
        <v>#REF!</v>
      </c>
      <c r="J239" s="150" t="e">
        <f t="shared" si="61"/>
        <v>#REF!</v>
      </c>
      <c r="K239" s="157" t="e">
        <f t="shared" si="62"/>
        <v>#REF!</v>
      </c>
      <c r="L239" s="64" t="e">
        <f>'Combustão Móvel'!#REF!</f>
        <v>#REF!</v>
      </c>
      <c r="M239" s="65" t="e">
        <f>'Combustão Móvel'!#REF!</f>
        <v>#REF!</v>
      </c>
      <c r="N239" s="150"/>
      <c r="O239" s="150" t="e">
        <f t="shared" si="49"/>
        <v>#REF!</v>
      </c>
      <c r="P239" s="150"/>
      <c r="Q239" s="150"/>
      <c r="R239" s="150" t="e">
        <f t="shared" si="50"/>
        <v>#REF!</v>
      </c>
      <c r="S239" s="150" t="e">
        <f t="shared" si="51"/>
        <v>#REF!</v>
      </c>
      <c r="T239" s="161" t="e">
        <f t="shared" si="52"/>
        <v>#REF!</v>
      </c>
      <c r="U239" s="161" t="e">
        <f t="shared" si="53"/>
        <v>#REF!</v>
      </c>
      <c r="V239" s="134" t="e">
        <f t="shared" si="54"/>
        <v>#REF!</v>
      </c>
      <c r="W239" s="134" t="e">
        <f t="shared" si="55"/>
        <v>#REF!</v>
      </c>
      <c r="X239" s="134" t="e">
        <f t="shared" si="56"/>
        <v>#REF!</v>
      </c>
    </row>
    <row r="240" spans="2:24" ht="15.75" thickBot="1" x14ac:dyDescent="0.3">
      <c r="B240" s="1253"/>
      <c r="C240" s="36" t="e">
        <f>'Combustão Móvel'!#REF!</f>
        <v>#REF!</v>
      </c>
      <c r="D240" s="156" t="e">
        <f>'Combustão Móvel'!#REF!</f>
        <v>#REF!</v>
      </c>
      <c r="E240" s="150" t="e">
        <f>'Combustão Móvel'!#REF!</f>
        <v>#REF!</v>
      </c>
      <c r="F240" s="150" t="e">
        <f t="shared" si="57"/>
        <v>#REF!</v>
      </c>
      <c r="G240" s="150" t="e">
        <f t="shared" si="58"/>
        <v>#REF!</v>
      </c>
      <c r="H240" s="150" t="e">
        <f t="shared" si="59"/>
        <v>#REF!</v>
      </c>
      <c r="I240" s="150" t="e">
        <f t="shared" si="60"/>
        <v>#REF!</v>
      </c>
      <c r="J240" s="150" t="e">
        <f t="shared" si="61"/>
        <v>#REF!</v>
      </c>
      <c r="K240" s="157" t="e">
        <f t="shared" si="62"/>
        <v>#REF!</v>
      </c>
      <c r="L240" s="64" t="e">
        <f>'Combustão Móvel'!#REF!</f>
        <v>#REF!</v>
      </c>
      <c r="M240" s="65" t="e">
        <f>'Combustão Móvel'!#REF!</f>
        <v>#REF!</v>
      </c>
      <c r="N240" s="150"/>
      <c r="O240" s="150" t="e">
        <f t="shared" si="49"/>
        <v>#REF!</v>
      </c>
      <c r="P240" s="150"/>
      <c r="Q240" s="150"/>
      <c r="R240" s="150" t="e">
        <f t="shared" si="50"/>
        <v>#REF!</v>
      </c>
      <c r="S240" s="150" t="e">
        <f t="shared" si="51"/>
        <v>#REF!</v>
      </c>
      <c r="T240" s="161" t="e">
        <f t="shared" si="52"/>
        <v>#REF!</v>
      </c>
      <c r="U240" s="161" t="e">
        <f t="shared" si="53"/>
        <v>#REF!</v>
      </c>
      <c r="V240" s="134" t="e">
        <f t="shared" si="54"/>
        <v>#REF!</v>
      </c>
      <c r="W240" s="134" t="e">
        <f t="shared" si="55"/>
        <v>#REF!</v>
      </c>
      <c r="X240" s="134" t="e">
        <f t="shared" si="56"/>
        <v>#REF!</v>
      </c>
    </row>
    <row r="241" spans="2:24" ht="15.75" thickBot="1" x14ac:dyDescent="0.3">
      <c r="B241" s="1253"/>
      <c r="C241" s="36" t="e">
        <f>'Combustão Móvel'!#REF!</f>
        <v>#REF!</v>
      </c>
      <c r="D241" s="156" t="e">
        <f>'Combustão Móvel'!#REF!</f>
        <v>#REF!</v>
      </c>
      <c r="E241" s="150" t="e">
        <f>'Combustão Móvel'!#REF!</f>
        <v>#REF!</v>
      </c>
      <c r="F241" s="150" t="e">
        <f t="shared" si="57"/>
        <v>#REF!</v>
      </c>
      <c r="G241" s="150" t="e">
        <f t="shared" si="58"/>
        <v>#REF!</v>
      </c>
      <c r="H241" s="150" t="e">
        <f t="shared" si="59"/>
        <v>#REF!</v>
      </c>
      <c r="I241" s="150" t="e">
        <f t="shared" si="60"/>
        <v>#REF!</v>
      </c>
      <c r="J241" s="150" t="e">
        <f t="shared" si="61"/>
        <v>#REF!</v>
      </c>
      <c r="K241" s="157" t="e">
        <f t="shared" si="62"/>
        <v>#REF!</v>
      </c>
      <c r="L241" s="64" t="e">
        <f>'Combustão Móvel'!#REF!</f>
        <v>#REF!</v>
      </c>
      <c r="M241" s="65" t="e">
        <f>'Combustão Móvel'!#REF!</f>
        <v>#REF!</v>
      </c>
      <c r="N241" s="150"/>
      <c r="O241" s="150" t="e">
        <f t="shared" si="49"/>
        <v>#REF!</v>
      </c>
      <c r="P241" s="150"/>
      <c r="Q241" s="150"/>
      <c r="R241" s="150" t="e">
        <f t="shared" si="50"/>
        <v>#REF!</v>
      </c>
      <c r="S241" s="150" t="e">
        <f t="shared" si="51"/>
        <v>#REF!</v>
      </c>
      <c r="T241" s="161" t="e">
        <f t="shared" si="52"/>
        <v>#REF!</v>
      </c>
      <c r="U241" s="161" t="e">
        <f t="shared" si="53"/>
        <v>#REF!</v>
      </c>
      <c r="V241" s="134" t="e">
        <f t="shared" si="54"/>
        <v>#REF!</v>
      </c>
      <c r="W241" s="134" t="e">
        <f t="shared" si="55"/>
        <v>#REF!</v>
      </c>
      <c r="X241" s="134" t="e">
        <f t="shared" si="56"/>
        <v>#REF!</v>
      </c>
    </row>
    <row r="242" spans="2:24" ht="15.75" thickBot="1" x14ac:dyDescent="0.3">
      <c r="B242" s="1253"/>
      <c r="C242" s="36" t="e">
        <f>'Combustão Móvel'!#REF!</f>
        <v>#REF!</v>
      </c>
      <c r="D242" s="156" t="e">
        <f>'Combustão Móvel'!#REF!</f>
        <v>#REF!</v>
      </c>
      <c r="E242" s="150" t="e">
        <f>'Combustão Móvel'!#REF!</f>
        <v>#REF!</v>
      </c>
      <c r="F242" s="150" t="e">
        <f t="shared" si="57"/>
        <v>#REF!</v>
      </c>
      <c r="G242" s="150" t="e">
        <f t="shared" si="58"/>
        <v>#REF!</v>
      </c>
      <c r="H242" s="150" t="e">
        <f t="shared" si="59"/>
        <v>#REF!</v>
      </c>
      <c r="I242" s="150" t="e">
        <f t="shared" si="60"/>
        <v>#REF!</v>
      </c>
      <c r="J242" s="150" t="e">
        <f t="shared" si="61"/>
        <v>#REF!</v>
      </c>
      <c r="K242" s="157" t="e">
        <f t="shared" si="62"/>
        <v>#REF!</v>
      </c>
      <c r="L242" s="64" t="e">
        <f>'Combustão Móvel'!#REF!</f>
        <v>#REF!</v>
      </c>
      <c r="M242" s="65" t="e">
        <f>'Combustão Móvel'!#REF!</f>
        <v>#REF!</v>
      </c>
      <c r="N242" s="150"/>
      <c r="O242" s="150" t="e">
        <f t="shared" si="49"/>
        <v>#REF!</v>
      </c>
      <c r="P242" s="150"/>
      <c r="Q242" s="150"/>
      <c r="R242" s="150" t="e">
        <f t="shared" si="50"/>
        <v>#REF!</v>
      </c>
      <c r="S242" s="150" t="e">
        <f t="shared" si="51"/>
        <v>#REF!</v>
      </c>
      <c r="T242" s="161" t="e">
        <f t="shared" si="52"/>
        <v>#REF!</v>
      </c>
      <c r="U242" s="161" t="e">
        <f t="shared" si="53"/>
        <v>#REF!</v>
      </c>
      <c r="V242" s="134" t="e">
        <f t="shared" si="54"/>
        <v>#REF!</v>
      </c>
      <c r="W242" s="134" t="e">
        <f t="shared" si="55"/>
        <v>#REF!</v>
      </c>
      <c r="X242" s="134" t="e">
        <f t="shared" si="56"/>
        <v>#REF!</v>
      </c>
    </row>
    <row r="243" spans="2:24" ht="15.75" thickBot="1" x14ac:dyDescent="0.3">
      <c r="B243" s="1253"/>
      <c r="C243" s="36" t="e">
        <f>'Combustão Móvel'!#REF!</f>
        <v>#REF!</v>
      </c>
      <c r="D243" s="156" t="e">
        <f>'Combustão Móvel'!#REF!</f>
        <v>#REF!</v>
      </c>
      <c r="E243" s="150" t="e">
        <f>'Combustão Móvel'!#REF!</f>
        <v>#REF!</v>
      </c>
      <c r="F243" s="150" t="e">
        <f t="shared" si="57"/>
        <v>#REF!</v>
      </c>
      <c r="G243" s="150" t="e">
        <f t="shared" si="58"/>
        <v>#REF!</v>
      </c>
      <c r="H243" s="150" t="e">
        <f t="shared" si="59"/>
        <v>#REF!</v>
      </c>
      <c r="I243" s="150" t="e">
        <f t="shared" si="60"/>
        <v>#REF!</v>
      </c>
      <c r="J243" s="150" t="e">
        <f t="shared" si="61"/>
        <v>#REF!</v>
      </c>
      <c r="K243" s="157" t="e">
        <f t="shared" si="62"/>
        <v>#REF!</v>
      </c>
      <c r="L243" s="64" t="e">
        <f>'Combustão Móvel'!#REF!</f>
        <v>#REF!</v>
      </c>
      <c r="M243" s="65" t="e">
        <f>'Combustão Móvel'!#REF!</f>
        <v>#REF!</v>
      </c>
      <c r="N243" s="150"/>
      <c r="O243" s="150" t="e">
        <f t="shared" si="49"/>
        <v>#REF!</v>
      </c>
      <c r="P243" s="150"/>
      <c r="Q243" s="150"/>
      <c r="R243" s="150" t="e">
        <f t="shared" si="50"/>
        <v>#REF!</v>
      </c>
      <c r="S243" s="150" t="e">
        <f t="shared" si="51"/>
        <v>#REF!</v>
      </c>
      <c r="T243" s="161" t="e">
        <f t="shared" si="52"/>
        <v>#REF!</v>
      </c>
      <c r="U243" s="161" t="e">
        <f t="shared" si="53"/>
        <v>#REF!</v>
      </c>
      <c r="V243" s="134" t="e">
        <f t="shared" si="54"/>
        <v>#REF!</v>
      </c>
      <c r="W243" s="134" t="e">
        <f t="shared" si="55"/>
        <v>#REF!</v>
      </c>
      <c r="X243" s="134" t="e">
        <f t="shared" si="56"/>
        <v>#REF!</v>
      </c>
    </row>
    <row r="244" spans="2:24" ht="15.75" thickBot="1" x14ac:dyDescent="0.3">
      <c r="B244" s="1253"/>
      <c r="C244" s="36" t="e">
        <f>'Combustão Móvel'!#REF!</f>
        <v>#REF!</v>
      </c>
      <c r="D244" s="156" t="e">
        <f>'Combustão Móvel'!#REF!</f>
        <v>#REF!</v>
      </c>
      <c r="E244" s="150" t="e">
        <f>'Combustão Móvel'!#REF!</f>
        <v>#REF!</v>
      </c>
      <c r="F244" s="150" t="e">
        <f t="shared" si="57"/>
        <v>#REF!</v>
      </c>
      <c r="G244" s="150" t="e">
        <f t="shared" si="58"/>
        <v>#REF!</v>
      </c>
      <c r="H244" s="150" t="e">
        <f t="shared" si="59"/>
        <v>#REF!</v>
      </c>
      <c r="I244" s="150" t="e">
        <f t="shared" si="60"/>
        <v>#REF!</v>
      </c>
      <c r="J244" s="150" t="e">
        <f t="shared" si="61"/>
        <v>#REF!</v>
      </c>
      <c r="K244" s="157" t="e">
        <f t="shared" si="62"/>
        <v>#REF!</v>
      </c>
      <c r="L244" s="64" t="e">
        <f>'Combustão Móvel'!#REF!</f>
        <v>#REF!</v>
      </c>
      <c r="M244" s="65" t="e">
        <f>'Combustão Móvel'!#REF!</f>
        <v>#REF!</v>
      </c>
      <c r="N244" s="150"/>
      <c r="O244" s="150" t="e">
        <f t="shared" si="49"/>
        <v>#REF!</v>
      </c>
      <c r="P244" s="150"/>
      <c r="Q244" s="150"/>
      <c r="R244" s="150" t="e">
        <f t="shared" si="50"/>
        <v>#REF!</v>
      </c>
      <c r="S244" s="150" t="e">
        <f t="shared" si="51"/>
        <v>#REF!</v>
      </c>
      <c r="T244" s="161" t="e">
        <f t="shared" si="52"/>
        <v>#REF!</v>
      </c>
      <c r="U244" s="161" t="e">
        <f t="shared" si="53"/>
        <v>#REF!</v>
      </c>
      <c r="V244" s="134" t="e">
        <f t="shared" si="54"/>
        <v>#REF!</v>
      </c>
      <c r="W244" s="134" t="e">
        <f t="shared" si="55"/>
        <v>#REF!</v>
      </c>
      <c r="X244" s="134" t="e">
        <f t="shared" si="56"/>
        <v>#REF!</v>
      </c>
    </row>
    <row r="245" spans="2:24" ht="15.75" thickBot="1" x14ac:dyDescent="0.3">
      <c r="B245" s="1253"/>
      <c r="C245" s="36" t="e">
        <f>'Combustão Móvel'!#REF!</f>
        <v>#REF!</v>
      </c>
      <c r="D245" s="156" t="e">
        <f>'Combustão Móvel'!#REF!</f>
        <v>#REF!</v>
      </c>
      <c r="E245" s="150" t="e">
        <f>'Combustão Móvel'!#REF!</f>
        <v>#REF!</v>
      </c>
      <c r="F245" s="150" t="e">
        <f t="shared" si="57"/>
        <v>#REF!</v>
      </c>
      <c r="G245" s="150" t="e">
        <f t="shared" si="58"/>
        <v>#REF!</v>
      </c>
      <c r="H245" s="150" t="e">
        <f t="shared" si="59"/>
        <v>#REF!</v>
      </c>
      <c r="I245" s="150" t="e">
        <f t="shared" si="60"/>
        <v>#REF!</v>
      </c>
      <c r="J245" s="150" t="e">
        <f t="shared" si="61"/>
        <v>#REF!</v>
      </c>
      <c r="K245" s="157" t="e">
        <f t="shared" si="62"/>
        <v>#REF!</v>
      </c>
      <c r="L245" s="64" t="e">
        <f>'Combustão Móvel'!#REF!</f>
        <v>#REF!</v>
      </c>
      <c r="M245" s="65" t="e">
        <f>'Combustão Móvel'!#REF!</f>
        <v>#REF!</v>
      </c>
      <c r="N245" s="150"/>
      <c r="O245" s="150" t="e">
        <f t="shared" si="49"/>
        <v>#REF!</v>
      </c>
      <c r="P245" s="150"/>
      <c r="Q245" s="150"/>
      <c r="R245" s="150" t="e">
        <f t="shared" si="50"/>
        <v>#REF!</v>
      </c>
      <c r="S245" s="150" t="e">
        <f t="shared" si="51"/>
        <v>#REF!</v>
      </c>
      <c r="T245" s="161" t="e">
        <f t="shared" si="52"/>
        <v>#REF!</v>
      </c>
      <c r="U245" s="161" t="e">
        <f t="shared" si="53"/>
        <v>#REF!</v>
      </c>
      <c r="V245" s="134" t="e">
        <f t="shared" si="54"/>
        <v>#REF!</v>
      </c>
      <c r="W245" s="134" t="e">
        <f t="shared" si="55"/>
        <v>#REF!</v>
      </c>
      <c r="X245" s="134" t="e">
        <f t="shared" si="56"/>
        <v>#REF!</v>
      </c>
    </row>
    <row r="246" spans="2:24" ht="15.75" thickBot="1" x14ac:dyDescent="0.3">
      <c r="B246" s="1253"/>
      <c r="C246" s="36" t="e">
        <f>'Combustão Móvel'!#REF!</f>
        <v>#REF!</v>
      </c>
      <c r="D246" s="156" t="e">
        <f>'Combustão Móvel'!#REF!</f>
        <v>#REF!</v>
      </c>
      <c r="E246" s="150" t="e">
        <f>'Combustão Móvel'!#REF!</f>
        <v>#REF!</v>
      </c>
      <c r="F246" s="150" t="e">
        <f t="shared" si="57"/>
        <v>#REF!</v>
      </c>
      <c r="G246" s="150" t="e">
        <f t="shared" si="58"/>
        <v>#REF!</v>
      </c>
      <c r="H246" s="150" t="e">
        <f t="shared" si="59"/>
        <v>#REF!</v>
      </c>
      <c r="I246" s="150" t="e">
        <f t="shared" si="60"/>
        <v>#REF!</v>
      </c>
      <c r="J246" s="150" t="e">
        <f t="shared" si="61"/>
        <v>#REF!</v>
      </c>
      <c r="K246" s="157" t="e">
        <f t="shared" si="62"/>
        <v>#REF!</v>
      </c>
      <c r="L246" s="64" t="e">
        <f>'Combustão Móvel'!#REF!</f>
        <v>#REF!</v>
      </c>
      <c r="M246" s="65" t="e">
        <f>'Combustão Móvel'!#REF!</f>
        <v>#REF!</v>
      </c>
      <c r="N246" s="150"/>
      <c r="O246" s="150" t="e">
        <f t="shared" si="49"/>
        <v>#REF!</v>
      </c>
      <c r="P246" s="150"/>
      <c r="Q246" s="150"/>
      <c r="R246" s="150" t="e">
        <f t="shared" si="50"/>
        <v>#REF!</v>
      </c>
      <c r="S246" s="150" t="e">
        <f t="shared" si="51"/>
        <v>#REF!</v>
      </c>
      <c r="T246" s="161" t="e">
        <f t="shared" si="52"/>
        <v>#REF!</v>
      </c>
      <c r="U246" s="161" t="e">
        <f t="shared" si="53"/>
        <v>#REF!</v>
      </c>
      <c r="V246" s="134" t="e">
        <f t="shared" si="54"/>
        <v>#REF!</v>
      </c>
      <c r="W246" s="134" t="e">
        <f t="shared" si="55"/>
        <v>#REF!</v>
      </c>
      <c r="X246" s="134" t="e">
        <f t="shared" si="56"/>
        <v>#REF!</v>
      </c>
    </row>
    <row r="247" spans="2:24" ht="15.75" thickBot="1" x14ac:dyDescent="0.3">
      <c r="B247" s="1253"/>
      <c r="C247" s="36" t="e">
        <f>'Combustão Móvel'!#REF!</f>
        <v>#REF!</v>
      </c>
      <c r="D247" s="156" t="e">
        <f>'Combustão Móvel'!#REF!</f>
        <v>#REF!</v>
      </c>
      <c r="E247" s="150" t="e">
        <f>'Combustão Móvel'!#REF!</f>
        <v>#REF!</v>
      </c>
      <c r="F247" s="150" t="e">
        <f t="shared" si="57"/>
        <v>#REF!</v>
      </c>
      <c r="G247" s="150" t="e">
        <f t="shared" si="58"/>
        <v>#REF!</v>
      </c>
      <c r="H247" s="150" t="e">
        <f t="shared" si="59"/>
        <v>#REF!</v>
      </c>
      <c r="I247" s="150" t="e">
        <f t="shared" si="60"/>
        <v>#REF!</v>
      </c>
      <c r="J247" s="150" t="e">
        <f t="shared" si="61"/>
        <v>#REF!</v>
      </c>
      <c r="K247" s="157" t="e">
        <f t="shared" si="62"/>
        <v>#REF!</v>
      </c>
      <c r="L247" s="64" t="e">
        <f>'Combustão Móvel'!#REF!</f>
        <v>#REF!</v>
      </c>
      <c r="M247" s="65" t="e">
        <f>'Combustão Móvel'!#REF!</f>
        <v>#REF!</v>
      </c>
      <c r="N247" s="150"/>
      <c r="O247" s="150" t="e">
        <f t="shared" si="49"/>
        <v>#REF!</v>
      </c>
      <c r="P247" s="150"/>
      <c r="Q247" s="150"/>
      <c r="R247" s="150" t="e">
        <f t="shared" si="50"/>
        <v>#REF!</v>
      </c>
      <c r="S247" s="150" t="e">
        <f t="shared" si="51"/>
        <v>#REF!</v>
      </c>
      <c r="T247" s="161" t="e">
        <f t="shared" si="52"/>
        <v>#REF!</v>
      </c>
      <c r="U247" s="161" t="e">
        <f t="shared" si="53"/>
        <v>#REF!</v>
      </c>
      <c r="V247" s="134" t="e">
        <f t="shared" si="54"/>
        <v>#REF!</v>
      </c>
      <c r="W247" s="134" t="e">
        <f t="shared" si="55"/>
        <v>#REF!</v>
      </c>
      <c r="X247" s="134" t="e">
        <f t="shared" si="56"/>
        <v>#REF!</v>
      </c>
    </row>
    <row r="248" spans="2:24" ht="15.75" thickBot="1" x14ac:dyDescent="0.3">
      <c r="B248" s="1253"/>
      <c r="C248" s="36" t="e">
        <f>'Combustão Móvel'!#REF!</f>
        <v>#REF!</v>
      </c>
      <c r="D248" s="156" t="e">
        <f>'Combustão Móvel'!#REF!</f>
        <v>#REF!</v>
      </c>
      <c r="E248" s="150" t="e">
        <f>'Combustão Móvel'!#REF!</f>
        <v>#REF!</v>
      </c>
      <c r="F248" s="150" t="e">
        <f t="shared" si="57"/>
        <v>#REF!</v>
      </c>
      <c r="G248" s="150" t="e">
        <f t="shared" si="58"/>
        <v>#REF!</v>
      </c>
      <c r="H248" s="150" t="e">
        <f t="shared" si="59"/>
        <v>#REF!</v>
      </c>
      <c r="I248" s="150" t="e">
        <f t="shared" si="60"/>
        <v>#REF!</v>
      </c>
      <c r="J248" s="150" t="e">
        <f t="shared" si="61"/>
        <v>#REF!</v>
      </c>
      <c r="K248" s="157" t="e">
        <f t="shared" si="62"/>
        <v>#REF!</v>
      </c>
      <c r="L248" s="64" t="e">
        <f>'Combustão Móvel'!#REF!</f>
        <v>#REF!</v>
      </c>
      <c r="M248" s="65" t="e">
        <f>'Combustão Móvel'!#REF!</f>
        <v>#REF!</v>
      </c>
      <c r="N248" s="150"/>
      <c r="O248" s="150" t="e">
        <f t="shared" si="49"/>
        <v>#REF!</v>
      </c>
      <c r="P248" s="150"/>
      <c r="Q248" s="150"/>
      <c r="R248" s="150" t="e">
        <f t="shared" si="50"/>
        <v>#REF!</v>
      </c>
      <c r="S248" s="150" t="e">
        <f t="shared" si="51"/>
        <v>#REF!</v>
      </c>
      <c r="T248" s="161" t="e">
        <f t="shared" si="52"/>
        <v>#REF!</v>
      </c>
      <c r="U248" s="161" t="e">
        <f t="shared" si="53"/>
        <v>#REF!</v>
      </c>
      <c r="V248" s="134" t="e">
        <f t="shared" si="54"/>
        <v>#REF!</v>
      </c>
      <c r="W248" s="134" t="e">
        <f t="shared" si="55"/>
        <v>#REF!</v>
      </c>
      <c r="X248" s="134" t="e">
        <f t="shared" si="56"/>
        <v>#REF!</v>
      </c>
    </row>
    <row r="249" spans="2:24" ht="15.75" thickBot="1" x14ac:dyDescent="0.3">
      <c r="B249" s="1253"/>
      <c r="C249" s="36" t="e">
        <f>'Combustão Móvel'!#REF!</f>
        <v>#REF!</v>
      </c>
      <c r="D249" s="156" t="e">
        <f>'Combustão Móvel'!#REF!</f>
        <v>#REF!</v>
      </c>
      <c r="E249" s="150" t="e">
        <f>'Combustão Móvel'!#REF!</f>
        <v>#REF!</v>
      </c>
      <c r="F249" s="150" t="e">
        <f t="shared" si="57"/>
        <v>#REF!</v>
      </c>
      <c r="G249" s="150" t="e">
        <f t="shared" si="58"/>
        <v>#REF!</v>
      </c>
      <c r="H249" s="150" t="e">
        <f t="shared" si="59"/>
        <v>#REF!</v>
      </c>
      <c r="I249" s="150" t="e">
        <f t="shared" si="60"/>
        <v>#REF!</v>
      </c>
      <c r="J249" s="150" t="e">
        <f t="shared" si="61"/>
        <v>#REF!</v>
      </c>
      <c r="K249" s="157" t="e">
        <f t="shared" si="62"/>
        <v>#REF!</v>
      </c>
      <c r="L249" s="64" t="e">
        <f>'Combustão Móvel'!#REF!</f>
        <v>#REF!</v>
      </c>
      <c r="M249" s="65" t="e">
        <f>'Combustão Móvel'!#REF!</f>
        <v>#REF!</v>
      </c>
      <c r="N249" s="150"/>
      <c r="O249" s="150" t="e">
        <f t="shared" si="49"/>
        <v>#REF!</v>
      </c>
      <c r="P249" s="150"/>
      <c r="Q249" s="150"/>
      <c r="R249" s="150" t="e">
        <f t="shared" si="50"/>
        <v>#REF!</v>
      </c>
      <c r="S249" s="150" t="e">
        <f t="shared" si="51"/>
        <v>#REF!</v>
      </c>
      <c r="T249" s="161" t="e">
        <f t="shared" si="52"/>
        <v>#REF!</v>
      </c>
      <c r="U249" s="161" t="e">
        <f t="shared" si="53"/>
        <v>#REF!</v>
      </c>
      <c r="V249" s="134" t="e">
        <f t="shared" si="54"/>
        <v>#REF!</v>
      </c>
      <c r="W249" s="134" t="e">
        <f t="shared" si="55"/>
        <v>#REF!</v>
      </c>
      <c r="X249" s="134" t="e">
        <f t="shared" si="56"/>
        <v>#REF!</v>
      </c>
    </row>
    <row r="250" spans="2:24" ht="15.75" thickBot="1" x14ac:dyDescent="0.3">
      <c r="B250" s="1253"/>
      <c r="C250" s="36" t="e">
        <f>'Combustão Móvel'!#REF!</f>
        <v>#REF!</v>
      </c>
      <c r="D250" s="156" t="e">
        <f>'Combustão Móvel'!#REF!</f>
        <v>#REF!</v>
      </c>
      <c r="E250" s="150" t="e">
        <f>'Combustão Móvel'!#REF!</f>
        <v>#REF!</v>
      </c>
      <c r="F250" s="150" t="e">
        <f t="shared" si="57"/>
        <v>#REF!</v>
      </c>
      <c r="G250" s="150" t="e">
        <f t="shared" si="58"/>
        <v>#REF!</v>
      </c>
      <c r="H250" s="150" t="e">
        <f t="shared" si="59"/>
        <v>#REF!</v>
      </c>
      <c r="I250" s="150" t="e">
        <f t="shared" si="60"/>
        <v>#REF!</v>
      </c>
      <c r="J250" s="150" t="e">
        <f t="shared" si="61"/>
        <v>#REF!</v>
      </c>
      <c r="K250" s="157" t="e">
        <f t="shared" si="62"/>
        <v>#REF!</v>
      </c>
      <c r="L250" s="64" t="e">
        <f>'Combustão Móvel'!#REF!</f>
        <v>#REF!</v>
      </c>
      <c r="M250" s="65" t="e">
        <f>'Combustão Móvel'!#REF!</f>
        <v>#REF!</v>
      </c>
      <c r="N250" s="150"/>
      <c r="O250" s="150" t="e">
        <f t="shared" si="49"/>
        <v>#REF!</v>
      </c>
      <c r="P250" s="150"/>
      <c r="Q250" s="150"/>
      <c r="R250" s="150" t="e">
        <f t="shared" si="50"/>
        <v>#REF!</v>
      </c>
      <c r="S250" s="150" t="e">
        <f t="shared" si="51"/>
        <v>#REF!</v>
      </c>
      <c r="T250" s="161" t="e">
        <f t="shared" si="52"/>
        <v>#REF!</v>
      </c>
      <c r="U250" s="161" t="e">
        <f t="shared" si="53"/>
        <v>#REF!</v>
      </c>
      <c r="V250" s="134" t="e">
        <f t="shared" si="54"/>
        <v>#REF!</v>
      </c>
      <c r="W250" s="134" t="e">
        <f t="shared" si="55"/>
        <v>#REF!</v>
      </c>
      <c r="X250" s="134" t="e">
        <f t="shared" si="56"/>
        <v>#REF!</v>
      </c>
    </row>
    <row r="251" spans="2:24" ht="15.75" thickBot="1" x14ac:dyDescent="0.3">
      <c r="B251" s="1253"/>
      <c r="C251" s="36" t="e">
        <f>'Combustão Móvel'!#REF!</f>
        <v>#REF!</v>
      </c>
      <c r="D251" s="156" t="e">
        <f>'Combustão Móvel'!#REF!</f>
        <v>#REF!</v>
      </c>
      <c r="E251" s="150" t="e">
        <f>'Combustão Móvel'!#REF!</f>
        <v>#REF!</v>
      </c>
      <c r="F251" s="150" t="e">
        <f t="shared" si="57"/>
        <v>#REF!</v>
      </c>
      <c r="G251" s="150" t="e">
        <f t="shared" si="58"/>
        <v>#REF!</v>
      </c>
      <c r="H251" s="150" t="e">
        <f t="shared" si="59"/>
        <v>#REF!</v>
      </c>
      <c r="I251" s="150" t="e">
        <f t="shared" si="60"/>
        <v>#REF!</v>
      </c>
      <c r="J251" s="150" t="e">
        <f t="shared" si="61"/>
        <v>#REF!</v>
      </c>
      <c r="K251" s="157" t="e">
        <f t="shared" si="62"/>
        <v>#REF!</v>
      </c>
      <c r="L251" s="64" t="e">
        <f>'Combustão Móvel'!#REF!</f>
        <v>#REF!</v>
      </c>
      <c r="M251" s="65" t="e">
        <f>'Combustão Móvel'!#REF!</f>
        <v>#REF!</v>
      </c>
      <c r="N251" s="150"/>
      <c r="O251" s="150" t="e">
        <f t="shared" si="49"/>
        <v>#REF!</v>
      </c>
      <c r="P251" s="150"/>
      <c r="Q251" s="150"/>
      <c r="R251" s="150" t="e">
        <f t="shared" si="50"/>
        <v>#REF!</v>
      </c>
      <c r="S251" s="150" t="e">
        <f t="shared" si="51"/>
        <v>#REF!</v>
      </c>
      <c r="T251" s="161" t="e">
        <f t="shared" si="52"/>
        <v>#REF!</v>
      </c>
      <c r="U251" s="161" t="e">
        <f t="shared" si="53"/>
        <v>#REF!</v>
      </c>
      <c r="V251" s="134" t="e">
        <f t="shared" si="54"/>
        <v>#REF!</v>
      </c>
      <c r="W251" s="134" t="e">
        <f t="shared" si="55"/>
        <v>#REF!</v>
      </c>
      <c r="X251" s="134" t="e">
        <f t="shared" si="56"/>
        <v>#REF!</v>
      </c>
    </row>
    <row r="252" spans="2:24" ht="15.75" thickBot="1" x14ac:dyDescent="0.3">
      <c r="B252" s="1253"/>
      <c r="C252" s="36" t="e">
        <f>'Combustão Móvel'!#REF!</f>
        <v>#REF!</v>
      </c>
      <c r="D252" s="156" t="e">
        <f>'Combustão Móvel'!#REF!</f>
        <v>#REF!</v>
      </c>
      <c r="E252" s="150" t="e">
        <f>'Combustão Móvel'!#REF!</f>
        <v>#REF!</v>
      </c>
      <c r="F252" s="150" t="e">
        <f t="shared" si="57"/>
        <v>#REF!</v>
      </c>
      <c r="G252" s="150" t="e">
        <f t="shared" si="58"/>
        <v>#REF!</v>
      </c>
      <c r="H252" s="150" t="e">
        <f t="shared" si="59"/>
        <v>#REF!</v>
      </c>
      <c r="I252" s="150" t="e">
        <f t="shared" si="60"/>
        <v>#REF!</v>
      </c>
      <c r="J252" s="150" t="e">
        <f t="shared" si="61"/>
        <v>#REF!</v>
      </c>
      <c r="K252" s="157" t="e">
        <f t="shared" si="62"/>
        <v>#REF!</v>
      </c>
      <c r="L252" s="64" t="e">
        <f>'Combustão Móvel'!#REF!</f>
        <v>#REF!</v>
      </c>
      <c r="M252" s="65" t="e">
        <f>'Combustão Móvel'!#REF!</f>
        <v>#REF!</v>
      </c>
      <c r="N252" s="150"/>
      <c r="O252" s="150" t="e">
        <f t="shared" si="49"/>
        <v>#REF!</v>
      </c>
      <c r="P252" s="150"/>
      <c r="Q252" s="150"/>
      <c r="R252" s="150" t="e">
        <f t="shared" si="50"/>
        <v>#REF!</v>
      </c>
      <c r="S252" s="150" t="e">
        <f t="shared" si="51"/>
        <v>#REF!</v>
      </c>
      <c r="T252" s="161" t="e">
        <f t="shared" si="52"/>
        <v>#REF!</v>
      </c>
      <c r="U252" s="161" t="e">
        <f t="shared" si="53"/>
        <v>#REF!</v>
      </c>
      <c r="V252" s="134" t="e">
        <f t="shared" si="54"/>
        <v>#REF!</v>
      </c>
      <c r="W252" s="134" t="e">
        <f t="shared" si="55"/>
        <v>#REF!</v>
      </c>
      <c r="X252" s="134" t="e">
        <f t="shared" si="56"/>
        <v>#REF!</v>
      </c>
    </row>
    <row r="253" spans="2:24" ht="15.75" thickBot="1" x14ac:dyDescent="0.3">
      <c r="B253" s="1253"/>
      <c r="C253" s="36" t="e">
        <f>'Combustão Móvel'!#REF!</f>
        <v>#REF!</v>
      </c>
      <c r="D253" s="156" t="e">
        <f>'Combustão Móvel'!#REF!</f>
        <v>#REF!</v>
      </c>
      <c r="E253" s="150" t="e">
        <f>'Combustão Móvel'!#REF!</f>
        <v>#REF!</v>
      </c>
      <c r="F253" s="150" t="e">
        <f t="shared" si="57"/>
        <v>#REF!</v>
      </c>
      <c r="G253" s="150" t="e">
        <f t="shared" si="58"/>
        <v>#REF!</v>
      </c>
      <c r="H253" s="150" t="e">
        <f t="shared" si="59"/>
        <v>#REF!</v>
      </c>
      <c r="I253" s="150" t="e">
        <f t="shared" si="60"/>
        <v>#REF!</v>
      </c>
      <c r="J253" s="150" t="e">
        <f t="shared" si="61"/>
        <v>#REF!</v>
      </c>
      <c r="K253" s="157" t="e">
        <f t="shared" si="62"/>
        <v>#REF!</v>
      </c>
      <c r="L253" s="64" t="e">
        <f>'Combustão Móvel'!#REF!</f>
        <v>#REF!</v>
      </c>
      <c r="M253" s="65" t="e">
        <f>'Combustão Móvel'!#REF!</f>
        <v>#REF!</v>
      </c>
      <c r="N253" s="150"/>
      <c r="O253" s="150" t="e">
        <f t="shared" si="49"/>
        <v>#REF!</v>
      </c>
      <c r="P253" s="150"/>
      <c r="Q253" s="150"/>
      <c r="R253" s="150" t="e">
        <f t="shared" si="50"/>
        <v>#REF!</v>
      </c>
      <c r="S253" s="150" t="e">
        <f t="shared" si="51"/>
        <v>#REF!</v>
      </c>
      <c r="T253" s="161" t="e">
        <f t="shared" si="52"/>
        <v>#REF!</v>
      </c>
      <c r="U253" s="161" t="e">
        <f t="shared" si="53"/>
        <v>#REF!</v>
      </c>
      <c r="V253" s="134" t="e">
        <f t="shared" si="54"/>
        <v>#REF!</v>
      </c>
      <c r="W253" s="134" t="e">
        <f t="shared" si="55"/>
        <v>#REF!</v>
      </c>
      <c r="X253" s="134" t="e">
        <f t="shared" si="56"/>
        <v>#REF!</v>
      </c>
    </row>
    <row r="254" spans="2:24" ht="15.75" thickBot="1" x14ac:dyDescent="0.3">
      <c r="B254" s="1253"/>
      <c r="C254" s="36" t="e">
        <f>'Combustão Móvel'!#REF!</f>
        <v>#REF!</v>
      </c>
      <c r="D254" s="156" t="e">
        <f>'Combustão Móvel'!#REF!</f>
        <v>#REF!</v>
      </c>
      <c r="E254" s="150" t="e">
        <f>'Combustão Móvel'!#REF!</f>
        <v>#REF!</v>
      </c>
      <c r="F254" s="150" t="e">
        <f t="shared" si="57"/>
        <v>#REF!</v>
      </c>
      <c r="G254" s="150" t="e">
        <f t="shared" si="58"/>
        <v>#REF!</v>
      </c>
      <c r="H254" s="150" t="e">
        <f t="shared" si="59"/>
        <v>#REF!</v>
      </c>
      <c r="I254" s="150" t="e">
        <f t="shared" si="60"/>
        <v>#REF!</v>
      </c>
      <c r="J254" s="150" t="e">
        <f t="shared" si="61"/>
        <v>#REF!</v>
      </c>
      <c r="K254" s="157" t="e">
        <f t="shared" si="62"/>
        <v>#REF!</v>
      </c>
      <c r="L254" s="64" t="e">
        <f>'Combustão Móvel'!#REF!</f>
        <v>#REF!</v>
      </c>
      <c r="M254" s="65" t="e">
        <f>'Combustão Móvel'!#REF!</f>
        <v>#REF!</v>
      </c>
      <c r="N254" s="150"/>
      <c r="O254" s="150" t="e">
        <f t="shared" si="49"/>
        <v>#REF!</v>
      </c>
      <c r="P254" s="150"/>
      <c r="Q254" s="150"/>
      <c r="R254" s="150" t="e">
        <f t="shared" si="50"/>
        <v>#REF!</v>
      </c>
      <c r="S254" s="150" t="e">
        <f t="shared" si="51"/>
        <v>#REF!</v>
      </c>
      <c r="T254" s="161" t="e">
        <f t="shared" si="52"/>
        <v>#REF!</v>
      </c>
      <c r="U254" s="161" t="e">
        <f t="shared" si="53"/>
        <v>#REF!</v>
      </c>
      <c r="V254" s="134" t="e">
        <f t="shared" si="54"/>
        <v>#REF!</v>
      </c>
      <c r="W254" s="134" t="e">
        <f t="shared" si="55"/>
        <v>#REF!</v>
      </c>
      <c r="X254" s="134" t="e">
        <f t="shared" si="56"/>
        <v>#REF!</v>
      </c>
    </row>
    <row r="255" spans="2:24" ht="15.75" thickBot="1" x14ac:dyDescent="0.3">
      <c r="B255" s="1253"/>
      <c r="C255" s="36" t="e">
        <f>'Combustão Móvel'!#REF!</f>
        <v>#REF!</v>
      </c>
      <c r="D255" s="156" t="e">
        <f>'Combustão Móvel'!#REF!</f>
        <v>#REF!</v>
      </c>
      <c r="E255" s="150" t="e">
        <f>'Combustão Móvel'!#REF!</f>
        <v>#REF!</v>
      </c>
      <c r="F255" s="150" t="e">
        <f t="shared" si="57"/>
        <v>#REF!</v>
      </c>
      <c r="G255" s="150" t="e">
        <f t="shared" si="58"/>
        <v>#REF!</v>
      </c>
      <c r="H255" s="150" t="e">
        <f t="shared" si="59"/>
        <v>#REF!</v>
      </c>
      <c r="I255" s="150" t="e">
        <f t="shared" si="60"/>
        <v>#REF!</v>
      </c>
      <c r="J255" s="150" t="e">
        <f t="shared" si="61"/>
        <v>#REF!</v>
      </c>
      <c r="K255" s="157" t="e">
        <f t="shared" si="62"/>
        <v>#REF!</v>
      </c>
      <c r="L255" s="64" t="e">
        <f>'Combustão Móvel'!#REF!</f>
        <v>#REF!</v>
      </c>
      <c r="M255" s="65" t="e">
        <f>'Combustão Móvel'!#REF!</f>
        <v>#REF!</v>
      </c>
      <c r="N255" s="150"/>
      <c r="O255" s="150" t="e">
        <f t="shared" si="49"/>
        <v>#REF!</v>
      </c>
      <c r="P255" s="150"/>
      <c r="Q255" s="150"/>
      <c r="R255" s="150" t="e">
        <f t="shared" si="50"/>
        <v>#REF!</v>
      </c>
      <c r="S255" s="150" t="e">
        <f t="shared" si="51"/>
        <v>#REF!</v>
      </c>
      <c r="T255" s="161" t="e">
        <f t="shared" si="52"/>
        <v>#REF!</v>
      </c>
      <c r="U255" s="161" t="e">
        <f t="shared" si="53"/>
        <v>#REF!</v>
      </c>
      <c r="V255" s="134" t="e">
        <f t="shared" si="54"/>
        <v>#REF!</v>
      </c>
      <c r="W255" s="134" t="e">
        <f t="shared" si="55"/>
        <v>#REF!</v>
      </c>
      <c r="X255" s="134" t="e">
        <f t="shared" si="56"/>
        <v>#REF!</v>
      </c>
    </row>
    <row r="256" spans="2:24" ht="15.75" thickBot="1" x14ac:dyDescent="0.3">
      <c r="B256" s="1253"/>
      <c r="C256" s="36" t="e">
        <f>'Combustão Móvel'!#REF!</f>
        <v>#REF!</v>
      </c>
      <c r="D256" s="156" t="e">
        <f>'Combustão Móvel'!#REF!</f>
        <v>#REF!</v>
      </c>
      <c r="E256" s="150" t="e">
        <f>'Combustão Móvel'!#REF!</f>
        <v>#REF!</v>
      </c>
      <c r="F256" s="150" t="e">
        <f t="shared" si="57"/>
        <v>#REF!</v>
      </c>
      <c r="G256" s="150" t="e">
        <f t="shared" si="58"/>
        <v>#REF!</v>
      </c>
      <c r="H256" s="150" t="e">
        <f t="shared" si="59"/>
        <v>#REF!</v>
      </c>
      <c r="I256" s="150" t="e">
        <f t="shared" si="60"/>
        <v>#REF!</v>
      </c>
      <c r="J256" s="150" t="e">
        <f t="shared" si="61"/>
        <v>#REF!</v>
      </c>
      <c r="K256" s="157" t="e">
        <f t="shared" si="62"/>
        <v>#REF!</v>
      </c>
      <c r="L256" s="64" t="e">
        <f>'Combustão Móvel'!#REF!</f>
        <v>#REF!</v>
      </c>
      <c r="M256" s="65" t="e">
        <f>'Combustão Móvel'!#REF!</f>
        <v>#REF!</v>
      </c>
      <c r="N256" s="150"/>
      <c r="O256" s="150" t="e">
        <f t="shared" si="49"/>
        <v>#REF!</v>
      </c>
      <c r="P256" s="150"/>
      <c r="Q256" s="150"/>
      <c r="R256" s="150" t="e">
        <f t="shared" si="50"/>
        <v>#REF!</v>
      </c>
      <c r="S256" s="150" t="e">
        <f t="shared" si="51"/>
        <v>#REF!</v>
      </c>
      <c r="T256" s="161" t="e">
        <f t="shared" si="52"/>
        <v>#REF!</v>
      </c>
      <c r="U256" s="161" t="e">
        <f t="shared" si="53"/>
        <v>#REF!</v>
      </c>
      <c r="V256" s="134" t="e">
        <f t="shared" si="54"/>
        <v>#REF!</v>
      </c>
      <c r="W256" s="134" t="e">
        <f t="shared" si="55"/>
        <v>#REF!</v>
      </c>
      <c r="X256" s="134" t="e">
        <f t="shared" si="56"/>
        <v>#REF!</v>
      </c>
    </row>
    <row r="257" spans="2:24" ht="15.75" thickBot="1" x14ac:dyDescent="0.3">
      <c r="B257" s="1253"/>
      <c r="C257" s="36" t="e">
        <f>'Combustão Móvel'!#REF!</f>
        <v>#REF!</v>
      </c>
      <c r="D257" s="156" t="e">
        <f>'Combustão Móvel'!#REF!</f>
        <v>#REF!</v>
      </c>
      <c r="E257" s="150" t="e">
        <f>'Combustão Móvel'!#REF!</f>
        <v>#REF!</v>
      </c>
      <c r="F257" s="150" t="e">
        <f t="shared" si="57"/>
        <v>#REF!</v>
      </c>
      <c r="G257" s="150" t="e">
        <f t="shared" si="58"/>
        <v>#REF!</v>
      </c>
      <c r="H257" s="150" t="e">
        <f t="shared" si="59"/>
        <v>#REF!</v>
      </c>
      <c r="I257" s="150" t="e">
        <f t="shared" si="60"/>
        <v>#REF!</v>
      </c>
      <c r="J257" s="150" t="e">
        <f t="shared" si="61"/>
        <v>#REF!</v>
      </c>
      <c r="K257" s="157" t="e">
        <f t="shared" si="62"/>
        <v>#REF!</v>
      </c>
      <c r="L257" s="64" t="e">
        <f>'Combustão Móvel'!#REF!</f>
        <v>#REF!</v>
      </c>
      <c r="M257" s="65" t="e">
        <f>'Combustão Móvel'!#REF!</f>
        <v>#REF!</v>
      </c>
      <c r="N257" s="150"/>
      <c r="O257" s="150" t="e">
        <f t="shared" si="49"/>
        <v>#REF!</v>
      </c>
      <c r="P257" s="150"/>
      <c r="Q257" s="150"/>
      <c r="R257" s="150" t="e">
        <f t="shared" si="50"/>
        <v>#REF!</v>
      </c>
      <c r="S257" s="150" t="e">
        <f t="shared" si="51"/>
        <v>#REF!</v>
      </c>
      <c r="T257" s="161" t="e">
        <f t="shared" si="52"/>
        <v>#REF!</v>
      </c>
      <c r="U257" s="161" t="e">
        <f t="shared" si="53"/>
        <v>#REF!</v>
      </c>
      <c r="V257" s="134" t="e">
        <f t="shared" si="54"/>
        <v>#REF!</v>
      </c>
      <c r="W257" s="134" t="e">
        <f t="shared" si="55"/>
        <v>#REF!</v>
      </c>
      <c r="X257" s="134" t="e">
        <f t="shared" si="56"/>
        <v>#REF!</v>
      </c>
    </row>
    <row r="258" spans="2:24" ht="15.75" thickBot="1" x14ac:dyDescent="0.3">
      <c r="B258" s="1253"/>
      <c r="C258" s="36" t="e">
        <f>'Combustão Móvel'!#REF!</f>
        <v>#REF!</v>
      </c>
      <c r="D258" s="156" t="e">
        <f>'Combustão Móvel'!#REF!</f>
        <v>#REF!</v>
      </c>
      <c r="E258" s="150" t="e">
        <f>'Combustão Móvel'!#REF!</f>
        <v>#REF!</v>
      </c>
      <c r="F258" s="150" t="e">
        <f t="shared" si="57"/>
        <v>#REF!</v>
      </c>
      <c r="G258" s="150" t="e">
        <f t="shared" si="58"/>
        <v>#REF!</v>
      </c>
      <c r="H258" s="150" t="e">
        <f t="shared" si="59"/>
        <v>#REF!</v>
      </c>
      <c r="I258" s="150" t="e">
        <f t="shared" si="60"/>
        <v>#REF!</v>
      </c>
      <c r="J258" s="150" t="e">
        <f t="shared" si="61"/>
        <v>#REF!</v>
      </c>
      <c r="K258" s="157" t="e">
        <f t="shared" si="62"/>
        <v>#REF!</v>
      </c>
      <c r="L258" s="64" t="e">
        <f>'Combustão Móvel'!#REF!</f>
        <v>#REF!</v>
      </c>
      <c r="M258" s="65" t="e">
        <f>'Combustão Móvel'!#REF!</f>
        <v>#REF!</v>
      </c>
      <c r="N258" s="150"/>
      <c r="O258" s="150" t="e">
        <f t="shared" si="49"/>
        <v>#REF!</v>
      </c>
      <c r="P258" s="150"/>
      <c r="Q258" s="150"/>
      <c r="R258" s="150" t="e">
        <f t="shared" si="50"/>
        <v>#REF!</v>
      </c>
      <c r="S258" s="150" t="e">
        <f t="shared" si="51"/>
        <v>#REF!</v>
      </c>
      <c r="T258" s="161" t="e">
        <f t="shared" si="52"/>
        <v>#REF!</v>
      </c>
      <c r="U258" s="161" t="e">
        <f t="shared" si="53"/>
        <v>#REF!</v>
      </c>
      <c r="V258" s="134" t="e">
        <f t="shared" si="54"/>
        <v>#REF!</v>
      </c>
      <c r="W258" s="134" t="e">
        <f t="shared" si="55"/>
        <v>#REF!</v>
      </c>
      <c r="X258" s="134" t="e">
        <f t="shared" si="56"/>
        <v>#REF!</v>
      </c>
    </row>
    <row r="259" spans="2:24" ht="15.75" thickBot="1" x14ac:dyDescent="0.3">
      <c r="B259" s="1253"/>
      <c r="C259" s="36" t="e">
        <f>'Combustão Móvel'!#REF!</f>
        <v>#REF!</v>
      </c>
      <c r="D259" s="156" t="e">
        <f>'Combustão Móvel'!#REF!</f>
        <v>#REF!</v>
      </c>
      <c r="E259" s="150" t="e">
        <f>'Combustão Móvel'!#REF!</f>
        <v>#REF!</v>
      </c>
      <c r="F259" s="150" t="e">
        <f t="shared" si="57"/>
        <v>#REF!</v>
      </c>
      <c r="G259" s="150" t="e">
        <f t="shared" si="58"/>
        <v>#REF!</v>
      </c>
      <c r="H259" s="150" t="e">
        <f t="shared" si="59"/>
        <v>#REF!</v>
      </c>
      <c r="I259" s="150" t="e">
        <f t="shared" si="60"/>
        <v>#REF!</v>
      </c>
      <c r="J259" s="150" t="e">
        <f t="shared" si="61"/>
        <v>#REF!</v>
      </c>
      <c r="K259" s="157" t="e">
        <f t="shared" si="62"/>
        <v>#REF!</v>
      </c>
      <c r="L259" s="64" t="e">
        <f>'Combustão Móvel'!#REF!</f>
        <v>#REF!</v>
      </c>
      <c r="M259" s="65" t="e">
        <f>'Combustão Móvel'!#REF!</f>
        <v>#REF!</v>
      </c>
      <c r="N259" s="150"/>
      <c r="O259" s="150" t="e">
        <f t="shared" si="49"/>
        <v>#REF!</v>
      </c>
      <c r="P259" s="150"/>
      <c r="Q259" s="150"/>
      <c r="R259" s="150" t="e">
        <f t="shared" si="50"/>
        <v>#REF!</v>
      </c>
      <c r="S259" s="150" t="e">
        <f t="shared" si="51"/>
        <v>#REF!</v>
      </c>
      <c r="T259" s="161" t="e">
        <f t="shared" si="52"/>
        <v>#REF!</v>
      </c>
      <c r="U259" s="161" t="e">
        <f t="shared" si="53"/>
        <v>#REF!</v>
      </c>
      <c r="V259" s="134" t="e">
        <f t="shared" si="54"/>
        <v>#REF!</v>
      </c>
      <c r="W259" s="134" t="e">
        <f t="shared" si="55"/>
        <v>#REF!</v>
      </c>
      <c r="X259" s="134" t="e">
        <f t="shared" si="56"/>
        <v>#REF!</v>
      </c>
    </row>
    <row r="260" spans="2:24" ht="15.75" thickBot="1" x14ac:dyDescent="0.3">
      <c r="B260" s="1253"/>
      <c r="C260" s="36" t="e">
        <f>'Combustão Móvel'!#REF!</f>
        <v>#REF!</v>
      </c>
      <c r="D260" s="156" t="e">
        <f>'Combustão Móvel'!#REF!</f>
        <v>#REF!</v>
      </c>
      <c r="E260" s="150" t="e">
        <f>'Combustão Móvel'!#REF!</f>
        <v>#REF!</v>
      </c>
      <c r="F260" s="150" t="e">
        <f t="shared" si="57"/>
        <v>#REF!</v>
      </c>
      <c r="G260" s="150" t="e">
        <f t="shared" si="58"/>
        <v>#REF!</v>
      </c>
      <c r="H260" s="150" t="e">
        <f t="shared" si="59"/>
        <v>#REF!</v>
      </c>
      <c r="I260" s="150" t="e">
        <f t="shared" si="60"/>
        <v>#REF!</v>
      </c>
      <c r="J260" s="150" t="e">
        <f t="shared" si="61"/>
        <v>#REF!</v>
      </c>
      <c r="K260" s="157" t="e">
        <f t="shared" si="62"/>
        <v>#REF!</v>
      </c>
      <c r="L260" s="64" t="e">
        <f>'Combustão Móvel'!#REF!</f>
        <v>#REF!</v>
      </c>
      <c r="M260" s="65" t="e">
        <f>'Combustão Móvel'!#REF!</f>
        <v>#REF!</v>
      </c>
      <c r="N260" s="150"/>
      <c r="O260" s="150" t="e">
        <f t="shared" si="49"/>
        <v>#REF!</v>
      </c>
      <c r="P260" s="150"/>
      <c r="Q260" s="150"/>
      <c r="R260" s="150" t="e">
        <f t="shared" si="50"/>
        <v>#REF!</v>
      </c>
      <c r="S260" s="150" t="e">
        <f t="shared" si="51"/>
        <v>#REF!</v>
      </c>
      <c r="T260" s="161" t="e">
        <f t="shared" si="52"/>
        <v>#REF!</v>
      </c>
      <c r="U260" s="161" t="e">
        <f t="shared" si="53"/>
        <v>#REF!</v>
      </c>
      <c r="V260" s="134" t="e">
        <f t="shared" si="54"/>
        <v>#REF!</v>
      </c>
      <c r="W260" s="134" t="e">
        <f t="shared" si="55"/>
        <v>#REF!</v>
      </c>
      <c r="X260" s="134" t="e">
        <f t="shared" si="56"/>
        <v>#REF!</v>
      </c>
    </row>
    <row r="261" spans="2:24" ht="15.75" thickBot="1" x14ac:dyDescent="0.3">
      <c r="B261" s="1253"/>
      <c r="C261" s="36" t="e">
        <f>'Combustão Móvel'!#REF!</f>
        <v>#REF!</v>
      </c>
      <c r="D261" s="156" t="e">
        <f>'Combustão Móvel'!#REF!</f>
        <v>#REF!</v>
      </c>
      <c r="E261" s="150" t="e">
        <f>'Combustão Móvel'!#REF!</f>
        <v>#REF!</v>
      </c>
      <c r="F261" s="150" t="e">
        <f t="shared" si="57"/>
        <v>#REF!</v>
      </c>
      <c r="G261" s="150" t="e">
        <f t="shared" si="58"/>
        <v>#REF!</v>
      </c>
      <c r="H261" s="150" t="e">
        <f t="shared" si="59"/>
        <v>#REF!</v>
      </c>
      <c r="I261" s="150" t="e">
        <f t="shared" si="60"/>
        <v>#REF!</v>
      </c>
      <c r="J261" s="150" t="e">
        <f t="shared" si="61"/>
        <v>#REF!</v>
      </c>
      <c r="K261" s="157" t="e">
        <f t="shared" si="62"/>
        <v>#REF!</v>
      </c>
      <c r="L261" s="64" t="e">
        <f>'Combustão Móvel'!#REF!</f>
        <v>#REF!</v>
      </c>
      <c r="M261" s="65" t="e">
        <f>'Combustão Móvel'!#REF!</f>
        <v>#REF!</v>
      </c>
      <c r="N261" s="150"/>
      <c r="O261" s="150" t="e">
        <f t="shared" si="49"/>
        <v>#REF!</v>
      </c>
      <c r="P261" s="150"/>
      <c r="Q261" s="150"/>
      <c r="R261" s="150" t="e">
        <f t="shared" si="50"/>
        <v>#REF!</v>
      </c>
      <c r="S261" s="150" t="e">
        <f t="shared" si="51"/>
        <v>#REF!</v>
      </c>
      <c r="T261" s="161" t="e">
        <f t="shared" si="52"/>
        <v>#REF!</v>
      </c>
      <c r="U261" s="161" t="e">
        <f t="shared" si="53"/>
        <v>#REF!</v>
      </c>
      <c r="V261" s="134" t="e">
        <f t="shared" si="54"/>
        <v>#REF!</v>
      </c>
      <c r="W261" s="134" t="e">
        <f t="shared" si="55"/>
        <v>#REF!</v>
      </c>
      <c r="X261" s="134" t="e">
        <f t="shared" si="56"/>
        <v>#REF!</v>
      </c>
    </row>
    <row r="262" spans="2:24" ht="15.75" thickBot="1" x14ac:dyDescent="0.3">
      <c r="B262" s="1253"/>
      <c r="C262" s="36" t="e">
        <f>'Combustão Móvel'!#REF!</f>
        <v>#REF!</v>
      </c>
      <c r="D262" s="156" t="e">
        <f>'Combustão Móvel'!#REF!</f>
        <v>#REF!</v>
      </c>
      <c r="E262" s="150" t="e">
        <f>'Combustão Móvel'!#REF!</f>
        <v>#REF!</v>
      </c>
      <c r="F262" s="150" t="e">
        <f t="shared" si="57"/>
        <v>#REF!</v>
      </c>
      <c r="G262" s="150" t="e">
        <f t="shared" si="58"/>
        <v>#REF!</v>
      </c>
      <c r="H262" s="150" t="e">
        <f t="shared" si="59"/>
        <v>#REF!</v>
      </c>
      <c r="I262" s="150" t="e">
        <f t="shared" si="60"/>
        <v>#REF!</v>
      </c>
      <c r="J262" s="150" t="e">
        <f t="shared" si="61"/>
        <v>#REF!</v>
      </c>
      <c r="K262" s="157" t="e">
        <f t="shared" si="62"/>
        <v>#REF!</v>
      </c>
      <c r="L262" s="64" t="e">
        <f>'Combustão Móvel'!#REF!</f>
        <v>#REF!</v>
      </c>
      <c r="M262" s="65" t="e">
        <f>'Combustão Móvel'!#REF!</f>
        <v>#REF!</v>
      </c>
      <c r="N262" s="150"/>
      <c r="O262" s="150" t="e">
        <f t="shared" si="49"/>
        <v>#REF!</v>
      </c>
      <c r="P262" s="150"/>
      <c r="Q262" s="150"/>
      <c r="R262" s="150" t="e">
        <f t="shared" si="50"/>
        <v>#REF!</v>
      </c>
      <c r="S262" s="150" t="e">
        <f t="shared" si="51"/>
        <v>#REF!</v>
      </c>
      <c r="T262" s="161" t="e">
        <f t="shared" si="52"/>
        <v>#REF!</v>
      </c>
      <c r="U262" s="161" t="e">
        <f t="shared" si="53"/>
        <v>#REF!</v>
      </c>
      <c r="V262" s="134" t="e">
        <f t="shared" si="54"/>
        <v>#REF!</v>
      </c>
      <c r="W262" s="134" t="e">
        <f t="shared" si="55"/>
        <v>#REF!</v>
      </c>
      <c r="X262" s="134" t="e">
        <f t="shared" si="56"/>
        <v>#REF!</v>
      </c>
    </row>
    <row r="263" spans="2:24" ht="15.75" thickBot="1" x14ac:dyDescent="0.3">
      <c r="B263" s="1253"/>
      <c r="C263" s="36" t="e">
        <f>'Combustão Móvel'!#REF!</f>
        <v>#REF!</v>
      </c>
      <c r="D263" s="156" t="e">
        <f>'Combustão Móvel'!#REF!</f>
        <v>#REF!</v>
      </c>
      <c r="E263" s="150" t="e">
        <f>'Combustão Móvel'!#REF!</f>
        <v>#REF!</v>
      </c>
      <c r="F263" s="150" t="e">
        <f t="shared" si="57"/>
        <v>#REF!</v>
      </c>
      <c r="G263" s="150" t="e">
        <f t="shared" si="58"/>
        <v>#REF!</v>
      </c>
      <c r="H263" s="150" t="e">
        <f t="shared" si="59"/>
        <v>#REF!</v>
      </c>
      <c r="I263" s="150" t="e">
        <f t="shared" si="60"/>
        <v>#REF!</v>
      </c>
      <c r="J263" s="150" t="e">
        <f t="shared" si="61"/>
        <v>#REF!</v>
      </c>
      <c r="K263" s="157" t="e">
        <f t="shared" si="62"/>
        <v>#REF!</v>
      </c>
      <c r="L263" s="64" t="e">
        <f>'Combustão Móvel'!#REF!</f>
        <v>#REF!</v>
      </c>
      <c r="M263" s="65" t="e">
        <f>'Combustão Móvel'!#REF!</f>
        <v>#REF!</v>
      </c>
      <c r="N263" s="150"/>
      <c r="O263" s="150" t="e">
        <f t="shared" si="49"/>
        <v>#REF!</v>
      </c>
      <c r="P263" s="150"/>
      <c r="Q263" s="150"/>
      <c r="R263" s="150" t="e">
        <f t="shared" si="50"/>
        <v>#REF!</v>
      </c>
      <c r="S263" s="150" t="e">
        <f t="shared" si="51"/>
        <v>#REF!</v>
      </c>
      <c r="T263" s="161" t="e">
        <f t="shared" si="52"/>
        <v>#REF!</v>
      </c>
      <c r="U263" s="161" t="e">
        <f t="shared" si="53"/>
        <v>#REF!</v>
      </c>
      <c r="V263" s="134" t="e">
        <f t="shared" si="54"/>
        <v>#REF!</v>
      </c>
      <c r="W263" s="134" t="e">
        <f t="shared" si="55"/>
        <v>#REF!</v>
      </c>
      <c r="X263" s="134" t="e">
        <f t="shared" si="56"/>
        <v>#REF!</v>
      </c>
    </row>
    <row r="264" spans="2:24" ht="15.75" thickBot="1" x14ac:dyDescent="0.3">
      <c r="B264" s="1253"/>
      <c r="C264" s="36" t="e">
        <f>'Combustão Móvel'!#REF!</f>
        <v>#REF!</v>
      </c>
      <c r="D264" s="156" t="e">
        <f>'Combustão Móvel'!#REF!</f>
        <v>#REF!</v>
      </c>
      <c r="E264" s="150" t="e">
        <f>'Combustão Móvel'!#REF!</f>
        <v>#REF!</v>
      </c>
      <c r="F264" s="150" t="e">
        <f t="shared" si="57"/>
        <v>#REF!</v>
      </c>
      <c r="G264" s="150" t="e">
        <f t="shared" si="58"/>
        <v>#REF!</v>
      </c>
      <c r="H264" s="150" t="e">
        <f t="shared" si="59"/>
        <v>#REF!</v>
      </c>
      <c r="I264" s="150" t="e">
        <f t="shared" si="60"/>
        <v>#REF!</v>
      </c>
      <c r="J264" s="150" t="e">
        <f t="shared" si="61"/>
        <v>#REF!</v>
      </c>
      <c r="K264" s="157" t="e">
        <f t="shared" si="62"/>
        <v>#REF!</v>
      </c>
      <c r="L264" s="64" t="e">
        <f>'Combustão Móvel'!#REF!</f>
        <v>#REF!</v>
      </c>
      <c r="M264" s="65" t="e">
        <f>'Combustão Móvel'!#REF!</f>
        <v>#REF!</v>
      </c>
      <c r="N264" s="150"/>
      <c r="O264" s="150" t="e">
        <f t="shared" si="49"/>
        <v>#REF!</v>
      </c>
      <c r="P264" s="150"/>
      <c r="Q264" s="150"/>
      <c r="R264" s="150" t="e">
        <f t="shared" si="50"/>
        <v>#REF!</v>
      </c>
      <c r="S264" s="150" t="e">
        <f t="shared" si="51"/>
        <v>#REF!</v>
      </c>
      <c r="T264" s="161" t="e">
        <f t="shared" si="52"/>
        <v>#REF!</v>
      </c>
      <c r="U264" s="161" t="e">
        <f t="shared" si="53"/>
        <v>#REF!</v>
      </c>
      <c r="V264" s="134" t="e">
        <f t="shared" si="54"/>
        <v>#REF!</v>
      </c>
      <c r="W264" s="134" t="e">
        <f t="shared" si="55"/>
        <v>#REF!</v>
      </c>
      <c r="X264" s="134" t="e">
        <f t="shared" si="56"/>
        <v>#REF!</v>
      </c>
    </row>
    <row r="265" spans="2:24" ht="15.75" thickBot="1" x14ac:dyDescent="0.3">
      <c r="B265" s="1253"/>
      <c r="C265" s="36" t="e">
        <f>'Combustão Móvel'!#REF!</f>
        <v>#REF!</v>
      </c>
      <c r="D265" s="156" t="e">
        <f>'Combustão Móvel'!#REF!</f>
        <v>#REF!</v>
      </c>
      <c r="E265" s="150" t="e">
        <f>'Combustão Móvel'!#REF!</f>
        <v>#REF!</v>
      </c>
      <c r="F265" s="150" t="e">
        <f t="shared" si="57"/>
        <v>#REF!</v>
      </c>
      <c r="G265" s="150" t="e">
        <f t="shared" si="58"/>
        <v>#REF!</v>
      </c>
      <c r="H265" s="150" t="e">
        <f t="shared" si="59"/>
        <v>#REF!</v>
      </c>
      <c r="I265" s="150" t="e">
        <f t="shared" si="60"/>
        <v>#REF!</v>
      </c>
      <c r="J265" s="150" t="e">
        <f t="shared" si="61"/>
        <v>#REF!</v>
      </c>
      <c r="K265" s="157" t="e">
        <f t="shared" si="62"/>
        <v>#REF!</v>
      </c>
      <c r="L265" s="64" t="e">
        <f>'Combustão Móvel'!#REF!</f>
        <v>#REF!</v>
      </c>
      <c r="M265" s="65" t="e">
        <f>'Combustão Móvel'!#REF!</f>
        <v>#REF!</v>
      </c>
      <c r="N265" s="150"/>
      <c r="O265" s="150" t="e">
        <f t="shared" si="49"/>
        <v>#REF!</v>
      </c>
      <c r="P265" s="150"/>
      <c r="Q265" s="150"/>
      <c r="R265" s="150" t="e">
        <f t="shared" si="50"/>
        <v>#REF!</v>
      </c>
      <c r="S265" s="150" t="e">
        <f t="shared" si="51"/>
        <v>#REF!</v>
      </c>
      <c r="T265" s="161" t="e">
        <f t="shared" si="52"/>
        <v>#REF!</v>
      </c>
      <c r="U265" s="161" t="e">
        <f t="shared" si="53"/>
        <v>#REF!</v>
      </c>
      <c r="V265" s="134" t="e">
        <f t="shared" si="54"/>
        <v>#REF!</v>
      </c>
      <c r="W265" s="134" t="e">
        <f t="shared" si="55"/>
        <v>#REF!</v>
      </c>
      <c r="X265" s="134" t="e">
        <f t="shared" si="56"/>
        <v>#REF!</v>
      </c>
    </row>
    <row r="266" spans="2:24" ht="15.75" thickBot="1" x14ac:dyDescent="0.3">
      <c r="B266" s="1253"/>
      <c r="C266" s="36" t="e">
        <f>'Combustão Móvel'!#REF!</f>
        <v>#REF!</v>
      </c>
      <c r="D266" s="156" t="e">
        <f>'Combustão Móvel'!#REF!</f>
        <v>#REF!</v>
      </c>
      <c r="E266" s="150" t="e">
        <f>'Combustão Móvel'!#REF!</f>
        <v>#REF!</v>
      </c>
      <c r="F266" s="150" t="e">
        <f t="shared" si="57"/>
        <v>#REF!</v>
      </c>
      <c r="G266" s="150" t="e">
        <f t="shared" si="58"/>
        <v>#REF!</v>
      </c>
      <c r="H266" s="150" t="e">
        <f t="shared" si="59"/>
        <v>#REF!</v>
      </c>
      <c r="I266" s="150" t="e">
        <f t="shared" si="60"/>
        <v>#REF!</v>
      </c>
      <c r="J266" s="150" t="e">
        <f t="shared" si="61"/>
        <v>#REF!</v>
      </c>
      <c r="K266" s="157" t="e">
        <f t="shared" si="62"/>
        <v>#REF!</v>
      </c>
      <c r="L266" s="64" t="e">
        <f>'Combustão Móvel'!#REF!</f>
        <v>#REF!</v>
      </c>
      <c r="M266" s="65" t="e">
        <f>'Combustão Móvel'!#REF!</f>
        <v>#REF!</v>
      </c>
      <c r="N266" s="150"/>
      <c r="O266" s="150" t="e">
        <f t="shared" si="49"/>
        <v>#REF!</v>
      </c>
      <c r="P266" s="150"/>
      <c r="Q266" s="150"/>
      <c r="R266" s="150" t="e">
        <f t="shared" si="50"/>
        <v>#REF!</v>
      </c>
      <c r="S266" s="150" t="e">
        <f t="shared" si="51"/>
        <v>#REF!</v>
      </c>
      <c r="T266" s="161" t="e">
        <f t="shared" si="52"/>
        <v>#REF!</v>
      </c>
      <c r="U266" s="161" t="e">
        <f t="shared" si="53"/>
        <v>#REF!</v>
      </c>
      <c r="V266" s="134" t="e">
        <f t="shared" si="54"/>
        <v>#REF!</v>
      </c>
      <c r="W266" s="134" t="e">
        <f t="shared" si="55"/>
        <v>#REF!</v>
      </c>
      <c r="X266" s="134" t="e">
        <f t="shared" si="56"/>
        <v>#REF!</v>
      </c>
    </row>
    <row r="267" spans="2:24" ht="15.75" thickBot="1" x14ac:dyDescent="0.3">
      <c r="B267" s="1253"/>
      <c r="C267" s="36" t="e">
        <f>'Combustão Móvel'!#REF!</f>
        <v>#REF!</v>
      </c>
      <c r="D267" s="156" t="e">
        <f>'Combustão Móvel'!#REF!</f>
        <v>#REF!</v>
      </c>
      <c r="E267" s="150" t="e">
        <f>'Combustão Móvel'!#REF!</f>
        <v>#REF!</v>
      </c>
      <c r="F267" s="150" t="e">
        <f t="shared" si="57"/>
        <v>#REF!</v>
      </c>
      <c r="G267" s="150" t="e">
        <f t="shared" si="58"/>
        <v>#REF!</v>
      </c>
      <c r="H267" s="150" t="e">
        <f t="shared" si="59"/>
        <v>#REF!</v>
      </c>
      <c r="I267" s="150" t="e">
        <f t="shared" si="60"/>
        <v>#REF!</v>
      </c>
      <c r="J267" s="150" t="e">
        <f t="shared" si="61"/>
        <v>#REF!</v>
      </c>
      <c r="K267" s="157" t="e">
        <f t="shared" si="62"/>
        <v>#REF!</v>
      </c>
      <c r="L267" s="64" t="e">
        <f>'Combustão Móvel'!#REF!</f>
        <v>#REF!</v>
      </c>
      <c r="M267" s="65" t="e">
        <f>'Combustão Móvel'!#REF!</f>
        <v>#REF!</v>
      </c>
      <c r="N267" s="150"/>
      <c r="O267" s="150" t="e">
        <f t="shared" si="49"/>
        <v>#REF!</v>
      </c>
      <c r="P267" s="150"/>
      <c r="Q267" s="150"/>
      <c r="R267" s="150" t="e">
        <f t="shared" si="50"/>
        <v>#REF!</v>
      </c>
      <c r="S267" s="150" t="e">
        <f t="shared" si="51"/>
        <v>#REF!</v>
      </c>
      <c r="T267" s="161" t="e">
        <f t="shared" si="52"/>
        <v>#REF!</v>
      </c>
      <c r="U267" s="161" t="e">
        <f t="shared" si="53"/>
        <v>#REF!</v>
      </c>
      <c r="V267" s="134" t="e">
        <f t="shared" si="54"/>
        <v>#REF!</v>
      </c>
      <c r="W267" s="134" t="e">
        <f t="shared" si="55"/>
        <v>#REF!</v>
      </c>
      <c r="X267" s="134" t="e">
        <f t="shared" si="56"/>
        <v>#REF!</v>
      </c>
    </row>
    <row r="268" spans="2:24" ht="15.75" thickBot="1" x14ac:dyDescent="0.3">
      <c r="B268" s="1253"/>
      <c r="C268" s="36" t="e">
        <f>'Combustão Móvel'!#REF!</f>
        <v>#REF!</v>
      </c>
      <c r="D268" s="156" t="e">
        <f>'Combustão Móvel'!#REF!</f>
        <v>#REF!</v>
      </c>
      <c r="E268" s="150" t="e">
        <f>'Combustão Móvel'!#REF!</f>
        <v>#REF!</v>
      </c>
      <c r="F268" s="150" t="e">
        <f t="shared" si="57"/>
        <v>#REF!</v>
      </c>
      <c r="G268" s="150" t="e">
        <f t="shared" si="58"/>
        <v>#REF!</v>
      </c>
      <c r="H268" s="150" t="e">
        <f t="shared" si="59"/>
        <v>#REF!</v>
      </c>
      <c r="I268" s="150" t="e">
        <f t="shared" si="60"/>
        <v>#REF!</v>
      </c>
      <c r="J268" s="150" t="e">
        <f t="shared" si="61"/>
        <v>#REF!</v>
      </c>
      <c r="K268" s="157" t="e">
        <f t="shared" si="62"/>
        <v>#REF!</v>
      </c>
      <c r="L268" s="64" t="e">
        <f>'Combustão Móvel'!#REF!</f>
        <v>#REF!</v>
      </c>
      <c r="M268" s="65" t="e">
        <f>'Combustão Móvel'!#REF!</f>
        <v>#REF!</v>
      </c>
      <c r="N268" s="150"/>
      <c r="O268" s="150" t="e">
        <f t="shared" si="49"/>
        <v>#REF!</v>
      </c>
      <c r="P268" s="150"/>
      <c r="Q268" s="150"/>
      <c r="R268" s="150" t="e">
        <f t="shared" si="50"/>
        <v>#REF!</v>
      </c>
      <c r="S268" s="150" t="e">
        <f t="shared" si="51"/>
        <v>#REF!</v>
      </c>
      <c r="T268" s="161" t="e">
        <f t="shared" si="52"/>
        <v>#REF!</v>
      </c>
      <c r="U268" s="161" t="e">
        <f t="shared" si="53"/>
        <v>#REF!</v>
      </c>
      <c r="V268" s="134" t="e">
        <f t="shared" si="54"/>
        <v>#REF!</v>
      </c>
      <c r="W268" s="134" t="e">
        <f t="shared" si="55"/>
        <v>#REF!</v>
      </c>
      <c r="X268" s="134" t="e">
        <f t="shared" si="56"/>
        <v>#REF!</v>
      </c>
    </row>
    <row r="269" spans="2:24" ht="15.75" thickBot="1" x14ac:dyDescent="0.3">
      <c r="B269" s="1253"/>
      <c r="C269" s="36" t="e">
        <f>'Combustão Móvel'!#REF!</f>
        <v>#REF!</v>
      </c>
      <c r="D269" s="156" t="e">
        <f>'Combustão Móvel'!#REF!</f>
        <v>#REF!</v>
      </c>
      <c r="E269" s="150" t="e">
        <f>'Combustão Móvel'!#REF!</f>
        <v>#REF!</v>
      </c>
      <c r="F269" s="150" t="e">
        <f t="shared" si="57"/>
        <v>#REF!</v>
      </c>
      <c r="G269" s="150" t="e">
        <f t="shared" si="58"/>
        <v>#REF!</v>
      </c>
      <c r="H269" s="150" t="e">
        <f t="shared" si="59"/>
        <v>#REF!</v>
      </c>
      <c r="I269" s="150" t="e">
        <f t="shared" si="60"/>
        <v>#REF!</v>
      </c>
      <c r="J269" s="150" t="e">
        <f t="shared" si="61"/>
        <v>#REF!</v>
      </c>
      <c r="K269" s="157" t="e">
        <f t="shared" si="62"/>
        <v>#REF!</v>
      </c>
      <c r="L269" s="64" t="e">
        <f>'Combustão Móvel'!#REF!</f>
        <v>#REF!</v>
      </c>
      <c r="M269" s="65" t="e">
        <f>'Combustão Móvel'!#REF!</f>
        <v>#REF!</v>
      </c>
      <c r="N269" s="150"/>
      <c r="O269" s="150" t="e">
        <f t="shared" si="49"/>
        <v>#REF!</v>
      </c>
      <c r="P269" s="150"/>
      <c r="Q269" s="150"/>
      <c r="R269" s="150" t="e">
        <f t="shared" si="50"/>
        <v>#REF!</v>
      </c>
      <c r="S269" s="150" t="e">
        <f t="shared" si="51"/>
        <v>#REF!</v>
      </c>
      <c r="T269" s="161" t="e">
        <f t="shared" si="52"/>
        <v>#REF!</v>
      </c>
      <c r="U269" s="161" t="e">
        <f t="shared" si="53"/>
        <v>#REF!</v>
      </c>
      <c r="V269" s="134" t="e">
        <f t="shared" si="54"/>
        <v>#REF!</v>
      </c>
      <c r="W269" s="134" t="e">
        <f t="shared" si="55"/>
        <v>#REF!</v>
      </c>
      <c r="X269" s="134" t="e">
        <f t="shared" si="56"/>
        <v>#REF!</v>
      </c>
    </row>
    <row r="270" spans="2:24" ht="15.75" thickBot="1" x14ac:dyDescent="0.3">
      <c r="B270" s="1253"/>
      <c r="C270" s="36" t="e">
        <f>'Combustão Móvel'!#REF!</f>
        <v>#REF!</v>
      </c>
      <c r="D270" s="156" t="e">
        <f>'Combustão Móvel'!#REF!</f>
        <v>#REF!</v>
      </c>
      <c r="E270" s="150" t="e">
        <f>'Combustão Móvel'!#REF!</f>
        <v>#REF!</v>
      </c>
      <c r="F270" s="150" t="e">
        <f t="shared" si="57"/>
        <v>#REF!</v>
      </c>
      <c r="G270" s="150" t="e">
        <f t="shared" si="58"/>
        <v>#REF!</v>
      </c>
      <c r="H270" s="150" t="e">
        <f t="shared" si="59"/>
        <v>#REF!</v>
      </c>
      <c r="I270" s="150" t="e">
        <f t="shared" si="60"/>
        <v>#REF!</v>
      </c>
      <c r="J270" s="150" t="e">
        <f t="shared" si="61"/>
        <v>#REF!</v>
      </c>
      <c r="K270" s="157" t="e">
        <f t="shared" si="62"/>
        <v>#REF!</v>
      </c>
      <c r="L270" s="64" t="e">
        <f>'Combustão Móvel'!#REF!</f>
        <v>#REF!</v>
      </c>
      <c r="M270" s="65" t="e">
        <f>'Combustão Móvel'!#REF!</f>
        <v>#REF!</v>
      </c>
      <c r="N270" s="150"/>
      <c r="O270" s="150" t="e">
        <f t="shared" si="49"/>
        <v>#REF!</v>
      </c>
      <c r="P270" s="150"/>
      <c r="Q270" s="150"/>
      <c r="R270" s="150" t="e">
        <f t="shared" si="50"/>
        <v>#REF!</v>
      </c>
      <c r="S270" s="150" t="e">
        <f t="shared" si="51"/>
        <v>#REF!</v>
      </c>
      <c r="T270" s="161" t="e">
        <f t="shared" si="52"/>
        <v>#REF!</v>
      </c>
      <c r="U270" s="161" t="e">
        <f t="shared" si="53"/>
        <v>#REF!</v>
      </c>
      <c r="V270" s="134" t="e">
        <f t="shared" si="54"/>
        <v>#REF!</v>
      </c>
      <c r="W270" s="134" t="e">
        <f t="shared" si="55"/>
        <v>#REF!</v>
      </c>
      <c r="X270" s="134" t="e">
        <f t="shared" si="56"/>
        <v>#REF!</v>
      </c>
    </row>
    <row r="271" spans="2:24" ht="15.75" thickBot="1" x14ac:dyDescent="0.3">
      <c r="B271" s="1253"/>
      <c r="C271" s="36" t="e">
        <f>'Combustão Móvel'!#REF!</f>
        <v>#REF!</v>
      </c>
      <c r="D271" s="156" t="e">
        <f>'Combustão Móvel'!#REF!</f>
        <v>#REF!</v>
      </c>
      <c r="E271" s="150" t="e">
        <f>'Combustão Móvel'!#REF!</f>
        <v>#REF!</v>
      </c>
      <c r="F271" s="150" t="e">
        <f t="shared" si="57"/>
        <v>#REF!</v>
      </c>
      <c r="G271" s="150" t="e">
        <f t="shared" si="58"/>
        <v>#REF!</v>
      </c>
      <c r="H271" s="150" t="e">
        <f t="shared" si="59"/>
        <v>#REF!</v>
      </c>
      <c r="I271" s="150" t="e">
        <f t="shared" si="60"/>
        <v>#REF!</v>
      </c>
      <c r="J271" s="150" t="e">
        <f t="shared" si="61"/>
        <v>#REF!</v>
      </c>
      <c r="K271" s="157" t="e">
        <f t="shared" si="62"/>
        <v>#REF!</v>
      </c>
      <c r="L271" s="64" t="e">
        <f>'Combustão Móvel'!#REF!</f>
        <v>#REF!</v>
      </c>
      <c r="M271" s="65" t="e">
        <f>'Combustão Móvel'!#REF!</f>
        <v>#REF!</v>
      </c>
      <c r="N271" s="150"/>
      <c r="O271" s="150" t="e">
        <f t="shared" si="49"/>
        <v>#REF!</v>
      </c>
      <c r="P271" s="150"/>
      <c r="Q271" s="150"/>
      <c r="R271" s="150" t="e">
        <f t="shared" si="50"/>
        <v>#REF!</v>
      </c>
      <c r="S271" s="150" t="e">
        <f t="shared" si="51"/>
        <v>#REF!</v>
      </c>
      <c r="T271" s="161" t="e">
        <f t="shared" si="52"/>
        <v>#REF!</v>
      </c>
      <c r="U271" s="161" t="e">
        <f t="shared" si="53"/>
        <v>#REF!</v>
      </c>
      <c r="V271" s="134" t="e">
        <f t="shared" si="54"/>
        <v>#REF!</v>
      </c>
      <c r="W271" s="134" t="e">
        <f t="shared" si="55"/>
        <v>#REF!</v>
      </c>
      <c r="X271" s="134" t="e">
        <f t="shared" si="56"/>
        <v>#REF!</v>
      </c>
    </row>
    <row r="272" spans="2:24" ht="15.75" thickBot="1" x14ac:dyDescent="0.3">
      <c r="B272" s="1253"/>
      <c r="C272" s="36" t="e">
        <f>'Combustão Móvel'!#REF!</f>
        <v>#REF!</v>
      </c>
      <c r="D272" s="156" t="e">
        <f>'Combustão Móvel'!#REF!</f>
        <v>#REF!</v>
      </c>
      <c r="E272" s="150" t="e">
        <f>'Combustão Móvel'!#REF!</f>
        <v>#REF!</v>
      </c>
      <c r="F272" s="150" t="e">
        <f t="shared" si="57"/>
        <v>#REF!</v>
      </c>
      <c r="G272" s="150" t="e">
        <f t="shared" si="58"/>
        <v>#REF!</v>
      </c>
      <c r="H272" s="150" t="e">
        <f t="shared" si="59"/>
        <v>#REF!</v>
      </c>
      <c r="I272" s="150" t="e">
        <f t="shared" si="60"/>
        <v>#REF!</v>
      </c>
      <c r="J272" s="150" t="e">
        <f t="shared" si="61"/>
        <v>#REF!</v>
      </c>
      <c r="K272" s="157" t="e">
        <f t="shared" si="62"/>
        <v>#REF!</v>
      </c>
      <c r="L272" s="64" t="e">
        <f>'Combustão Móvel'!#REF!</f>
        <v>#REF!</v>
      </c>
      <c r="M272" s="65" t="e">
        <f>'Combustão Móvel'!#REF!</f>
        <v>#REF!</v>
      </c>
      <c r="N272" s="150"/>
      <c r="O272" s="150" t="e">
        <f t="shared" si="49"/>
        <v>#REF!</v>
      </c>
      <c r="P272" s="150"/>
      <c r="Q272" s="150"/>
      <c r="R272" s="150" t="e">
        <f t="shared" si="50"/>
        <v>#REF!</v>
      </c>
      <c r="S272" s="150" t="e">
        <f t="shared" si="51"/>
        <v>#REF!</v>
      </c>
      <c r="T272" s="161" t="e">
        <f t="shared" si="52"/>
        <v>#REF!</v>
      </c>
      <c r="U272" s="161" t="e">
        <f t="shared" si="53"/>
        <v>#REF!</v>
      </c>
      <c r="V272" s="134" t="e">
        <f t="shared" si="54"/>
        <v>#REF!</v>
      </c>
      <c r="W272" s="134" t="e">
        <f t="shared" si="55"/>
        <v>#REF!</v>
      </c>
      <c r="X272" s="134" t="e">
        <f t="shared" si="56"/>
        <v>#REF!</v>
      </c>
    </row>
    <row r="273" spans="2:24" ht="15.75" thickBot="1" x14ac:dyDescent="0.3">
      <c r="B273" s="1253"/>
      <c r="C273" s="36" t="e">
        <f>'Combustão Móvel'!#REF!</f>
        <v>#REF!</v>
      </c>
      <c r="D273" s="156" t="e">
        <f>'Combustão Móvel'!#REF!</f>
        <v>#REF!</v>
      </c>
      <c r="E273" s="150" t="e">
        <f>'Combustão Móvel'!#REF!</f>
        <v>#REF!</v>
      </c>
      <c r="F273" s="150" t="e">
        <f t="shared" si="57"/>
        <v>#REF!</v>
      </c>
      <c r="G273" s="150" t="e">
        <f t="shared" si="58"/>
        <v>#REF!</v>
      </c>
      <c r="H273" s="150" t="e">
        <f t="shared" si="59"/>
        <v>#REF!</v>
      </c>
      <c r="I273" s="150" t="e">
        <f t="shared" si="60"/>
        <v>#REF!</v>
      </c>
      <c r="J273" s="150" t="e">
        <f t="shared" si="61"/>
        <v>#REF!</v>
      </c>
      <c r="K273" s="157" t="e">
        <f t="shared" si="62"/>
        <v>#REF!</v>
      </c>
      <c r="L273" s="64" t="e">
        <f>'Combustão Móvel'!#REF!</f>
        <v>#REF!</v>
      </c>
      <c r="M273" s="65" t="e">
        <f>'Combustão Móvel'!#REF!</f>
        <v>#REF!</v>
      </c>
      <c r="N273" s="150"/>
      <c r="O273" s="150" t="e">
        <f t="shared" si="49"/>
        <v>#REF!</v>
      </c>
      <c r="P273" s="150"/>
      <c r="Q273" s="150"/>
      <c r="R273" s="150" t="e">
        <f t="shared" si="50"/>
        <v>#REF!</v>
      </c>
      <c r="S273" s="150" t="e">
        <f t="shared" si="51"/>
        <v>#REF!</v>
      </c>
      <c r="T273" s="161" t="e">
        <f t="shared" si="52"/>
        <v>#REF!</v>
      </c>
      <c r="U273" s="161" t="e">
        <f t="shared" si="53"/>
        <v>#REF!</v>
      </c>
      <c r="V273" s="134" t="e">
        <f t="shared" si="54"/>
        <v>#REF!</v>
      </c>
      <c r="W273" s="134" t="e">
        <f t="shared" si="55"/>
        <v>#REF!</v>
      </c>
      <c r="X273" s="134" t="e">
        <f t="shared" si="56"/>
        <v>#REF!</v>
      </c>
    </row>
    <row r="274" spans="2:24" ht="15.75" thickBot="1" x14ac:dyDescent="0.3">
      <c r="B274" s="1253"/>
      <c r="C274" s="36" t="e">
        <f>'Combustão Móvel'!#REF!</f>
        <v>#REF!</v>
      </c>
      <c r="D274" s="156" t="e">
        <f>'Combustão Móvel'!#REF!</f>
        <v>#REF!</v>
      </c>
      <c r="E274" s="150" t="e">
        <f>'Combustão Móvel'!#REF!</f>
        <v>#REF!</v>
      </c>
      <c r="F274" s="150" t="e">
        <f t="shared" si="57"/>
        <v>#REF!</v>
      </c>
      <c r="G274" s="150" t="e">
        <f t="shared" si="58"/>
        <v>#REF!</v>
      </c>
      <c r="H274" s="150" t="e">
        <f t="shared" si="59"/>
        <v>#REF!</v>
      </c>
      <c r="I274" s="150" t="e">
        <f t="shared" si="60"/>
        <v>#REF!</v>
      </c>
      <c r="J274" s="150" t="e">
        <f t="shared" si="61"/>
        <v>#REF!</v>
      </c>
      <c r="K274" s="157" t="e">
        <f t="shared" si="62"/>
        <v>#REF!</v>
      </c>
      <c r="L274" s="64" t="e">
        <f>'Combustão Móvel'!#REF!</f>
        <v>#REF!</v>
      </c>
      <c r="M274" s="65" t="e">
        <f>'Combustão Móvel'!#REF!</f>
        <v>#REF!</v>
      </c>
      <c r="N274" s="150"/>
      <c r="O274" s="150" t="e">
        <f t="shared" si="49"/>
        <v>#REF!</v>
      </c>
      <c r="P274" s="150"/>
      <c r="Q274" s="150"/>
      <c r="R274" s="150" t="e">
        <f t="shared" si="50"/>
        <v>#REF!</v>
      </c>
      <c r="S274" s="150" t="e">
        <f t="shared" si="51"/>
        <v>#REF!</v>
      </c>
      <c r="T274" s="161" t="e">
        <f t="shared" si="52"/>
        <v>#REF!</v>
      </c>
      <c r="U274" s="161" t="e">
        <f t="shared" si="53"/>
        <v>#REF!</v>
      </c>
      <c r="V274" s="134" t="e">
        <f t="shared" si="54"/>
        <v>#REF!</v>
      </c>
      <c r="W274" s="134" t="e">
        <f t="shared" si="55"/>
        <v>#REF!</v>
      </c>
      <c r="X274" s="134" t="e">
        <f t="shared" si="56"/>
        <v>#REF!</v>
      </c>
    </row>
    <row r="275" spans="2:24" ht="15.75" thickBot="1" x14ac:dyDescent="0.3">
      <c r="B275" s="1253"/>
      <c r="C275" s="36" t="e">
        <f>'Combustão Móvel'!#REF!</f>
        <v>#REF!</v>
      </c>
      <c r="D275" s="156" t="e">
        <f>'Combustão Móvel'!#REF!</f>
        <v>#REF!</v>
      </c>
      <c r="E275" s="150" t="e">
        <f>'Combustão Móvel'!#REF!</f>
        <v>#REF!</v>
      </c>
      <c r="F275" s="150" t="e">
        <f t="shared" si="57"/>
        <v>#REF!</v>
      </c>
      <c r="G275" s="150" t="e">
        <f t="shared" si="58"/>
        <v>#REF!</v>
      </c>
      <c r="H275" s="150" t="e">
        <f t="shared" si="59"/>
        <v>#REF!</v>
      </c>
      <c r="I275" s="150" t="e">
        <f t="shared" si="60"/>
        <v>#REF!</v>
      </c>
      <c r="J275" s="150" t="e">
        <f t="shared" si="61"/>
        <v>#REF!</v>
      </c>
      <c r="K275" s="157" t="e">
        <f t="shared" si="62"/>
        <v>#REF!</v>
      </c>
      <c r="L275" s="64" t="e">
        <f>'Combustão Móvel'!#REF!</f>
        <v>#REF!</v>
      </c>
      <c r="M275" s="65" t="e">
        <f>'Combustão Móvel'!#REF!</f>
        <v>#REF!</v>
      </c>
      <c r="N275" s="150"/>
      <c r="O275" s="150" t="e">
        <f t="shared" si="49"/>
        <v>#REF!</v>
      </c>
      <c r="P275" s="150"/>
      <c r="Q275" s="150"/>
      <c r="R275" s="150" t="e">
        <f t="shared" si="50"/>
        <v>#REF!</v>
      </c>
      <c r="S275" s="150" t="e">
        <f t="shared" si="51"/>
        <v>#REF!</v>
      </c>
      <c r="T275" s="161" t="e">
        <f t="shared" si="52"/>
        <v>#REF!</v>
      </c>
      <c r="U275" s="161" t="e">
        <f t="shared" si="53"/>
        <v>#REF!</v>
      </c>
      <c r="V275" s="134" t="e">
        <f t="shared" si="54"/>
        <v>#REF!</v>
      </c>
      <c r="W275" s="134" t="e">
        <f t="shared" si="55"/>
        <v>#REF!</v>
      </c>
      <c r="X275" s="134" t="e">
        <f t="shared" si="56"/>
        <v>#REF!</v>
      </c>
    </row>
    <row r="276" spans="2:24" ht="15.75" thickBot="1" x14ac:dyDescent="0.3">
      <c r="B276" s="1253"/>
      <c r="C276" s="36" t="e">
        <f>'Combustão Móvel'!#REF!</f>
        <v>#REF!</v>
      </c>
      <c r="D276" s="156" t="e">
        <f>'Combustão Móvel'!#REF!</f>
        <v>#REF!</v>
      </c>
      <c r="E276" s="150" t="e">
        <f>'Combustão Móvel'!#REF!</f>
        <v>#REF!</v>
      </c>
      <c r="F276" s="150" t="e">
        <f t="shared" si="57"/>
        <v>#REF!</v>
      </c>
      <c r="G276" s="150" t="e">
        <f t="shared" si="58"/>
        <v>#REF!</v>
      </c>
      <c r="H276" s="150" t="e">
        <f t="shared" si="59"/>
        <v>#REF!</v>
      </c>
      <c r="I276" s="150" t="e">
        <f t="shared" si="60"/>
        <v>#REF!</v>
      </c>
      <c r="J276" s="150" t="e">
        <f t="shared" si="61"/>
        <v>#REF!</v>
      </c>
      <c r="K276" s="157" t="e">
        <f t="shared" si="62"/>
        <v>#REF!</v>
      </c>
      <c r="L276" s="64" t="e">
        <f>'Combustão Móvel'!#REF!</f>
        <v>#REF!</v>
      </c>
      <c r="M276" s="65" t="e">
        <f>'Combustão Móvel'!#REF!</f>
        <v>#REF!</v>
      </c>
      <c r="N276" s="150"/>
      <c r="O276" s="150" t="e">
        <f t="shared" si="49"/>
        <v>#REF!</v>
      </c>
      <c r="P276" s="150"/>
      <c r="Q276" s="150"/>
      <c r="R276" s="150" t="e">
        <f t="shared" si="50"/>
        <v>#REF!</v>
      </c>
      <c r="S276" s="150" t="e">
        <f t="shared" si="51"/>
        <v>#REF!</v>
      </c>
      <c r="T276" s="161" t="e">
        <f t="shared" si="52"/>
        <v>#REF!</v>
      </c>
      <c r="U276" s="161" t="e">
        <f t="shared" si="53"/>
        <v>#REF!</v>
      </c>
      <c r="V276" s="134" t="e">
        <f t="shared" si="54"/>
        <v>#REF!</v>
      </c>
      <c r="W276" s="134" t="e">
        <f t="shared" si="55"/>
        <v>#REF!</v>
      </c>
      <c r="X276" s="134" t="e">
        <f t="shared" si="56"/>
        <v>#REF!</v>
      </c>
    </row>
    <row r="277" spans="2:24" ht="15.75" thickBot="1" x14ac:dyDescent="0.3">
      <c r="B277" s="1253"/>
      <c r="C277" s="36" t="e">
        <f>'Combustão Móvel'!#REF!</f>
        <v>#REF!</v>
      </c>
      <c r="D277" s="156" t="e">
        <f>'Combustão Móvel'!#REF!</f>
        <v>#REF!</v>
      </c>
      <c r="E277" s="150" t="e">
        <f>'Combustão Móvel'!#REF!</f>
        <v>#REF!</v>
      </c>
      <c r="F277" s="150" t="e">
        <f t="shared" si="57"/>
        <v>#REF!</v>
      </c>
      <c r="G277" s="150" t="e">
        <f t="shared" si="58"/>
        <v>#REF!</v>
      </c>
      <c r="H277" s="150" t="e">
        <f t="shared" si="59"/>
        <v>#REF!</v>
      </c>
      <c r="I277" s="150" t="e">
        <f t="shared" si="60"/>
        <v>#REF!</v>
      </c>
      <c r="J277" s="150" t="e">
        <f t="shared" si="61"/>
        <v>#REF!</v>
      </c>
      <c r="K277" s="157" t="e">
        <f t="shared" si="62"/>
        <v>#REF!</v>
      </c>
      <c r="L277" s="64" t="e">
        <f>'Combustão Móvel'!#REF!</f>
        <v>#REF!</v>
      </c>
      <c r="M277" s="65" t="e">
        <f>'Combustão Móvel'!#REF!</f>
        <v>#REF!</v>
      </c>
      <c r="N277" s="150"/>
      <c r="O277" s="150" t="e">
        <f t="shared" si="49"/>
        <v>#REF!</v>
      </c>
      <c r="P277" s="150"/>
      <c r="Q277" s="150"/>
      <c r="R277" s="150" t="e">
        <f t="shared" si="50"/>
        <v>#REF!</v>
      </c>
      <c r="S277" s="150" t="e">
        <f t="shared" si="51"/>
        <v>#REF!</v>
      </c>
      <c r="T277" s="161" t="e">
        <f t="shared" si="52"/>
        <v>#REF!</v>
      </c>
      <c r="U277" s="161" t="e">
        <f t="shared" si="53"/>
        <v>#REF!</v>
      </c>
      <c r="V277" s="134" t="e">
        <f t="shared" si="54"/>
        <v>#REF!</v>
      </c>
      <c r="W277" s="134" t="e">
        <f t="shared" si="55"/>
        <v>#REF!</v>
      </c>
      <c r="X277" s="134" t="e">
        <f t="shared" si="56"/>
        <v>#REF!</v>
      </c>
    </row>
    <row r="278" spans="2:24" ht="15.75" thickBot="1" x14ac:dyDescent="0.3">
      <c r="B278" s="1253"/>
      <c r="C278" s="36" t="e">
        <f>'Combustão Móvel'!#REF!</f>
        <v>#REF!</v>
      </c>
      <c r="D278" s="156" t="e">
        <f>'Combustão Móvel'!#REF!</f>
        <v>#REF!</v>
      </c>
      <c r="E278" s="150" t="e">
        <f>'Combustão Móvel'!#REF!</f>
        <v>#REF!</v>
      </c>
      <c r="F278" s="150" t="e">
        <f t="shared" si="57"/>
        <v>#REF!</v>
      </c>
      <c r="G278" s="150" t="e">
        <f t="shared" si="58"/>
        <v>#REF!</v>
      </c>
      <c r="H278" s="150" t="e">
        <f t="shared" si="59"/>
        <v>#REF!</v>
      </c>
      <c r="I278" s="150" t="e">
        <f t="shared" si="60"/>
        <v>#REF!</v>
      </c>
      <c r="J278" s="150" t="e">
        <f t="shared" si="61"/>
        <v>#REF!</v>
      </c>
      <c r="K278" s="157" t="e">
        <f t="shared" si="62"/>
        <v>#REF!</v>
      </c>
      <c r="L278" s="64" t="e">
        <f>'Combustão Móvel'!#REF!</f>
        <v>#REF!</v>
      </c>
      <c r="M278" s="65" t="e">
        <f>'Combustão Móvel'!#REF!</f>
        <v>#REF!</v>
      </c>
      <c r="N278" s="150"/>
      <c r="O278" s="150" t="e">
        <f t="shared" si="49"/>
        <v>#REF!</v>
      </c>
      <c r="P278" s="150"/>
      <c r="Q278" s="150"/>
      <c r="R278" s="150" t="e">
        <f t="shared" si="50"/>
        <v>#REF!</v>
      </c>
      <c r="S278" s="150" t="e">
        <f t="shared" si="51"/>
        <v>#REF!</v>
      </c>
      <c r="T278" s="161" t="e">
        <f t="shared" si="52"/>
        <v>#REF!</v>
      </c>
      <c r="U278" s="161" t="e">
        <f t="shared" si="53"/>
        <v>#REF!</v>
      </c>
      <c r="V278" s="134" t="e">
        <f t="shared" si="54"/>
        <v>#REF!</v>
      </c>
      <c r="W278" s="134" t="e">
        <f t="shared" si="55"/>
        <v>#REF!</v>
      </c>
      <c r="X278" s="134" t="e">
        <f t="shared" si="56"/>
        <v>#REF!</v>
      </c>
    </row>
    <row r="279" spans="2:24" ht="15.75" thickBot="1" x14ac:dyDescent="0.3">
      <c r="B279" s="1253"/>
      <c r="C279" s="36" t="e">
        <f>'Combustão Móvel'!#REF!</f>
        <v>#REF!</v>
      </c>
      <c r="D279" s="156" t="e">
        <f>'Combustão Móvel'!#REF!</f>
        <v>#REF!</v>
      </c>
      <c r="E279" s="150" t="e">
        <f>'Combustão Móvel'!#REF!</f>
        <v>#REF!</v>
      </c>
      <c r="F279" s="150" t="e">
        <f t="shared" si="57"/>
        <v>#REF!</v>
      </c>
      <c r="G279" s="150" t="e">
        <f t="shared" si="58"/>
        <v>#REF!</v>
      </c>
      <c r="H279" s="150" t="e">
        <f t="shared" si="59"/>
        <v>#REF!</v>
      </c>
      <c r="I279" s="150" t="e">
        <f t="shared" si="60"/>
        <v>#REF!</v>
      </c>
      <c r="J279" s="150" t="e">
        <f t="shared" si="61"/>
        <v>#REF!</v>
      </c>
      <c r="K279" s="157" t="e">
        <f t="shared" si="62"/>
        <v>#REF!</v>
      </c>
      <c r="L279" s="64" t="e">
        <f>'Combustão Móvel'!#REF!</f>
        <v>#REF!</v>
      </c>
      <c r="M279" s="65" t="e">
        <f>'Combustão Móvel'!#REF!</f>
        <v>#REF!</v>
      </c>
      <c r="N279" s="150"/>
      <c r="O279" s="150" t="e">
        <f t="shared" si="49"/>
        <v>#REF!</v>
      </c>
      <c r="P279" s="150"/>
      <c r="Q279" s="150"/>
      <c r="R279" s="150" t="e">
        <f t="shared" si="50"/>
        <v>#REF!</v>
      </c>
      <c r="S279" s="150" t="e">
        <f t="shared" si="51"/>
        <v>#REF!</v>
      </c>
      <c r="T279" s="161" t="e">
        <f t="shared" si="52"/>
        <v>#REF!</v>
      </c>
      <c r="U279" s="161" t="e">
        <f t="shared" si="53"/>
        <v>#REF!</v>
      </c>
      <c r="V279" s="134" t="e">
        <f t="shared" si="54"/>
        <v>#REF!</v>
      </c>
      <c r="W279" s="134" t="e">
        <f t="shared" si="55"/>
        <v>#REF!</v>
      </c>
      <c r="X279" s="134" t="e">
        <f t="shared" si="56"/>
        <v>#REF!</v>
      </c>
    </row>
    <row r="280" spans="2:24" ht="15.75" thickBot="1" x14ac:dyDescent="0.3">
      <c r="B280" s="1253"/>
      <c r="C280" s="36" t="e">
        <f>'Combustão Móvel'!#REF!</f>
        <v>#REF!</v>
      </c>
      <c r="D280" s="156" t="e">
        <f>'Combustão Móvel'!#REF!</f>
        <v>#REF!</v>
      </c>
      <c r="E280" s="150" t="e">
        <f>'Combustão Móvel'!#REF!</f>
        <v>#REF!</v>
      </c>
      <c r="F280" s="150" t="e">
        <f t="shared" si="57"/>
        <v>#REF!</v>
      </c>
      <c r="G280" s="150" t="e">
        <f t="shared" si="58"/>
        <v>#REF!</v>
      </c>
      <c r="H280" s="150" t="e">
        <f t="shared" si="59"/>
        <v>#REF!</v>
      </c>
      <c r="I280" s="150" t="e">
        <f t="shared" si="60"/>
        <v>#REF!</v>
      </c>
      <c r="J280" s="150" t="e">
        <f t="shared" si="61"/>
        <v>#REF!</v>
      </c>
      <c r="K280" s="157" t="e">
        <f t="shared" si="62"/>
        <v>#REF!</v>
      </c>
      <c r="L280" s="64" t="e">
        <f>'Combustão Móvel'!#REF!</f>
        <v>#REF!</v>
      </c>
      <c r="M280" s="65" t="e">
        <f>'Combustão Móvel'!#REF!</f>
        <v>#REF!</v>
      </c>
      <c r="N280" s="150"/>
      <c r="O280" s="150" t="e">
        <f t="shared" si="49"/>
        <v>#REF!</v>
      </c>
      <c r="P280" s="150"/>
      <c r="Q280" s="150"/>
      <c r="R280" s="150" t="e">
        <f t="shared" si="50"/>
        <v>#REF!</v>
      </c>
      <c r="S280" s="150" t="e">
        <f t="shared" si="51"/>
        <v>#REF!</v>
      </c>
      <c r="T280" s="161" t="e">
        <f t="shared" si="52"/>
        <v>#REF!</v>
      </c>
      <c r="U280" s="161" t="e">
        <f t="shared" si="53"/>
        <v>#REF!</v>
      </c>
      <c r="V280" s="134" t="e">
        <f t="shared" si="54"/>
        <v>#REF!</v>
      </c>
      <c r="W280" s="134" t="e">
        <f t="shared" si="55"/>
        <v>#REF!</v>
      </c>
      <c r="X280" s="134" t="e">
        <f t="shared" si="56"/>
        <v>#REF!</v>
      </c>
    </row>
    <row r="281" spans="2:24" ht="15.75" thickBot="1" x14ac:dyDescent="0.3">
      <c r="B281" s="1253"/>
      <c r="C281" s="36" t="e">
        <f>'Combustão Móvel'!#REF!</f>
        <v>#REF!</v>
      </c>
      <c r="D281" s="156" t="e">
        <f>'Combustão Móvel'!#REF!</f>
        <v>#REF!</v>
      </c>
      <c r="E281" s="150" t="e">
        <f>'Combustão Móvel'!#REF!</f>
        <v>#REF!</v>
      </c>
      <c r="F281" s="150" t="e">
        <f t="shared" si="57"/>
        <v>#REF!</v>
      </c>
      <c r="G281" s="150" t="e">
        <f t="shared" si="58"/>
        <v>#REF!</v>
      </c>
      <c r="H281" s="150" t="e">
        <f t="shared" si="59"/>
        <v>#REF!</v>
      </c>
      <c r="I281" s="150" t="e">
        <f t="shared" si="60"/>
        <v>#REF!</v>
      </c>
      <c r="J281" s="150" t="e">
        <f t="shared" si="61"/>
        <v>#REF!</v>
      </c>
      <c r="K281" s="157" t="e">
        <f t="shared" si="62"/>
        <v>#REF!</v>
      </c>
      <c r="L281" s="64" t="e">
        <f>'Combustão Móvel'!#REF!</f>
        <v>#REF!</v>
      </c>
      <c r="M281" s="65" t="e">
        <f>'Combustão Móvel'!#REF!</f>
        <v>#REF!</v>
      </c>
      <c r="N281" s="150"/>
      <c r="O281" s="150" t="e">
        <f t="shared" si="49"/>
        <v>#REF!</v>
      </c>
      <c r="P281" s="150"/>
      <c r="Q281" s="150"/>
      <c r="R281" s="150" t="e">
        <f t="shared" si="50"/>
        <v>#REF!</v>
      </c>
      <c r="S281" s="150" t="e">
        <f t="shared" si="51"/>
        <v>#REF!</v>
      </c>
      <c r="T281" s="161" t="e">
        <f t="shared" si="52"/>
        <v>#REF!</v>
      </c>
      <c r="U281" s="161" t="e">
        <f t="shared" si="53"/>
        <v>#REF!</v>
      </c>
      <c r="V281" s="134" t="e">
        <f t="shared" si="54"/>
        <v>#REF!</v>
      </c>
      <c r="W281" s="134" t="e">
        <f t="shared" si="55"/>
        <v>#REF!</v>
      </c>
      <c r="X281" s="134" t="e">
        <f t="shared" si="56"/>
        <v>#REF!</v>
      </c>
    </row>
    <row r="282" spans="2:24" ht="15.75" thickBot="1" x14ac:dyDescent="0.3">
      <c r="B282" s="1253"/>
      <c r="C282" s="36" t="e">
        <f>'Combustão Móvel'!#REF!</f>
        <v>#REF!</v>
      </c>
      <c r="D282" s="156" t="e">
        <f>'Combustão Móvel'!#REF!</f>
        <v>#REF!</v>
      </c>
      <c r="E282" s="150" t="e">
        <f>'Combustão Móvel'!#REF!</f>
        <v>#REF!</v>
      </c>
      <c r="F282" s="150" t="e">
        <f t="shared" si="57"/>
        <v>#REF!</v>
      </c>
      <c r="G282" s="150" t="e">
        <f t="shared" si="58"/>
        <v>#REF!</v>
      </c>
      <c r="H282" s="150" t="e">
        <f t="shared" si="59"/>
        <v>#REF!</v>
      </c>
      <c r="I282" s="150" t="e">
        <f t="shared" si="60"/>
        <v>#REF!</v>
      </c>
      <c r="J282" s="150" t="e">
        <f t="shared" si="61"/>
        <v>#REF!</v>
      </c>
      <c r="K282" s="157" t="e">
        <f t="shared" si="62"/>
        <v>#REF!</v>
      </c>
      <c r="L282" s="64" t="e">
        <f>'Combustão Móvel'!#REF!</f>
        <v>#REF!</v>
      </c>
      <c r="M282" s="65" t="e">
        <f>'Combustão Móvel'!#REF!</f>
        <v>#REF!</v>
      </c>
      <c r="N282" s="150"/>
      <c r="O282" s="150" t="e">
        <f t="shared" si="49"/>
        <v>#REF!</v>
      </c>
      <c r="P282" s="150"/>
      <c r="Q282" s="150"/>
      <c r="R282" s="150" t="e">
        <f t="shared" si="50"/>
        <v>#REF!</v>
      </c>
      <c r="S282" s="150" t="e">
        <f t="shared" si="51"/>
        <v>#REF!</v>
      </c>
      <c r="T282" s="161" t="e">
        <f t="shared" si="52"/>
        <v>#REF!</v>
      </c>
      <c r="U282" s="161" t="e">
        <f t="shared" si="53"/>
        <v>#REF!</v>
      </c>
      <c r="V282" s="134" t="e">
        <f t="shared" si="54"/>
        <v>#REF!</v>
      </c>
      <c r="W282" s="134" t="e">
        <f t="shared" si="55"/>
        <v>#REF!</v>
      </c>
      <c r="X282" s="134" t="e">
        <f t="shared" si="56"/>
        <v>#REF!</v>
      </c>
    </row>
    <row r="283" spans="2:24" ht="15.75" thickBot="1" x14ac:dyDescent="0.3">
      <c r="B283" s="1253"/>
      <c r="C283" s="36" t="e">
        <f>'Combustão Móvel'!#REF!</f>
        <v>#REF!</v>
      </c>
      <c r="D283" s="156" t="e">
        <f>'Combustão Móvel'!#REF!</f>
        <v>#REF!</v>
      </c>
      <c r="E283" s="150" t="e">
        <f>'Combustão Móvel'!#REF!</f>
        <v>#REF!</v>
      </c>
      <c r="F283" s="150" t="e">
        <f t="shared" si="57"/>
        <v>#REF!</v>
      </c>
      <c r="G283" s="150" t="e">
        <f t="shared" si="58"/>
        <v>#REF!</v>
      </c>
      <c r="H283" s="150" t="e">
        <f t="shared" si="59"/>
        <v>#REF!</v>
      </c>
      <c r="I283" s="150" t="e">
        <f t="shared" si="60"/>
        <v>#REF!</v>
      </c>
      <c r="J283" s="150" t="e">
        <f t="shared" si="61"/>
        <v>#REF!</v>
      </c>
      <c r="K283" s="157" t="e">
        <f t="shared" si="62"/>
        <v>#REF!</v>
      </c>
      <c r="L283" s="64" t="e">
        <f>'Combustão Móvel'!#REF!</f>
        <v>#REF!</v>
      </c>
      <c r="M283" s="65" t="e">
        <f>'Combustão Móvel'!#REF!</f>
        <v>#REF!</v>
      </c>
      <c r="N283" s="150"/>
      <c r="O283" s="150" t="e">
        <f t="shared" si="49"/>
        <v>#REF!</v>
      </c>
      <c r="P283" s="150"/>
      <c r="Q283" s="150"/>
      <c r="R283" s="150" t="e">
        <f t="shared" si="50"/>
        <v>#REF!</v>
      </c>
      <c r="S283" s="150" t="e">
        <f t="shared" si="51"/>
        <v>#REF!</v>
      </c>
      <c r="T283" s="161" t="e">
        <f t="shared" si="52"/>
        <v>#REF!</v>
      </c>
      <c r="U283" s="161" t="e">
        <f t="shared" si="53"/>
        <v>#REF!</v>
      </c>
      <c r="V283" s="134" t="e">
        <f t="shared" si="54"/>
        <v>#REF!</v>
      </c>
      <c r="W283" s="134" t="e">
        <f t="shared" si="55"/>
        <v>#REF!</v>
      </c>
      <c r="X283" s="134" t="e">
        <f t="shared" si="56"/>
        <v>#REF!</v>
      </c>
    </row>
    <row r="284" spans="2:24" ht="15.75" thickBot="1" x14ac:dyDescent="0.3">
      <c r="B284" s="1253"/>
      <c r="C284" s="36" t="e">
        <f>'Combustão Móvel'!#REF!</f>
        <v>#REF!</v>
      </c>
      <c r="D284" s="156" t="e">
        <f>'Combustão Móvel'!#REF!</f>
        <v>#REF!</v>
      </c>
      <c r="E284" s="150" t="e">
        <f>'Combustão Móvel'!#REF!</f>
        <v>#REF!</v>
      </c>
      <c r="F284" s="150" t="e">
        <f t="shared" si="57"/>
        <v>#REF!</v>
      </c>
      <c r="G284" s="150" t="e">
        <f t="shared" si="58"/>
        <v>#REF!</v>
      </c>
      <c r="H284" s="150" t="e">
        <f t="shared" si="59"/>
        <v>#REF!</v>
      </c>
      <c r="I284" s="150" t="e">
        <f t="shared" si="60"/>
        <v>#REF!</v>
      </c>
      <c r="J284" s="150" t="e">
        <f t="shared" si="61"/>
        <v>#REF!</v>
      </c>
      <c r="K284" s="157" t="e">
        <f t="shared" si="62"/>
        <v>#REF!</v>
      </c>
      <c r="L284" s="64" t="e">
        <f>'Combustão Móvel'!#REF!</f>
        <v>#REF!</v>
      </c>
      <c r="M284" s="65" t="e">
        <f>'Combustão Móvel'!#REF!</f>
        <v>#REF!</v>
      </c>
      <c r="N284" s="150"/>
      <c r="O284" s="150" t="e">
        <f t="shared" si="49"/>
        <v>#REF!</v>
      </c>
      <c r="P284" s="150"/>
      <c r="Q284" s="150"/>
      <c r="R284" s="150" t="e">
        <f t="shared" si="50"/>
        <v>#REF!</v>
      </c>
      <c r="S284" s="150" t="e">
        <f t="shared" si="51"/>
        <v>#REF!</v>
      </c>
      <c r="T284" s="161" t="e">
        <f t="shared" si="52"/>
        <v>#REF!</v>
      </c>
      <c r="U284" s="161" t="e">
        <f t="shared" si="53"/>
        <v>#REF!</v>
      </c>
      <c r="V284" s="134" t="e">
        <f t="shared" si="54"/>
        <v>#REF!</v>
      </c>
      <c r="W284" s="134" t="e">
        <f t="shared" si="55"/>
        <v>#REF!</v>
      </c>
      <c r="X284" s="134" t="e">
        <f t="shared" si="56"/>
        <v>#REF!</v>
      </c>
    </row>
    <row r="285" spans="2:24" ht="15.75" thickBot="1" x14ac:dyDescent="0.3">
      <c r="B285" s="1253"/>
      <c r="C285" s="36" t="e">
        <f>'Combustão Móvel'!#REF!</f>
        <v>#REF!</v>
      </c>
      <c r="D285" s="156" t="e">
        <f>'Combustão Móvel'!#REF!</f>
        <v>#REF!</v>
      </c>
      <c r="E285" s="150" t="e">
        <f>'Combustão Móvel'!#REF!</f>
        <v>#REF!</v>
      </c>
      <c r="F285" s="150" t="e">
        <f t="shared" si="57"/>
        <v>#REF!</v>
      </c>
      <c r="G285" s="150" t="e">
        <f t="shared" si="58"/>
        <v>#REF!</v>
      </c>
      <c r="H285" s="150" t="e">
        <f t="shared" si="59"/>
        <v>#REF!</v>
      </c>
      <c r="I285" s="150" t="e">
        <f t="shared" si="60"/>
        <v>#REF!</v>
      </c>
      <c r="J285" s="150" t="e">
        <f t="shared" si="61"/>
        <v>#REF!</v>
      </c>
      <c r="K285" s="157" t="e">
        <f t="shared" si="62"/>
        <v>#REF!</v>
      </c>
      <c r="L285" s="64" t="e">
        <f>'Combustão Móvel'!#REF!</f>
        <v>#REF!</v>
      </c>
      <c r="M285" s="65" t="e">
        <f>'Combustão Móvel'!#REF!</f>
        <v>#REF!</v>
      </c>
      <c r="N285" s="150"/>
      <c r="O285" s="150" t="e">
        <f t="shared" si="49"/>
        <v>#REF!</v>
      </c>
      <c r="P285" s="150"/>
      <c r="Q285" s="150"/>
      <c r="R285" s="150" t="e">
        <f t="shared" si="50"/>
        <v>#REF!</v>
      </c>
      <c r="S285" s="150" t="e">
        <f t="shared" si="51"/>
        <v>#REF!</v>
      </c>
      <c r="T285" s="161" t="e">
        <f t="shared" si="52"/>
        <v>#REF!</v>
      </c>
      <c r="U285" s="161" t="e">
        <f t="shared" si="53"/>
        <v>#REF!</v>
      </c>
      <c r="V285" s="134" t="e">
        <f t="shared" si="54"/>
        <v>#REF!</v>
      </c>
      <c r="W285" s="134" t="e">
        <f t="shared" si="55"/>
        <v>#REF!</v>
      </c>
      <c r="X285" s="134" t="e">
        <f t="shared" si="56"/>
        <v>#REF!</v>
      </c>
    </row>
    <row r="286" spans="2:24" ht="15.75" thickBot="1" x14ac:dyDescent="0.3">
      <c r="B286" s="1253"/>
      <c r="C286" s="36" t="e">
        <f>'Combustão Móvel'!#REF!</f>
        <v>#REF!</v>
      </c>
      <c r="D286" s="156" t="e">
        <f>'Combustão Móvel'!#REF!</f>
        <v>#REF!</v>
      </c>
      <c r="E286" s="150" t="e">
        <f>'Combustão Móvel'!#REF!</f>
        <v>#REF!</v>
      </c>
      <c r="F286" s="150" t="e">
        <f t="shared" si="57"/>
        <v>#REF!</v>
      </c>
      <c r="G286" s="150" t="e">
        <f t="shared" si="58"/>
        <v>#REF!</v>
      </c>
      <c r="H286" s="150" t="e">
        <f t="shared" si="59"/>
        <v>#REF!</v>
      </c>
      <c r="I286" s="150" t="e">
        <f t="shared" si="60"/>
        <v>#REF!</v>
      </c>
      <c r="J286" s="150" t="e">
        <f t="shared" si="61"/>
        <v>#REF!</v>
      </c>
      <c r="K286" s="157" t="e">
        <f t="shared" si="62"/>
        <v>#REF!</v>
      </c>
      <c r="L286" s="64" t="e">
        <f>'Combustão Móvel'!#REF!</f>
        <v>#REF!</v>
      </c>
      <c r="M286" s="65" t="e">
        <f>'Combustão Móvel'!#REF!</f>
        <v>#REF!</v>
      </c>
      <c r="N286" s="150"/>
      <c r="O286" s="150" t="e">
        <f t="shared" si="49"/>
        <v>#REF!</v>
      </c>
      <c r="P286" s="150"/>
      <c r="Q286" s="150"/>
      <c r="R286" s="150" t="e">
        <f t="shared" si="50"/>
        <v>#REF!</v>
      </c>
      <c r="S286" s="150" t="e">
        <f t="shared" si="51"/>
        <v>#REF!</v>
      </c>
      <c r="T286" s="161" t="e">
        <f t="shared" si="52"/>
        <v>#REF!</v>
      </c>
      <c r="U286" s="161" t="e">
        <f t="shared" si="53"/>
        <v>#REF!</v>
      </c>
      <c r="V286" s="134" t="e">
        <f t="shared" si="54"/>
        <v>#REF!</v>
      </c>
      <c r="W286" s="134" t="e">
        <f t="shared" si="55"/>
        <v>#REF!</v>
      </c>
      <c r="X286" s="134" t="e">
        <f t="shared" si="56"/>
        <v>#REF!</v>
      </c>
    </row>
    <row r="287" spans="2:24" ht="15.75" thickBot="1" x14ac:dyDescent="0.3">
      <c r="B287" s="1253"/>
      <c r="C287" s="36" t="e">
        <f>'Combustão Móvel'!#REF!</f>
        <v>#REF!</v>
      </c>
      <c r="D287" s="156" t="e">
        <f>'Combustão Móvel'!#REF!</f>
        <v>#REF!</v>
      </c>
      <c r="E287" s="150" t="e">
        <f>'Combustão Móvel'!#REF!</f>
        <v>#REF!</v>
      </c>
      <c r="F287" s="150" t="e">
        <f t="shared" si="57"/>
        <v>#REF!</v>
      </c>
      <c r="G287" s="150" t="e">
        <f t="shared" si="58"/>
        <v>#REF!</v>
      </c>
      <c r="H287" s="150" t="e">
        <f t="shared" si="59"/>
        <v>#REF!</v>
      </c>
      <c r="I287" s="150" t="e">
        <f t="shared" si="60"/>
        <v>#REF!</v>
      </c>
      <c r="J287" s="150" t="e">
        <f t="shared" si="61"/>
        <v>#REF!</v>
      </c>
      <c r="K287" s="157" t="e">
        <f t="shared" si="62"/>
        <v>#REF!</v>
      </c>
      <c r="L287" s="64" t="e">
        <f>'Combustão Móvel'!#REF!</f>
        <v>#REF!</v>
      </c>
      <c r="M287" s="65" t="e">
        <f>'Combustão Móvel'!#REF!</f>
        <v>#REF!</v>
      </c>
      <c r="N287" s="150"/>
      <c r="O287" s="150" t="e">
        <f t="shared" si="49"/>
        <v>#REF!</v>
      </c>
      <c r="P287" s="150"/>
      <c r="Q287" s="150"/>
      <c r="R287" s="150" t="e">
        <f t="shared" si="50"/>
        <v>#REF!</v>
      </c>
      <c r="S287" s="150" t="e">
        <f t="shared" si="51"/>
        <v>#REF!</v>
      </c>
      <c r="T287" s="161" t="e">
        <f t="shared" si="52"/>
        <v>#REF!</v>
      </c>
      <c r="U287" s="161" t="e">
        <f t="shared" si="53"/>
        <v>#REF!</v>
      </c>
      <c r="V287" s="134" t="e">
        <f t="shared" si="54"/>
        <v>#REF!</v>
      </c>
      <c r="W287" s="134" t="e">
        <f t="shared" si="55"/>
        <v>#REF!</v>
      </c>
      <c r="X287" s="134" t="e">
        <f t="shared" si="56"/>
        <v>#REF!</v>
      </c>
    </row>
    <row r="288" spans="2:24" ht="15.75" thickBot="1" x14ac:dyDescent="0.3">
      <c r="B288" s="1253"/>
      <c r="C288" s="36" t="e">
        <f>'Combustão Móvel'!#REF!</f>
        <v>#REF!</v>
      </c>
      <c r="D288" s="156" t="e">
        <f>'Combustão Móvel'!#REF!</f>
        <v>#REF!</v>
      </c>
      <c r="E288" s="150" t="e">
        <f>'Combustão Móvel'!#REF!</f>
        <v>#REF!</v>
      </c>
      <c r="F288" s="150" t="e">
        <f t="shared" si="57"/>
        <v>#REF!</v>
      </c>
      <c r="G288" s="150" t="e">
        <f t="shared" si="58"/>
        <v>#REF!</v>
      </c>
      <c r="H288" s="150" t="e">
        <f t="shared" si="59"/>
        <v>#REF!</v>
      </c>
      <c r="I288" s="150" t="e">
        <f t="shared" si="60"/>
        <v>#REF!</v>
      </c>
      <c r="J288" s="150" t="e">
        <f t="shared" si="61"/>
        <v>#REF!</v>
      </c>
      <c r="K288" s="157" t="e">
        <f t="shared" si="62"/>
        <v>#REF!</v>
      </c>
      <c r="L288" s="64" t="e">
        <f>'Combustão Móvel'!#REF!</f>
        <v>#REF!</v>
      </c>
      <c r="M288" s="65" t="e">
        <f>'Combustão Móvel'!#REF!</f>
        <v>#REF!</v>
      </c>
      <c r="N288" s="150"/>
      <c r="O288" s="150" t="e">
        <f t="shared" si="49"/>
        <v>#REF!</v>
      </c>
      <c r="P288" s="150"/>
      <c r="Q288" s="150"/>
      <c r="R288" s="150" t="e">
        <f t="shared" si="50"/>
        <v>#REF!</v>
      </c>
      <c r="S288" s="150" t="e">
        <f t="shared" si="51"/>
        <v>#REF!</v>
      </c>
      <c r="T288" s="161" t="e">
        <f t="shared" si="52"/>
        <v>#REF!</v>
      </c>
      <c r="U288" s="161" t="e">
        <f t="shared" si="53"/>
        <v>#REF!</v>
      </c>
      <c r="V288" s="134" t="e">
        <f t="shared" si="54"/>
        <v>#REF!</v>
      </c>
      <c r="W288" s="134" t="e">
        <f t="shared" si="55"/>
        <v>#REF!</v>
      </c>
      <c r="X288" s="134" t="e">
        <f t="shared" si="56"/>
        <v>#REF!</v>
      </c>
    </row>
    <row r="289" spans="2:24" ht="15.75" thickBot="1" x14ac:dyDescent="0.3">
      <c r="B289" s="1253"/>
      <c r="C289" s="36" t="e">
        <f>'Combustão Móvel'!#REF!</f>
        <v>#REF!</v>
      </c>
      <c r="D289" s="156" t="e">
        <f>'Combustão Móvel'!#REF!</f>
        <v>#REF!</v>
      </c>
      <c r="E289" s="150" t="e">
        <f>'Combustão Móvel'!#REF!</f>
        <v>#REF!</v>
      </c>
      <c r="F289" s="150" t="e">
        <f t="shared" si="57"/>
        <v>#REF!</v>
      </c>
      <c r="G289" s="150" t="e">
        <f t="shared" si="58"/>
        <v>#REF!</v>
      </c>
      <c r="H289" s="150" t="e">
        <f t="shared" si="59"/>
        <v>#REF!</v>
      </c>
      <c r="I289" s="150" t="e">
        <f t="shared" si="60"/>
        <v>#REF!</v>
      </c>
      <c r="J289" s="150" t="e">
        <f t="shared" si="61"/>
        <v>#REF!</v>
      </c>
      <c r="K289" s="157" t="e">
        <f t="shared" si="62"/>
        <v>#REF!</v>
      </c>
      <c r="L289" s="64" t="e">
        <f>'Combustão Móvel'!#REF!</f>
        <v>#REF!</v>
      </c>
      <c r="M289" s="65" t="e">
        <f>'Combustão Móvel'!#REF!</f>
        <v>#REF!</v>
      </c>
      <c r="N289" s="150"/>
      <c r="O289" s="150" t="e">
        <f t="shared" si="49"/>
        <v>#REF!</v>
      </c>
      <c r="P289" s="150"/>
      <c r="Q289" s="150"/>
      <c r="R289" s="150" t="e">
        <f t="shared" si="50"/>
        <v>#REF!</v>
      </c>
      <c r="S289" s="150" t="e">
        <f t="shared" si="51"/>
        <v>#REF!</v>
      </c>
      <c r="T289" s="161" t="e">
        <f t="shared" si="52"/>
        <v>#REF!</v>
      </c>
      <c r="U289" s="161" t="e">
        <f t="shared" si="53"/>
        <v>#REF!</v>
      </c>
      <c r="V289" s="134" t="e">
        <f t="shared" si="54"/>
        <v>#REF!</v>
      </c>
      <c r="W289" s="134" t="e">
        <f t="shared" si="55"/>
        <v>#REF!</v>
      </c>
      <c r="X289" s="134" t="e">
        <f t="shared" si="56"/>
        <v>#REF!</v>
      </c>
    </row>
    <row r="290" spans="2:24" ht="15.75" thickBot="1" x14ac:dyDescent="0.3">
      <c r="B290" s="1253"/>
      <c r="C290" s="36" t="e">
        <f>'Combustão Móvel'!#REF!</f>
        <v>#REF!</v>
      </c>
      <c r="D290" s="156" t="e">
        <f>'Combustão Móvel'!#REF!</f>
        <v>#REF!</v>
      </c>
      <c r="E290" s="150" t="e">
        <f>'Combustão Móvel'!#REF!</f>
        <v>#REF!</v>
      </c>
      <c r="F290" s="150" t="e">
        <f t="shared" si="57"/>
        <v>#REF!</v>
      </c>
      <c r="G290" s="150" t="e">
        <f t="shared" si="58"/>
        <v>#REF!</v>
      </c>
      <c r="H290" s="150" t="e">
        <f t="shared" si="59"/>
        <v>#REF!</v>
      </c>
      <c r="I290" s="150" t="e">
        <f t="shared" si="60"/>
        <v>#REF!</v>
      </c>
      <c r="J290" s="150" t="e">
        <f t="shared" si="61"/>
        <v>#REF!</v>
      </c>
      <c r="K290" s="157" t="e">
        <f t="shared" si="62"/>
        <v>#REF!</v>
      </c>
      <c r="L290" s="64" t="e">
        <f>'Combustão Móvel'!#REF!</f>
        <v>#REF!</v>
      </c>
      <c r="M290" s="65" t="e">
        <f>'Combustão Móvel'!#REF!</f>
        <v>#REF!</v>
      </c>
      <c r="N290" s="150"/>
      <c r="O290" s="150" t="e">
        <f t="shared" ref="O290:O353" si="63">IF($M290=$O$31,IF($L290=$B$26,$D290,0),0)</f>
        <v>#REF!</v>
      </c>
      <c r="P290" s="150"/>
      <c r="Q290" s="150"/>
      <c r="R290" s="150" t="e">
        <f t="shared" ref="R290:R353" si="64">IF($M290=$R$31,IF($L290=$B$26,$D290,0),0)</f>
        <v>#REF!</v>
      </c>
      <c r="S290" s="150" t="e">
        <f t="shared" ref="S290:S353" si="65">IF($M290=$S$31,IF($L290=$B$26,$D290,0),0)</f>
        <v>#REF!</v>
      </c>
      <c r="T290" s="161" t="e">
        <f t="shared" ref="T290:T353" si="66">IF($L290=$T$32,$D290,0)</f>
        <v>#REF!</v>
      </c>
      <c r="U290" s="161" t="e">
        <f t="shared" ref="U290:U353" si="67">IF($L290=$U$32,$D290,0)</f>
        <v>#REF!</v>
      </c>
      <c r="V290" s="134" t="e">
        <f t="shared" si="54"/>
        <v>#REF!</v>
      </c>
      <c r="W290" s="134" t="e">
        <f t="shared" si="55"/>
        <v>#REF!</v>
      </c>
      <c r="X290" s="134" t="e">
        <f t="shared" si="56"/>
        <v>#REF!</v>
      </c>
    </row>
    <row r="291" spans="2:24" ht="15.75" thickBot="1" x14ac:dyDescent="0.3">
      <c r="B291" s="1253"/>
      <c r="C291" s="36" t="e">
        <f>'Combustão Móvel'!#REF!</f>
        <v>#REF!</v>
      </c>
      <c r="D291" s="156" t="e">
        <f>'Combustão Móvel'!#REF!</f>
        <v>#REF!</v>
      </c>
      <c r="E291" s="150" t="e">
        <f>'Combustão Móvel'!#REF!</f>
        <v>#REF!</v>
      </c>
      <c r="F291" s="150" t="e">
        <f t="shared" si="57"/>
        <v>#REF!</v>
      </c>
      <c r="G291" s="150" t="e">
        <f t="shared" si="58"/>
        <v>#REF!</v>
      </c>
      <c r="H291" s="150" t="e">
        <f t="shared" si="59"/>
        <v>#REF!</v>
      </c>
      <c r="I291" s="150" t="e">
        <f t="shared" si="60"/>
        <v>#REF!</v>
      </c>
      <c r="J291" s="150" t="e">
        <f t="shared" si="61"/>
        <v>#REF!</v>
      </c>
      <c r="K291" s="157" t="e">
        <f t="shared" si="62"/>
        <v>#REF!</v>
      </c>
      <c r="L291" s="64" t="e">
        <f>'Combustão Móvel'!#REF!</f>
        <v>#REF!</v>
      </c>
      <c r="M291" s="65" t="e">
        <f>'Combustão Móvel'!#REF!</f>
        <v>#REF!</v>
      </c>
      <c r="N291" s="150"/>
      <c r="O291" s="150" t="e">
        <f t="shared" si="63"/>
        <v>#REF!</v>
      </c>
      <c r="P291" s="150"/>
      <c r="Q291" s="150"/>
      <c r="R291" s="150" t="e">
        <f t="shared" si="64"/>
        <v>#REF!</v>
      </c>
      <c r="S291" s="150" t="e">
        <f t="shared" si="65"/>
        <v>#REF!</v>
      </c>
      <c r="T291" s="161" t="e">
        <f t="shared" si="66"/>
        <v>#REF!</v>
      </c>
      <c r="U291" s="161" t="e">
        <f t="shared" si="67"/>
        <v>#REF!</v>
      </c>
      <c r="V291" s="134" t="e">
        <f t="shared" si="54"/>
        <v>#REF!</v>
      </c>
      <c r="W291" s="134" t="e">
        <f t="shared" si="55"/>
        <v>#REF!</v>
      </c>
      <c r="X291" s="134" t="e">
        <f t="shared" si="56"/>
        <v>#REF!</v>
      </c>
    </row>
    <row r="292" spans="2:24" ht="15.75" thickBot="1" x14ac:dyDescent="0.3">
      <c r="B292" s="1253"/>
      <c r="C292" s="36" t="e">
        <f>'Combustão Móvel'!#REF!</f>
        <v>#REF!</v>
      </c>
      <c r="D292" s="156" t="e">
        <f>'Combustão Móvel'!#REF!</f>
        <v>#REF!</v>
      </c>
      <c r="E292" s="150" t="e">
        <f>'Combustão Móvel'!#REF!</f>
        <v>#REF!</v>
      </c>
      <c r="F292" s="150" t="e">
        <f t="shared" si="57"/>
        <v>#REF!</v>
      </c>
      <c r="G292" s="150" t="e">
        <f t="shared" si="58"/>
        <v>#REF!</v>
      </c>
      <c r="H292" s="150" t="e">
        <f t="shared" si="59"/>
        <v>#REF!</v>
      </c>
      <c r="I292" s="150" t="e">
        <f t="shared" si="60"/>
        <v>#REF!</v>
      </c>
      <c r="J292" s="150" t="e">
        <f t="shared" si="61"/>
        <v>#REF!</v>
      </c>
      <c r="K292" s="157" t="e">
        <f t="shared" si="62"/>
        <v>#REF!</v>
      </c>
      <c r="L292" s="64" t="e">
        <f>'Combustão Móvel'!#REF!</f>
        <v>#REF!</v>
      </c>
      <c r="M292" s="65" t="e">
        <f>'Combustão Móvel'!#REF!</f>
        <v>#REF!</v>
      </c>
      <c r="N292" s="150"/>
      <c r="O292" s="150" t="e">
        <f t="shared" si="63"/>
        <v>#REF!</v>
      </c>
      <c r="P292" s="150"/>
      <c r="Q292" s="150"/>
      <c r="R292" s="150" t="e">
        <f t="shared" si="64"/>
        <v>#REF!</v>
      </c>
      <c r="S292" s="150" t="e">
        <f t="shared" si="65"/>
        <v>#REF!</v>
      </c>
      <c r="T292" s="161" t="e">
        <f t="shared" si="66"/>
        <v>#REF!</v>
      </c>
      <c r="U292" s="161" t="e">
        <f t="shared" si="67"/>
        <v>#REF!</v>
      </c>
      <c r="V292" s="134" t="e">
        <f t="shared" si="54"/>
        <v>#REF!</v>
      </c>
      <c r="W292" s="134" t="e">
        <f t="shared" si="55"/>
        <v>#REF!</v>
      </c>
      <c r="X292" s="134" t="e">
        <f t="shared" si="56"/>
        <v>#REF!</v>
      </c>
    </row>
    <row r="293" spans="2:24" ht="15.75" thickBot="1" x14ac:dyDescent="0.3">
      <c r="B293" s="1253"/>
      <c r="C293" s="36" t="e">
        <f>'Combustão Móvel'!#REF!</f>
        <v>#REF!</v>
      </c>
      <c r="D293" s="156" t="e">
        <f>'Combustão Móvel'!#REF!</f>
        <v>#REF!</v>
      </c>
      <c r="E293" s="150" t="e">
        <f>'Combustão Móvel'!#REF!</f>
        <v>#REF!</v>
      </c>
      <c r="F293" s="150" t="e">
        <f t="shared" si="57"/>
        <v>#REF!</v>
      </c>
      <c r="G293" s="150" t="e">
        <f t="shared" si="58"/>
        <v>#REF!</v>
      </c>
      <c r="H293" s="150" t="e">
        <f t="shared" si="59"/>
        <v>#REF!</v>
      </c>
      <c r="I293" s="150" t="e">
        <f t="shared" si="60"/>
        <v>#REF!</v>
      </c>
      <c r="J293" s="150" t="e">
        <f t="shared" si="61"/>
        <v>#REF!</v>
      </c>
      <c r="K293" s="157" t="e">
        <f t="shared" si="62"/>
        <v>#REF!</v>
      </c>
      <c r="L293" s="64" t="e">
        <f>'Combustão Móvel'!#REF!</f>
        <v>#REF!</v>
      </c>
      <c r="M293" s="65" t="e">
        <f>'Combustão Móvel'!#REF!</f>
        <v>#REF!</v>
      </c>
      <c r="N293" s="150"/>
      <c r="O293" s="150" t="e">
        <f t="shared" si="63"/>
        <v>#REF!</v>
      </c>
      <c r="P293" s="150"/>
      <c r="Q293" s="150"/>
      <c r="R293" s="150" t="e">
        <f t="shared" si="64"/>
        <v>#REF!</v>
      </c>
      <c r="S293" s="150" t="e">
        <f t="shared" si="65"/>
        <v>#REF!</v>
      </c>
      <c r="T293" s="161" t="e">
        <f t="shared" si="66"/>
        <v>#REF!</v>
      </c>
      <c r="U293" s="161" t="e">
        <f t="shared" si="67"/>
        <v>#REF!</v>
      </c>
      <c r="V293" s="134" t="e">
        <f t="shared" ref="V293:V356" si="68">IF($L293="Não",F293,"")</f>
        <v>#REF!</v>
      </c>
      <c r="W293" s="134" t="e">
        <f t="shared" ref="W293:W356" si="69">IF($L293="Não",G293,"")</f>
        <v>#REF!</v>
      </c>
      <c r="X293" s="134" t="e">
        <f t="shared" ref="X293:X356" si="70">IF($L293="Não",H293,"")</f>
        <v>#REF!</v>
      </c>
    </row>
    <row r="294" spans="2:24" ht="15.75" thickBot="1" x14ac:dyDescent="0.3">
      <c r="B294" s="1253"/>
      <c r="C294" s="36" t="e">
        <f>'Combustão Móvel'!#REF!</f>
        <v>#REF!</v>
      </c>
      <c r="D294" s="156" t="e">
        <f>'Combustão Móvel'!#REF!</f>
        <v>#REF!</v>
      </c>
      <c r="E294" s="150" t="e">
        <f>'Combustão Móvel'!#REF!</f>
        <v>#REF!</v>
      </c>
      <c r="F294" s="150" t="e">
        <f t="shared" si="57"/>
        <v>#REF!</v>
      </c>
      <c r="G294" s="150" t="e">
        <f t="shared" si="58"/>
        <v>#REF!</v>
      </c>
      <c r="H294" s="150" t="e">
        <f t="shared" si="59"/>
        <v>#REF!</v>
      </c>
      <c r="I294" s="150" t="e">
        <f t="shared" si="60"/>
        <v>#REF!</v>
      </c>
      <c r="J294" s="150" t="e">
        <f t="shared" si="61"/>
        <v>#REF!</v>
      </c>
      <c r="K294" s="157" t="e">
        <f t="shared" si="62"/>
        <v>#REF!</v>
      </c>
      <c r="L294" s="64" t="e">
        <f>'Combustão Móvel'!#REF!</f>
        <v>#REF!</v>
      </c>
      <c r="M294" s="65" t="e">
        <f>'Combustão Móvel'!#REF!</f>
        <v>#REF!</v>
      </c>
      <c r="N294" s="150"/>
      <c r="O294" s="150" t="e">
        <f t="shared" si="63"/>
        <v>#REF!</v>
      </c>
      <c r="P294" s="150"/>
      <c r="Q294" s="150"/>
      <c r="R294" s="150" t="e">
        <f t="shared" si="64"/>
        <v>#REF!</v>
      </c>
      <c r="S294" s="150" t="e">
        <f t="shared" si="65"/>
        <v>#REF!</v>
      </c>
      <c r="T294" s="161" t="e">
        <f t="shared" si="66"/>
        <v>#REF!</v>
      </c>
      <c r="U294" s="161" t="e">
        <f t="shared" si="67"/>
        <v>#REF!</v>
      </c>
      <c r="V294" s="134" t="e">
        <f t="shared" si="68"/>
        <v>#REF!</v>
      </c>
      <c r="W294" s="134" t="e">
        <f t="shared" si="69"/>
        <v>#REF!</v>
      </c>
      <c r="X294" s="134" t="e">
        <f t="shared" si="70"/>
        <v>#REF!</v>
      </c>
    </row>
    <row r="295" spans="2:24" ht="15.75" thickBot="1" x14ac:dyDescent="0.3">
      <c r="B295" s="1253"/>
      <c r="C295" s="36" t="e">
        <f>'Combustão Móvel'!#REF!</f>
        <v>#REF!</v>
      </c>
      <c r="D295" s="156" t="e">
        <f>'Combustão Móvel'!#REF!</f>
        <v>#REF!</v>
      </c>
      <c r="E295" s="150" t="e">
        <f>'Combustão Móvel'!#REF!</f>
        <v>#REF!</v>
      </c>
      <c r="F295" s="150" t="e">
        <f t="shared" si="57"/>
        <v>#REF!</v>
      </c>
      <c r="G295" s="150" t="e">
        <f t="shared" si="58"/>
        <v>#REF!</v>
      </c>
      <c r="H295" s="150" t="e">
        <f t="shared" si="59"/>
        <v>#REF!</v>
      </c>
      <c r="I295" s="150" t="e">
        <f t="shared" si="60"/>
        <v>#REF!</v>
      </c>
      <c r="J295" s="150" t="e">
        <f t="shared" si="61"/>
        <v>#REF!</v>
      </c>
      <c r="K295" s="157" t="e">
        <f t="shared" si="62"/>
        <v>#REF!</v>
      </c>
      <c r="L295" s="64" t="e">
        <f>'Combustão Móvel'!#REF!</f>
        <v>#REF!</v>
      </c>
      <c r="M295" s="65" t="e">
        <f>'Combustão Móvel'!#REF!</f>
        <v>#REF!</v>
      </c>
      <c r="N295" s="150"/>
      <c r="O295" s="150" t="e">
        <f t="shared" si="63"/>
        <v>#REF!</v>
      </c>
      <c r="P295" s="150"/>
      <c r="Q295" s="150"/>
      <c r="R295" s="150" t="e">
        <f t="shared" si="64"/>
        <v>#REF!</v>
      </c>
      <c r="S295" s="150" t="e">
        <f t="shared" si="65"/>
        <v>#REF!</v>
      </c>
      <c r="T295" s="161" t="e">
        <f t="shared" si="66"/>
        <v>#REF!</v>
      </c>
      <c r="U295" s="161" t="e">
        <f t="shared" si="67"/>
        <v>#REF!</v>
      </c>
      <c r="V295" s="134" t="e">
        <f t="shared" si="68"/>
        <v>#REF!</v>
      </c>
      <c r="W295" s="134" t="e">
        <f t="shared" si="69"/>
        <v>#REF!</v>
      </c>
      <c r="X295" s="134" t="e">
        <f t="shared" si="70"/>
        <v>#REF!</v>
      </c>
    </row>
    <row r="296" spans="2:24" ht="15.75" thickBot="1" x14ac:dyDescent="0.3">
      <c r="B296" s="1253"/>
      <c r="C296" s="36" t="e">
        <f>'Combustão Móvel'!#REF!</f>
        <v>#REF!</v>
      </c>
      <c r="D296" s="156" t="e">
        <f>'Combustão Móvel'!#REF!</f>
        <v>#REF!</v>
      </c>
      <c r="E296" s="150" t="e">
        <f>'Combustão Móvel'!#REF!</f>
        <v>#REF!</v>
      </c>
      <c r="F296" s="150" t="e">
        <f t="shared" si="57"/>
        <v>#REF!</v>
      </c>
      <c r="G296" s="150" t="e">
        <f t="shared" si="58"/>
        <v>#REF!</v>
      </c>
      <c r="H296" s="150" t="e">
        <f t="shared" si="59"/>
        <v>#REF!</v>
      </c>
      <c r="I296" s="150" t="e">
        <f t="shared" si="60"/>
        <v>#REF!</v>
      </c>
      <c r="J296" s="150" t="e">
        <f t="shared" si="61"/>
        <v>#REF!</v>
      </c>
      <c r="K296" s="157" t="e">
        <f t="shared" si="62"/>
        <v>#REF!</v>
      </c>
      <c r="L296" s="64" t="e">
        <f>'Combustão Móvel'!#REF!</f>
        <v>#REF!</v>
      </c>
      <c r="M296" s="65" t="e">
        <f>'Combustão Móvel'!#REF!</f>
        <v>#REF!</v>
      </c>
      <c r="N296" s="150"/>
      <c r="O296" s="150" t="e">
        <f t="shared" si="63"/>
        <v>#REF!</v>
      </c>
      <c r="P296" s="150"/>
      <c r="Q296" s="150"/>
      <c r="R296" s="150" t="e">
        <f t="shared" si="64"/>
        <v>#REF!</v>
      </c>
      <c r="S296" s="150" t="e">
        <f t="shared" si="65"/>
        <v>#REF!</v>
      </c>
      <c r="T296" s="161" t="e">
        <f t="shared" si="66"/>
        <v>#REF!</v>
      </c>
      <c r="U296" s="161" t="e">
        <f t="shared" si="67"/>
        <v>#REF!</v>
      </c>
      <c r="V296" s="134" t="e">
        <f t="shared" si="68"/>
        <v>#REF!</v>
      </c>
      <c r="W296" s="134" t="e">
        <f t="shared" si="69"/>
        <v>#REF!</v>
      </c>
      <c r="X296" s="134" t="e">
        <f t="shared" si="70"/>
        <v>#REF!</v>
      </c>
    </row>
    <row r="297" spans="2:24" ht="15.75" thickBot="1" x14ac:dyDescent="0.3">
      <c r="B297" s="1253"/>
      <c r="C297" s="36" t="e">
        <f>'Combustão Móvel'!#REF!</f>
        <v>#REF!</v>
      </c>
      <c r="D297" s="156" t="e">
        <f>'Combustão Móvel'!#REF!</f>
        <v>#REF!</v>
      </c>
      <c r="E297" s="150" t="e">
        <f>'Combustão Móvel'!#REF!</f>
        <v>#REF!</v>
      </c>
      <c r="F297" s="150" t="e">
        <f t="shared" si="57"/>
        <v>#REF!</v>
      </c>
      <c r="G297" s="150" t="e">
        <f t="shared" si="58"/>
        <v>#REF!</v>
      </c>
      <c r="H297" s="150" t="e">
        <f t="shared" si="59"/>
        <v>#REF!</v>
      </c>
      <c r="I297" s="150" t="e">
        <f t="shared" si="60"/>
        <v>#REF!</v>
      </c>
      <c r="J297" s="150" t="e">
        <f t="shared" si="61"/>
        <v>#REF!</v>
      </c>
      <c r="K297" s="157" t="e">
        <f t="shared" si="62"/>
        <v>#REF!</v>
      </c>
      <c r="L297" s="64" t="e">
        <f>'Combustão Móvel'!#REF!</f>
        <v>#REF!</v>
      </c>
      <c r="M297" s="65" t="e">
        <f>'Combustão Móvel'!#REF!</f>
        <v>#REF!</v>
      </c>
      <c r="N297" s="150"/>
      <c r="O297" s="150" t="e">
        <f t="shared" si="63"/>
        <v>#REF!</v>
      </c>
      <c r="P297" s="150"/>
      <c r="Q297" s="150"/>
      <c r="R297" s="150" t="e">
        <f t="shared" si="64"/>
        <v>#REF!</v>
      </c>
      <c r="S297" s="150" t="e">
        <f t="shared" si="65"/>
        <v>#REF!</v>
      </c>
      <c r="T297" s="161" t="e">
        <f t="shared" si="66"/>
        <v>#REF!</v>
      </c>
      <c r="U297" s="161" t="e">
        <f t="shared" si="67"/>
        <v>#REF!</v>
      </c>
      <c r="V297" s="134" t="e">
        <f t="shared" si="68"/>
        <v>#REF!</v>
      </c>
      <c r="W297" s="134" t="e">
        <f t="shared" si="69"/>
        <v>#REF!</v>
      </c>
      <c r="X297" s="134" t="e">
        <f t="shared" si="70"/>
        <v>#REF!</v>
      </c>
    </row>
    <row r="298" spans="2:24" ht="15.75" thickBot="1" x14ac:dyDescent="0.3">
      <c r="B298" s="1253"/>
      <c r="C298" s="36" t="e">
        <f>'Combustão Móvel'!#REF!</f>
        <v>#REF!</v>
      </c>
      <c r="D298" s="156" t="e">
        <f>'Combustão Móvel'!#REF!</f>
        <v>#REF!</v>
      </c>
      <c r="E298" s="150" t="e">
        <f>'Combustão Móvel'!#REF!</f>
        <v>#REF!</v>
      </c>
      <c r="F298" s="150" t="e">
        <f t="shared" ref="F298:F332" si="71">IF(C298=$F$32,D298,0)</f>
        <v>#REF!</v>
      </c>
      <c r="G298" s="150" t="e">
        <f t="shared" ref="G298:G332" si="72">IF(C298=$G$32,D298,0)</f>
        <v>#REF!</v>
      </c>
      <c r="H298" s="150" t="e">
        <f t="shared" ref="H298:H332" si="73">IF(C298=$H$32,D298,0)</f>
        <v>#REF!</v>
      </c>
      <c r="I298" s="150" t="e">
        <f t="shared" ref="I298:I332" si="74">IF(C298=$I$32,E298,0)</f>
        <v>#REF!</v>
      </c>
      <c r="J298" s="150" t="e">
        <f t="shared" ref="J298:J332" si="75">IF(C298=$J$32,E298,0)</f>
        <v>#REF!</v>
      </c>
      <c r="K298" s="157" t="e">
        <f t="shared" ref="K298:K332" si="76">IF(C298=$K$32,E298,0)</f>
        <v>#REF!</v>
      </c>
      <c r="L298" s="64" t="e">
        <f>'Combustão Móvel'!#REF!</f>
        <v>#REF!</v>
      </c>
      <c r="M298" s="65" t="e">
        <f>'Combustão Móvel'!#REF!</f>
        <v>#REF!</v>
      </c>
      <c r="N298" s="150"/>
      <c r="O298" s="150" t="e">
        <f t="shared" si="63"/>
        <v>#REF!</v>
      </c>
      <c r="P298" s="150"/>
      <c r="Q298" s="150"/>
      <c r="R298" s="150" t="e">
        <f t="shared" si="64"/>
        <v>#REF!</v>
      </c>
      <c r="S298" s="150" t="e">
        <f t="shared" si="65"/>
        <v>#REF!</v>
      </c>
      <c r="T298" s="161" t="e">
        <f t="shared" si="66"/>
        <v>#REF!</v>
      </c>
      <c r="U298" s="161" t="e">
        <f t="shared" si="67"/>
        <v>#REF!</v>
      </c>
      <c r="V298" s="134" t="e">
        <f t="shared" si="68"/>
        <v>#REF!</v>
      </c>
      <c r="W298" s="134" t="e">
        <f t="shared" si="69"/>
        <v>#REF!</v>
      </c>
      <c r="X298" s="134" t="e">
        <f t="shared" si="70"/>
        <v>#REF!</v>
      </c>
    </row>
    <row r="299" spans="2:24" ht="15.75" thickBot="1" x14ac:dyDescent="0.3">
      <c r="B299" s="1253"/>
      <c r="C299" s="36" t="e">
        <f>'Combustão Móvel'!#REF!</f>
        <v>#REF!</v>
      </c>
      <c r="D299" s="156" t="e">
        <f>'Combustão Móvel'!#REF!</f>
        <v>#REF!</v>
      </c>
      <c r="E299" s="150" t="e">
        <f>'Combustão Móvel'!#REF!</f>
        <v>#REF!</v>
      </c>
      <c r="F299" s="150" t="e">
        <f t="shared" si="71"/>
        <v>#REF!</v>
      </c>
      <c r="G299" s="150" t="e">
        <f t="shared" si="72"/>
        <v>#REF!</v>
      </c>
      <c r="H299" s="150" t="e">
        <f t="shared" si="73"/>
        <v>#REF!</v>
      </c>
      <c r="I299" s="150" t="e">
        <f t="shared" si="74"/>
        <v>#REF!</v>
      </c>
      <c r="J299" s="150" t="e">
        <f t="shared" si="75"/>
        <v>#REF!</v>
      </c>
      <c r="K299" s="157" t="e">
        <f t="shared" si="76"/>
        <v>#REF!</v>
      </c>
      <c r="L299" s="64" t="e">
        <f>'Combustão Móvel'!#REF!</f>
        <v>#REF!</v>
      </c>
      <c r="M299" s="65" t="e">
        <f>'Combustão Móvel'!#REF!</f>
        <v>#REF!</v>
      </c>
      <c r="N299" s="150"/>
      <c r="O299" s="150" t="e">
        <f t="shared" si="63"/>
        <v>#REF!</v>
      </c>
      <c r="P299" s="150"/>
      <c r="Q299" s="150"/>
      <c r="R299" s="150" t="e">
        <f t="shared" si="64"/>
        <v>#REF!</v>
      </c>
      <c r="S299" s="150" t="e">
        <f t="shared" si="65"/>
        <v>#REF!</v>
      </c>
      <c r="T299" s="161" t="e">
        <f t="shared" si="66"/>
        <v>#REF!</v>
      </c>
      <c r="U299" s="161" t="e">
        <f t="shared" si="67"/>
        <v>#REF!</v>
      </c>
      <c r="V299" s="134" t="e">
        <f t="shared" si="68"/>
        <v>#REF!</v>
      </c>
      <c r="W299" s="134" t="e">
        <f t="shared" si="69"/>
        <v>#REF!</v>
      </c>
      <c r="X299" s="134" t="e">
        <f t="shared" si="70"/>
        <v>#REF!</v>
      </c>
    </row>
    <row r="300" spans="2:24" ht="15.75" thickBot="1" x14ac:dyDescent="0.3">
      <c r="B300" s="1253"/>
      <c r="C300" s="36" t="e">
        <f>'Combustão Móvel'!#REF!</f>
        <v>#REF!</v>
      </c>
      <c r="D300" s="156" t="e">
        <f>'Combustão Móvel'!#REF!</f>
        <v>#REF!</v>
      </c>
      <c r="E300" s="150" t="e">
        <f>'Combustão Móvel'!#REF!</f>
        <v>#REF!</v>
      </c>
      <c r="F300" s="150" t="e">
        <f t="shared" si="71"/>
        <v>#REF!</v>
      </c>
      <c r="G300" s="150" t="e">
        <f t="shared" si="72"/>
        <v>#REF!</v>
      </c>
      <c r="H300" s="150" t="e">
        <f t="shared" si="73"/>
        <v>#REF!</v>
      </c>
      <c r="I300" s="150" t="e">
        <f t="shared" si="74"/>
        <v>#REF!</v>
      </c>
      <c r="J300" s="150" t="e">
        <f t="shared" si="75"/>
        <v>#REF!</v>
      </c>
      <c r="K300" s="157" t="e">
        <f t="shared" si="76"/>
        <v>#REF!</v>
      </c>
      <c r="L300" s="64" t="e">
        <f>'Combustão Móvel'!#REF!</f>
        <v>#REF!</v>
      </c>
      <c r="M300" s="65" t="e">
        <f>'Combustão Móvel'!#REF!</f>
        <v>#REF!</v>
      </c>
      <c r="N300" s="150"/>
      <c r="O300" s="150" t="e">
        <f t="shared" si="63"/>
        <v>#REF!</v>
      </c>
      <c r="P300" s="150"/>
      <c r="Q300" s="150"/>
      <c r="R300" s="150" t="e">
        <f t="shared" si="64"/>
        <v>#REF!</v>
      </c>
      <c r="S300" s="150" t="e">
        <f t="shared" si="65"/>
        <v>#REF!</v>
      </c>
      <c r="T300" s="161" t="e">
        <f t="shared" si="66"/>
        <v>#REF!</v>
      </c>
      <c r="U300" s="161" t="e">
        <f t="shared" si="67"/>
        <v>#REF!</v>
      </c>
      <c r="V300" s="134" t="e">
        <f t="shared" si="68"/>
        <v>#REF!</v>
      </c>
      <c r="W300" s="134" t="e">
        <f t="shared" si="69"/>
        <v>#REF!</v>
      </c>
      <c r="X300" s="134" t="e">
        <f t="shared" si="70"/>
        <v>#REF!</v>
      </c>
    </row>
    <row r="301" spans="2:24" ht="15.75" thickBot="1" x14ac:dyDescent="0.3">
      <c r="B301" s="1253"/>
      <c r="C301" s="36" t="e">
        <f>'Combustão Móvel'!#REF!</f>
        <v>#REF!</v>
      </c>
      <c r="D301" s="156" t="e">
        <f>'Combustão Móvel'!#REF!</f>
        <v>#REF!</v>
      </c>
      <c r="E301" s="150" t="e">
        <f>'Combustão Móvel'!#REF!</f>
        <v>#REF!</v>
      </c>
      <c r="F301" s="150" t="e">
        <f t="shared" si="71"/>
        <v>#REF!</v>
      </c>
      <c r="G301" s="150" t="e">
        <f t="shared" si="72"/>
        <v>#REF!</v>
      </c>
      <c r="H301" s="150" t="e">
        <f t="shared" si="73"/>
        <v>#REF!</v>
      </c>
      <c r="I301" s="150" t="e">
        <f t="shared" si="74"/>
        <v>#REF!</v>
      </c>
      <c r="J301" s="150" t="e">
        <f t="shared" si="75"/>
        <v>#REF!</v>
      </c>
      <c r="K301" s="157" t="e">
        <f t="shared" si="76"/>
        <v>#REF!</v>
      </c>
      <c r="L301" s="64" t="e">
        <f>'Combustão Móvel'!#REF!</f>
        <v>#REF!</v>
      </c>
      <c r="M301" s="65" t="e">
        <f>'Combustão Móvel'!#REF!</f>
        <v>#REF!</v>
      </c>
      <c r="N301" s="150"/>
      <c r="O301" s="150" t="e">
        <f t="shared" si="63"/>
        <v>#REF!</v>
      </c>
      <c r="P301" s="150"/>
      <c r="Q301" s="150"/>
      <c r="R301" s="150" t="e">
        <f t="shared" si="64"/>
        <v>#REF!</v>
      </c>
      <c r="S301" s="150" t="e">
        <f t="shared" si="65"/>
        <v>#REF!</v>
      </c>
      <c r="T301" s="161" t="e">
        <f t="shared" si="66"/>
        <v>#REF!</v>
      </c>
      <c r="U301" s="161" t="e">
        <f t="shared" si="67"/>
        <v>#REF!</v>
      </c>
      <c r="V301" s="134" t="e">
        <f t="shared" si="68"/>
        <v>#REF!</v>
      </c>
      <c r="W301" s="134" t="e">
        <f t="shared" si="69"/>
        <v>#REF!</v>
      </c>
      <c r="X301" s="134" t="e">
        <f t="shared" si="70"/>
        <v>#REF!</v>
      </c>
    </row>
    <row r="302" spans="2:24" ht="15.75" thickBot="1" x14ac:dyDescent="0.3">
      <c r="B302" s="1253"/>
      <c r="C302" s="36" t="e">
        <f>'Combustão Móvel'!#REF!</f>
        <v>#REF!</v>
      </c>
      <c r="D302" s="156" t="e">
        <f>'Combustão Móvel'!#REF!</f>
        <v>#REF!</v>
      </c>
      <c r="E302" s="150" t="e">
        <f>'Combustão Móvel'!#REF!</f>
        <v>#REF!</v>
      </c>
      <c r="F302" s="150" t="e">
        <f t="shared" si="71"/>
        <v>#REF!</v>
      </c>
      <c r="G302" s="150" t="e">
        <f t="shared" si="72"/>
        <v>#REF!</v>
      </c>
      <c r="H302" s="150" t="e">
        <f t="shared" si="73"/>
        <v>#REF!</v>
      </c>
      <c r="I302" s="150" t="e">
        <f t="shared" si="74"/>
        <v>#REF!</v>
      </c>
      <c r="J302" s="150" t="e">
        <f t="shared" si="75"/>
        <v>#REF!</v>
      </c>
      <c r="K302" s="157" t="e">
        <f t="shared" si="76"/>
        <v>#REF!</v>
      </c>
      <c r="L302" s="64" t="e">
        <f>'Combustão Móvel'!#REF!</f>
        <v>#REF!</v>
      </c>
      <c r="M302" s="65" t="e">
        <f>'Combustão Móvel'!#REF!</f>
        <v>#REF!</v>
      </c>
      <c r="N302" s="150"/>
      <c r="O302" s="150" t="e">
        <f t="shared" si="63"/>
        <v>#REF!</v>
      </c>
      <c r="P302" s="150"/>
      <c r="Q302" s="150"/>
      <c r="R302" s="150" t="e">
        <f t="shared" si="64"/>
        <v>#REF!</v>
      </c>
      <c r="S302" s="150" t="e">
        <f t="shared" si="65"/>
        <v>#REF!</v>
      </c>
      <c r="T302" s="161" t="e">
        <f t="shared" si="66"/>
        <v>#REF!</v>
      </c>
      <c r="U302" s="161" t="e">
        <f t="shared" si="67"/>
        <v>#REF!</v>
      </c>
      <c r="V302" s="134" t="e">
        <f t="shared" si="68"/>
        <v>#REF!</v>
      </c>
      <c r="W302" s="134" t="e">
        <f t="shared" si="69"/>
        <v>#REF!</v>
      </c>
      <c r="X302" s="134" t="e">
        <f t="shared" si="70"/>
        <v>#REF!</v>
      </c>
    </row>
    <row r="303" spans="2:24" ht="15.75" thickBot="1" x14ac:dyDescent="0.3">
      <c r="B303" s="1253"/>
      <c r="C303" s="36" t="e">
        <f>'Combustão Móvel'!#REF!</f>
        <v>#REF!</v>
      </c>
      <c r="D303" s="156" t="e">
        <f>'Combustão Móvel'!#REF!</f>
        <v>#REF!</v>
      </c>
      <c r="E303" s="150" t="e">
        <f>'Combustão Móvel'!#REF!</f>
        <v>#REF!</v>
      </c>
      <c r="F303" s="150" t="e">
        <f t="shared" si="71"/>
        <v>#REF!</v>
      </c>
      <c r="G303" s="150" t="e">
        <f t="shared" si="72"/>
        <v>#REF!</v>
      </c>
      <c r="H303" s="150" t="e">
        <f t="shared" si="73"/>
        <v>#REF!</v>
      </c>
      <c r="I303" s="150" t="e">
        <f t="shared" si="74"/>
        <v>#REF!</v>
      </c>
      <c r="J303" s="150" t="e">
        <f t="shared" si="75"/>
        <v>#REF!</v>
      </c>
      <c r="K303" s="157" t="e">
        <f t="shared" si="76"/>
        <v>#REF!</v>
      </c>
      <c r="L303" s="64" t="e">
        <f>'Combustão Móvel'!#REF!</f>
        <v>#REF!</v>
      </c>
      <c r="M303" s="65" t="e">
        <f>'Combustão Móvel'!#REF!</f>
        <v>#REF!</v>
      </c>
      <c r="N303" s="150"/>
      <c r="O303" s="150" t="e">
        <f t="shared" si="63"/>
        <v>#REF!</v>
      </c>
      <c r="P303" s="150"/>
      <c r="Q303" s="150"/>
      <c r="R303" s="150" t="e">
        <f t="shared" si="64"/>
        <v>#REF!</v>
      </c>
      <c r="S303" s="150" t="e">
        <f t="shared" si="65"/>
        <v>#REF!</v>
      </c>
      <c r="T303" s="161" t="e">
        <f t="shared" si="66"/>
        <v>#REF!</v>
      </c>
      <c r="U303" s="161" t="e">
        <f t="shared" si="67"/>
        <v>#REF!</v>
      </c>
      <c r="V303" s="134" t="e">
        <f t="shared" si="68"/>
        <v>#REF!</v>
      </c>
      <c r="W303" s="134" t="e">
        <f t="shared" si="69"/>
        <v>#REF!</v>
      </c>
      <c r="X303" s="134" t="e">
        <f t="shared" si="70"/>
        <v>#REF!</v>
      </c>
    </row>
    <row r="304" spans="2:24" ht="15.75" thickBot="1" x14ac:dyDescent="0.3">
      <c r="B304" s="1253"/>
      <c r="C304" s="36" t="e">
        <f>'Combustão Móvel'!#REF!</f>
        <v>#REF!</v>
      </c>
      <c r="D304" s="156" t="e">
        <f>'Combustão Móvel'!#REF!</f>
        <v>#REF!</v>
      </c>
      <c r="E304" s="150" t="e">
        <f>'Combustão Móvel'!#REF!</f>
        <v>#REF!</v>
      </c>
      <c r="F304" s="150" t="e">
        <f t="shared" si="71"/>
        <v>#REF!</v>
      </c>
      <c r="G304" s="150" t="e">
        <f t="shared" si="72"/>
        <v>#REF!</v>
      </c>
      <c r="H304" s="150" t="e">
        <f t="shared" si="73"/>
        <v>#REF!</v>
      </c>
      <c r="I304" s="150" t="e">
        <f t="shared" si="74"/>
        <v>#REF!</v>
      </c>
      <c r="J304" s="150" t="e">
        <f t="shared" si="75"/>
        <v>#REF!</v>
      </c>
      <c r="K304" s="157" t="e">
        <f t="shared" si="76"/>
        <v>#REF!</v>
      </c>
      <c r="L304" s="64" t="e">
        <f>'Combustão Móvel'!#REF!</f>
        <v>#REF!</v>
      </c>
      <c r="M304" s="65" t="e">
        <f>'Combustão Móvel'!#REF!</f>
        <v>#REF!</v>
      </c>
      <c r="N304" s="150"/>
      <c r="O304" s="150" t="e">
        <f t="shared" si="63"/>
        <v>#REF!</v>
      </c>
      <c r="P304" s="150"/>
      <c r="Q304" s="150"/>
      <c r="R304" s="150" t="e">
        <f t="shared" si="64"/>
        <v>#REF!</v>
      </c>
      <c r="S304" s="150" t="e">
        <f t="shared" si="65"/>
        <v>#REF!</v>
      </c>
      <c r="T304" s="161" t="e">
        <f t="shared" si="66"/>
        <v>#REF!</v>
      </c>
      <c r="U304" s="161" t="e">
        <f t="shared" si="67"/>
        <v>#REF!</v>
      </c>
      <c r="V304" s="134" t="e">
        <f t="shared" si="68"/>
        <v>#REF!</v>
      </c>
      <c r="W304" s="134" t="e">
        <f t="shared" si="69"/>
        <v>#REF!</v>
      </c>
      <c r="X304" s="134" t="e">
        <f t="shared" si="70"/>
        <v>#REF!</v>
      </c>
    </row>
    <row r="305" spans="2:24" ht="15.75" thickBot="1" x14ac:dyDescent="0.3">
      <c r="B305" s="1253"/>
      <c r="C305" s="36" t="e">
        <f>'Combustão Móvel'!#REF!</f>
        <v>#REF!</v>
      </c>
      <c r="D305" s="156" t="e">
        <f>'Combustão Móvel'!#REF!</f>
        <v>#REF!</v>
      </c>
      <c r="E305" s="150" t="e">
        <f>'Combustão Móvel'!#REF!</f>
        <v>#REF!</v>
      </c>
      <c r="F305" s="150" t="e">
        <f t="shared" si="71"/>
        <v>#REF!</v>
      </c>
      <c r="G305" s="150" t="e">
        <f t="shared" si="72"/>
        <v>#REF!</v>
      </c>
      <c r="H305" s="150" t="e">
        <f t="shared" si="73"/>
        <v>#REF!</v>
      </c>
      <c r="I305" s="150" t="e">
        <f t="shared" si="74"/>
        <v>#REF!</v>
      </c>
      <c r="J305" s="150" t="e">
        <f t="shared" si="75"/>
        <v>#REF!</v>
      </c>
      <c r="K305" s="157" t="e">
        <f t="shared" si="76"/>
        <v>#REF!</v>
      </c>
      <c r="L305" s="64" t="e">
        <f>'Combustão Móvel'!#REF!</f>
        <v>#REF!</v>
      </c>
      <c r="M305" s="65" t="e">
        <f>'Combustão Móvel'!#REF!</f>
        <v>#REF!</v>
      </c>
      <c r="N305" s="150"/>
      <c r="O305" s="150" t="e">
        <f t="shared" si="63"/>
        <v>#REF!</v>
      </c>
      <c r="P305" s="150"/>
      <c r="Q305" s="150"/>
      <c r="R305" s="150" t="e">
        <f t="shared" si="64"/>
        <v>#REF!</v>
      </c>
      <c r="S305" s="150" t="e">
        <f t="shared" si="65"/>
        <v>#REF!</v>
      </c>
      <c r="T305" s="161" t="e">
        <f t="shared" si="66"/>
        <v>#REF!</v>
      </c>
      <c r="U305" s="161" t="e">
        <f t="shared" si="67"/>
        <v>#REF!</v>
      </c>
      <c r="V305" s="134" t="e">
        <f t="shared" si="68"/>
        <v>#REF!</v>
      </c>
      <c r="W305" s="134" t="e">
        <f t="shared" si="69"/>
        <v>#REF!</v>
      </c>
      <c r="X305" s="134" t="e">
        <f t="shared" si="70"/>
        <v>#REF!</v>
      </c>
    </row>
    <row r="306" spans="2:24" ht="15.75" thickBot="1" x14ac:dyDescent="0.3">
      <c r="B306" s="1253"/>
      <c r="C306" s="36" t="e">
        <f>'Combustão Móvel'!#REF!</f>
        <v>#REF!</v>
      </c>
      <c r="D306" s="156" t="e">
        <f>'Combustão Móvel'!#REF!</f>
        <v>#REF!</v>
      </c>
      <c r="E306" s="150" t="e">
        <f>'Combustão Móvel'!#REF!</f>
        <v>#REF!</v>
      </c>
      <c r="F306" s="150" t="e">
        <f t="shared" si="71"/>
        <v>#REF!</v>
      </c>
      <c r="G306" s="150" t="e">
        <f t="shared" si="72"/>
        <v>#REF!</v>
      </c>
      <c r="H306" s="150" t="e">
        <f t="shared" si="73"/>
        <v>#REF!</v>
      </c>
      <c r="I306" s="150" t="e">
        <f t="shared" si="74"/>
        <v>#REF!</v>
      </c>
      <c r="J306" s="150" t="e">
        <f t="shared" si="75"/>
        <v>#REF!</v>
      </c>
      <c r="K306" s="157" t="e">
        <f t="shared" si="76"/>
        <v>#REF!</v>
      </c>
      <c r="L306" s="64" t="e">
        <f>'Combustão Móvel'!#REF!</f>
        <v>#REF!</v>
      </c>
      <c r="M306" s="65" t="e">
        <f>'Combustão Móvel'!#REF!</f>
        <v>#REF!</v>
      </c>
      <c r="N306" s="150"/>
      <c r="O306" s="150" t="e">
        <f t="shared" si="63"/>
        <v>#REF!</v>
      </c>
      <c r="P306" s="150"/>
      <c r="Q306" s="150"/>
      <c r="R306" s="150" t="e">
        <f t="shared" si="64"/>
        <v>#REF!</v>
      </c>
      <c r="S306" s="150" t="e">
        <f t="shared" si="65"/>
        <v>#REF!</v>
      </c>
      <c r="T306" s="161" t="e">
        <f t="shared" si="66"/>
        <v>#REF!</v>
      </c>
      <c r="U306" s="161" t="e">
        <f t="shared" si="67"/>
        <v>#REF!</v>
      </c>
      <c r="V306" s="134" t="e">
        <f t="shared" si="68"/>
        <v>#REF!</v>
      </c>
      <c r="W306" s="134" t="e">
        <f t="shared" si="69"/>
        <v>#REF!</v>
      </c>
      <c r="X306" s="134" t="e">
        <f t="shared" si="70"/>
        <v>#REF!</v>
      </c>
    </row>
    <row r="307" spans="2:24" ht="15.75" thickBot="1" x14ac:dyDescent="0.3">
      <c r="B307" s="1253"/>
      <c r="C307" s="36" t="e">
        <f>'Combustão Móvel'!#REF!</f>
        <v>#REF!</v>
      </c>
      <c r="D307" s="156" t="e">
        <f>'Combustão Móvel'!#REF!</f>
        <v>#REF!</v>
      </c>
      <c r="E307" s="150" t="e">
        <f>'Combustão Móvel'!#REF!</f>
        <v>#REF!</v>
      </c>
      <c r="F307" s="150" t="e">
        <f t="shared" si="71"/>
        <v>#REF!</v>
      </c>
      <c r="G307" s="150" t="e">
        <f t="shared" si="72"/>
        <v>#REF!</v>
      </c>
      <c r="H307" s="150" t="e">
        <f t="shared" si="73"/>
        <v>#REF!</v>
      </c>
      <c r="I307" s="150" t="e">
        <f t="shared" si="74"/>
        <v>#REF!</v>
      </c>
      <c r="J307" s="150" t="e">
        <f t="shared" si="75"/>
        <v>#REF!</v>
      </c>
      <c r="K307" s="157" t="e">
        <f t="shared" si="76"/>
        <v>#REF!</v>
      </c>
      <c r="L307" s="64" t="e">
        <f>'Combustão Móvel'!#REF!</f>
        <v>#REF!</v>
      </c>
      <c r="M307" s="65" t="e">
        <f>'Combustão Móvel'!#REF!</f>
        <v>#REF!</v>
      </c>
      <c r="N307" s="150"/>
      <c r="O307" s="150" t="e">
        <f t="shared" si="63"/>
        <v>#REF!</v>
      </c>
      <c r="P307" s="150"/>
      <c r="Q307" s="150"/>
      <c r="R307" s="150" t="e">
        <f t="shared" si="64"/>
        <v>#REF!</v>
      </c>
      <c r="S307" s="150" t="e">
        <f t="shared" si="65"/>
        <v>#REF!</v>
      </c>
      <c r="T307" s="161" t="e">
        <f t="shared" si="66"/>
        <v>#REF!</v>
      </c>
      <c r="U307" s="161" t="e">
        <f t="shared" si="67"/>
        <v>#REF!</v>
      </c>
      <c r="V307" s="134" t="e">
        <f t="shared" si="68"/>
        <v>#REF!</v>
      </c>
      <c r="W307" s="134" t="e">
        <f t="shared" si="69"/>
        <v>#REF!</v>
      </c>
      <c r="X307" s="134" t="e">
        <f t="shared" si="70"/>
        <v>#REF!</v>
      </c>
    </row>
    <row r="308" spans="2:24" ht="15.75" thickBot="1" x14ac:dyDescent="0.3">
      <c r="B308" s="1253"/>
      <c r="C308" s="36" t="e">
        <f>'Combustão Móvel'!#REF!</f>
        <v>#REF!</v>
      </c>
      <c r="D308" s="156" t="e">
        <f>'Combustão Móvel'!#REF!</f>
        <v>#REF!</v>
      </c>
      <c r="E308" s="150" t="e">
        <f>'Combustão Móvel'!#REF!</f>
        <v>#REF!</v>
      </c>
      <c r="F308" s="150" t="e">
        <f t="shared" si="71"/>
        <v>#REF!</v>
      </c>
      <c r="G308" s="150" t="e">
        <f t="shared" si="72"/>
        <v>#REF!</v>
      </c>
      <c r="H308" s="150" t="e">
        <f t="shared" si="73"/>
        <v>#REF!</v>
      </c>
      <c r="I308" s="150" t="e">
        <f t="shared" si="74"/>
        <v>#REF!</v>
      </c>
      <c r="J308" s="150" t="e">
        <f t="shared" si="75"/>
        <v>#REF!</v>
      </c>
      <c r="K308" s="157" t="e">
        <f t="shared" si="76"/>
        <v>#REF!</v>
      </c>
      <c r="L308" s="64" t="e">
        <f>'Combustão Móvel'!#REF!</f>
        <v>#REF!</v>
      </c>
      <c r="M308" s="65" t="e">
        <f>'Combustão Móvel'!#REF!</f>
        <v>#REF!</v>
      </c>
      <c r="N308" s="150"/>
      <c r="O308" s="150" t="e">
        <f t="shared" si="63"/>
        <v>#REF!</v>
      </c>
      <c r="P308" s="150"/>
      <c r="Q308" s="150"/>
      <c r="R308" s="150" t="e">
        <f t="shared" si="64"/>
        <v>#REF!</v>
      </c>
      <c r="S308" s="150" t="e">
        <f t="shared" si="65"/>
        <v>#REF!</v>
      </c>
      <c r="T308" s="161" t="e">
        <f t="shared" si="66"/>
        <v>#REF!</v>
      </c>
      <c r="U308" s="161" t="e">
        <f t="shared" si="67"/>
        <v>#REF!</v>
      </c>
      <c r="V308" s="134" t="e">
        <f t="shared" si="68"/>
        <v>#REF!</v>
      </c>
      <c r="W308" s="134" t="e">
        <f t="shared" si="69"/>
        <v>#REF!</v>
      </c>
      <c r="X308" s="134" t="e">
        <f t="shared" si="70"/>
        <v>#REF!</v>
      </c>
    </row>
    <row r="309" spans="2:24" ht="15.75" thickBot="1" x14ac:dyDescent="0.3">
      <c r="B309" s="1253"/>
      <c r="C309" s="36" t="e">
        <f>'Combustão Móvel'!#REF!</f>
        <v>#REF!</v>
      </c>
      <c r="D309" s="156" t="e">
        <f>'Combustão Móvel'!#REF!</f>
        <v>#REF!</v>
      </c>
      <c r="E309" s="150" t="e">
        <f>'Combustão Móvel'!#REF!</f>
        <v>#REF!</v>
      </c>
      <c r="F309" s="150" t="e">
        <f t="shared" si="71"/>
        <v>#REF!</v>
      </c>
      <c r="G309" s="150" t="e">
        <f t="shared" si="72"/>
        <v>#REF!</v>
      </c>
      <c r="H309" s="150" t="e">
        <f t="shared" si="73"/>
        <v>#REF!</v>
      </c>
      <c r="I309" s="150" t="e">
        <f t="shared" si="74"/>
        <v>#REF!</v>
      </c>
      <c r="J309" s="150" t="e">
        <f t="shared" si="75"/>
        <v>#REF!</v>
      </c>
      <c r="K309" s="157" t="e">
        <f t="shared" si="76"/>
        <v>#REF!</v>
      </c>
      <c r="L309" s="64" t="e">
        <f>'Combustão Móvel'!#REF!</f>
        <v>#REF!</v>
      </c>
      <c r="M309" s="65" t="e">
        <f>'Combustão Móvel'!#REF!</f>
        <v>#REF!</v>
      </c>
      <c r="N309" s="150"/>
      <c r="O309" s="150" t="e">
        <f t="shared" si="63"/>
        <v>#REF!</v>
      </c>
      <c r="P309" s="150"/>
      <c r="Q309" s="150"/>
      <c r="R309" s="150" t="e">
        <f t="shared" si="64"/>
        <v>#REF!</v>
      </c>
      <c r="S309" s="150" t="e">
        <f t="shared" si="65"/>
        <v>#REF!</v>
      </c>
      <c r="T309" s="161" t="e">
        <f t="shared" si="66"/>
        <v>#REF!</v>
      </c>
      <c r="U309" s="161" t="e">
        <f t="shared" si="67"/>
        <v>#REF!</v>
      </c>
      <c r="V309" s="134" t="e">
        <f t="shared" si="68"/>
        <v>#REF!</v>
      </c>
      <c r="W309" s="134" t="e">
        <f t="shared" si="69"/>
        <v>#REF!</v>
      </c>
      <c r="X309" s="134" t="e">
        <f t="shared" si="70"/>
        <v>#REF!</v>
      </c>
    </row>
    <row r="310" spans="2:24" ht="15.75" thickBot="1" x14ac:dyDescent="0.3">
      <c r="B310" s="1253"/>
      <c r="C310" s="36" t="e">
        <f>'Combustão Móvel'!#REF!</f>
        <v>#REF!</v>
      </c>
      <c r="D310" s="156" t="e">
        <f>'Combustão Móvel'!#REF!</f>
        <v>#REF!</v>
      </c>
      <c r="E310" s="150" t="e">
        <f>'Combustão Móvel'!#REF!</f>
        <v>#REF!</v>
      </c>
      <c r="F310" s="150" t="e">
        <f t="shared" si="71"/>
        <v>#REF!</v>
      </c>
      <c r="G310" s="150" t="e">
        <f t="shared" si="72"/>
        <v>#REF!</v>
      </c>
      <c r="H310" s="150" t="e">
        <f t="shared" si="73"/>
        <v>#REF!</v>
      </c>
      <c r="I310" s="150" t="e">
        <f t="shared" si="74"/>
        <v>#REF!</v>
      </c>
      <c r="J310" s="150" t="e">
        <f t="shared" si="75"/>
        <v>#REF!</v>
      </c>
      <c r="K310" s="157" t="e">
        <f t="shared" si="76"/>
        <v>#REF!</v>
      </c>
      <c r="L310" s="64" t="e">
        <f>'Combustão Móvel'!#REF!</f>
        <v>#REF!</v>
      </c>
      <c r="M310" s="65" t="e">
        <f>'Combustão Móvel'!#REF!</f>
        <v>#REF!</v>
      </c>
      <c r="N310" s="150"/>
      <c r="O310" s="150" t="e">
        <f t="shared" si="63"/>
        <v>#REF!</v>
      </c>
      <c r="P310" s="150"/>
      <c r="Q310" s="150"/>
      <c r="R310" s="150" t="e">
        <f t="shared" si="64"/>
        <v>#REF!</v>
      </c>
      <c r="S310" s="150" t="e">
        <f t="shared" si="65"/>
        <v>#REF!</v>
      </c>
      <c r="T310" s="161" t="e">
        <f t="shared" si="66"/>
        <v>#REF!</v>
      </c>
      <c r="U310" s="161" t="e">
        <f t="shared" si="67"/>
        <v>#REF!</v>
      </c>
      <c r="V310" s="134" t="e">
        <f t="shared" si="68"/>
        <v>#REF!</v>
      </c>
      <c r="W310" s="134" t="e">
        <f t="shared" si="69"/>
        <v>#REF!</v>
      </c>
      <c r="X310" s="134" t="e">
        <f t="shared" si="70"/>
        <v>#REF!</v>
      </c>
    </row>
    <row r="311" spans="2:24" ht="15.75" thickBot="1" x14ac:dyDescent="0.3">
      <c r="B311" s="1253"/>
      <c r="C311" s="36" t="e">
        <f>'Combustão Móvel'!#REF!</f>
        <v>#REF!</v>
      </c>
      <c r="D311" s="156" t="e">
        <f>'Combustão Móvel'!#REF!</f>
        <v>#REF!</v>
      </c>
      <c r="E311" s="150" t="e">
        <f>'Combustão Móvel'!#REF!</f>
        <v>#REF!</v>
      </c>
      <c r="F311" s="150" t="e">
        <f t="shared" si="71"/>
        <v>#REF!</v>
      </c>
      <c r="G311" s="150" t="e">
        <f t="shared" si="72"/>
        <v>#REF!</v>
      </c>
      <c r="H311" s="150" t="e">
        <f t="shared" si="73"/>
        <v>#REF!</v>
      </c>
      <c r="I311" s="150" t="e">
        <f t="shared" si="74"/>
        <v>#REF!</v>
      </c>
      <c r="J311" s="150" t="e">
        <f t="shared" si="75"/>
        <v>#REF!</v>
      </c>
      <c r="K311" s="157" t="e">
        <f t="shared" si="76"/>
        <v>#REF!</v>
      </c>
      <c r="L311" s="64" t="e">
        <f>'Combustão Móvel'!#REF!</f>
        <v>#REF!</v>
      </c>
      <c r="M311" s="65" t="e">
        <f>'Combustão Móvel'!#REF!</f>
        <v>#REF!</v>
      </c>
      <c r="N311" s="150"/>
      <c r="O311" s="150" t="e">
        <f t="shared" si="63"/>
        <v>#REF!</v>
      </c>
      <c r="P311" s="150"/>
      <c r="Q311" s="150"/>
      <c r="R311" s="150" t="e">
        <f t="shared" si="64"/>
        <v>#REF!</v>
      </c>
      <c r="S311" s="150" t="e">
        <f t="shared" si="65"/>
        <v>#REF!</v>
      </c>
      <c r="T311" s="161" t="e">
        <f t="shared" si="66"/>
        <v>#REF!</v>
      </c>
      <c r="U311" s="161" t="e">
        <f t="shared" si="67"/>
        <v>#REF!</v>
      </c>
      <c r="V311" s="134" t="e">
        <f t="shared" si="68"/>
        <v>#REF!</v>
      </c>
      <c r="W311" s="134" t="e">
        <f t="shared" si="69"/>
        <v>#REF!</v>
      </c>
      <c r="X311" s="134" t="e">
        <f t="shared" si="70"/>
        <v>#REF!</v>
      </c>
    </row>
    <row r="312" spans="2:24" ht="15.75" thickBot="1" x14ac:dyDescent="0.3">
      <c r="B312" s="1253"/>
      <c r="C312" s="36" t="e">
        <f>'Combustão Móvel'!#REF!</f>
        <v>#REF!</v>
      </c>
      <c r="D312" s="156" t="e">
        <f>'Combustão Móvel'!#REF!</f>
        <v>#REF!</v>
      </c>
      <c r="E312" s="150" t="e">
        <f>'Combustão Móvel'!#REF!</f>
        <v>#REF!</v>
      </c>
      <c r="F312" s="150" t="e">
        <f t="shared" si="71"/>
        <v>#REF!</v>
      </c>
      <c r="G312" s="150" t="e">
        <f t="shared" si="72"/>
        <v>#REF!</v>
      </c>
      <c r="H312" s="150" t="e">
        <f t="shared" si="73"/>
        <v>#REF!</v>
      </c>
      <c r="I312" s="150" t="e">
        <f t="shared" si="74"/>
        <v>#REF!</v>
      </c>
      <c r="J312" s="150" t="e">
        <f t="shared" si="75"/>
        <v>#REF!</v>
      </c>
      <c r="K312" s="157" t="e">
        <f t="shared" si="76"/>
        <v>#REF!</v>
      </c>
      <c r="L312" s="64" t="e">
        <f>'Combustão Móvel'!#REF!</f>
        <v>#REF!</v>
      </c>
      <c r="M312" s="65" t="e">
        <f>'Combustão Móvel'!#REF!</f>
        <v>#REF!</v>
      </c>
      <c r="N312" s="150"/>
      <c r="O312" s="150" t="e">
        <f t="shared" si="63"/>
        <v>#REF!</v>
      </c>
      <c r="P312" s="150"/>
      <c r="Q312" s="150"/>
      <c r="R312" s="150" t="e">
        <f t="shared" si="64"/>
        <v>#REF!</v>
      </c>
      <c r="S312" s="150" t="e">
        <f t="shared" si="65"/>
        <v>#REF!</v>
      </c>
      <c r="T312" s="161" t="e">
        <f t="shared" si="66"/>
        <v>#REF!</v>
      </c>
      <c r="U312" s="161" t="e">
        <f t="shared" si="67"/>
        <v>#REF!</v>
      </c>
      <c r="V312" s="134" t="e">
        <f t="shared" si="68"/>
        <v>#REF!</v>
      </c>
      <c r="W312" s="134" t="e">
        <f t="shared" si="69"/>
        <v>#REF!</v>
      </c>
      <c r="X312" s="134" t="e">
        <f t="shared" si="70"/>
        <v>#REF!</v>
      </c>
    </row>
    <row r="313" spans="2:24" ht="15.75" thickBot="1" x14ac:dyDescent="0.3">
      <c r="B313" s="1253"/>
      <c r="C313" s="36" t="e">
        <f>'Combustão Móvel'!#REF!</f>
        <v>#REF!</v>
      </c>
      <c r="D313" s="156" t="e">
        <f>'Combustão Móvel'!#REF!</f>
        <v>#REF!</v>
      </c>
      <c r="E313" s="150" t="e">
        <f>'Combustão Móvel'!#REF!</f>
        <v>#REF!</v>
      </c>
      <c r="F313" s="150" t="e">
        <f t="shared" si="71"/>
        <v>#REF!</v>
      </c>
      <c r="G313" s="150" t="e">
        <f t="shared" si="72"/>
        <v>#REF!</v>
      </c>
      <c r="H313" s="150" t="e">
        <f t="shared" si="73"/>
        <v>#REF!</v>
      </c>
      <c r="I313" s="150" t="e">
        <f t="shared" si="74"/>
        <v>#REF!</v>
      </c>
      <c r="J313" s="150" t="e">
        <f t="shared" si="75"/>
        <v>#REF!</v>
      </c>
      <c r="K313" s="157" t="e">
        <f t="shared" si="76"/>
        <v>#REF!</v>
      </c>
      <c r="L313" s="64" t="e">
        <f>'Combustão Móvel'!#REF!</f>
        <v>#REF!</v>
      </c>
      <c r="M313" s="65" t="e">
        <f>'Combustão Móvel'!#REF!</f>
        <v>#REF!</v>
      </c>
      <c r="N313" s="150"/>
      <c r="O313" s="150" t="e">
        <f t="shared" si="63"/>
        <v>#REF!</v>
      </c>
      <c r="P313" s="150"/>
      <c r="Q313" s="150"/>
      <c r="R313" s="150" t="e">
        <f t="shared" si="64"/>
        <v>#REF!</v>
      </c>
      <c r="S313" s="150" t="e">
        <f t="shared" si="65"/>
        <v>#REF!</v>
      </c>
      <c r="T313" s="161" t="e">
        <f t="shared" si="66"/>
        <v>#REF!</v>
      </c>
      <c r="U313" s="161" t="e">
        <f t="shared" si="67"/>
        <v>#REF!</v>
      </c>
      <c r="V313" s="134" t="e">
        <f t="shared" si="68"/>
        <v>#REF!</v>
      </c>
      <c r="W313" s="134" t="e">
        <f t="shared" si="69"/>
        <v>#REF!</v>
      </c>
      <c r="X313" s="134" t="e">
        <f t="shared" si="70"/>
        <v>#REF!</v>
      </c>
    </row>
    <row r="314" spans="2:24" ht="15.75" thickBot="1" x14ac:dyDescent="0.3">
      <c r="B314" s="1253"/>
      <c r="C314" s="36" t="e">
        <f>'Combustão Móvel'!#REF!</f>
        <v>#REF!</v>
      </c>
      <c r="D314" s="156" t="e">
        <f>'Combustão Móvel'!#REF!</f>
        <v>#REF!</v>
      </c>
      <c r="E314" s="150" t="e">
        <f>'Combustão Móvel'!#REF!</f>
        <v>#REF!</v>
      </c>
      <c r="F314" s="150" t="e">
        <f t="shared" si="71"/>
        <v>#REF!</v>
      </c>
      <c r="G314" s="150" t="e">
        <f t="shared" si="72"/>
        <v>#REF!</v>
      </c>
      <c r="H314" s="150" t="e">
        <f t="shared" si="73"/>
        <v>#REF!</v>
      </c>
      <c r="I314" s="150" t="e">
        <f t="shared" si="74"/>
        <v>#REF!</v>
      </c>
      <c r="J314" s="150" t="e">
        <f t="shared" si="75"/>
        <v>#REF!</v>
      </c>
      <c r="K314" s="157" t="e">
        <f t="shared" si="76"/>
        <v>#REF!</v>
      </c>
      <c r="L314" s="64" t="e">
        <f>'Combustão Móvel'!#REF!</f>
        <v>#REF!</v>
      </c>
      <c r="M314" s="65" t="e">
        <f>'Combustão Móvel'!#REF!</f>
        <v>#REF!</v>
      </c>
      <c r="N314" s="150"/>
      <c r="O314" s="150" t="e">
        <f t="shared" si="63"/>
        <v>#REF!</v>
      </c>
      <c r="P314" s="150"/>
      <c r="Q314" s="150"/>
      <c r="R314" s="150" t="e">
        <f t="shared" si="64"/>
        <v>#REF!</v>
      </c>
      <c r="S314" s="150" t="e">
        <f t="shared" si="65"/>
        <v>#REF!</v>
      </c>
      <c r="T314" s="161" t="e">
        <f t="shared" si="66"/>
        <v>#REF!</v>
      </c>
      <c r="U314" s="161" t="e">
        <f t="shared" si="67"/>
        <v>#REF!</v>
      </c>
      <c r="V314" s="134" t="e">
        <f t="shared" si="68"/>
        <v>#REF!</v>
      </c>
      <c r="W314" s="134" t="e">
        <f t="shared" si="69"/>
        <v>#REF!</v>
      </c>
      <c r="X314" s="134" t="e">
        <f t="shared" si="70"/>
        <v>#REF!</v>
      </c>
    </row>
    <row r="315" spans="2:24" ht="15.75" thickBot="1" x14ac:dyDescent="0.3">
      <c r="B315" s="1253"/>
      <c r="C315" s="36" t="e">
        <f>'Combustão Móvel'!#REF!</f>
        <v>#REF!</v>
      </c>
      <c r="D315" s="156" t="e">
        <f>'Combustão Móvel'!#REF!</f>
        <v>#REF!</v>
      </c>
      <c r="E315" s="150" t="e">
        <f>'Combustão Móvel'!#REF!</f>
        <v>#REF!</v>
      </c>
      <c r="F315" s="150" t="e">
        <f t="shared" si="71"/>
        <v>#REF!</v>
      </c>
      <c r="G315" s="150" t="e">
        <f t="shared" si="72"/>
        <v>#REF!</v>
      </c>
      <c r="H315" s="150" t="e">
        <f t="shared" si="73"/>
        <v>#REF!</v>
      </c>
      <c r="I315" s="150" t="e">
        <f t="shared" si="74"/>
        <v>#REF!</v>
      </c>
      <c r="J315" s="150" t="e">
        <f t="shared" si="75"/>
        <v>#REF!</v>
      </c>
      <c r="K315" s="157" t="e">
        <f t="shared" si="76"/>
        <v>#REF!</v>
      </c>
      <c r="L315" s="64" t="e">
        <f>'Combustão Móvel'!#REF!</f>
        <v>#REF!</v>
      </c>
      <c r="M315" s="65" t="e">
        <f>'Combustão Móvel'!#REF!</f>
        <v>#REF!</v>
      </c>
      <c r="N315" s="150"/>
      <c r="O315" s="150" t="e">
        <f t="shared" si="63"/>
        <v>#REF!</v>
      </c>
      <c r="P315" s="150"/>
      <c r="Q315" s="150"/>
      <c r="R315" s="150" t="e">
        <f t="shared" si="64"/>
        <v>#REF!</v>
      </c>
      <c r="S315" s="150" t="e">
        <f t="shared" si="65"/>
        <v>#REF!</v>
      </c>
      <c r="T315" s="161" t="e">
        <f t="shared" si="66"/>
        <v>#REF!</v>
      </c>
      <c r="U315" s="161" t="e">
        <f t="shared" si="67"/>
        <v>#REF!</v>
      </c>
      <c r="V315" s="134" t="e">
        <f t="shared" si="68"/>
        <v>#REF!</v>
      </c>
      <c r="W315" s="134" t="e">
        <f t="shared" si="69"/>
        <v>#REF!</v>
      </c>
      <c r="X315" s="134" t="e">
        <f t="shared" si="70"/>
        <v>#REF!</v>
      </c>
    </row>
    <row r="316" spans="2:24" ht="15.75" thickBot="1" x14ac:dyDescent="0.3">
      <c r="B316" s="1253"/>
      <c r="C316" s="36" t="e">
        <f>'Combustão Móvel'!#REF!</f>
        <v>#REF!</v>
      </c>
      <c r="D316" s="156" t="e">
        <f>'Combustão Móvel'!#REF!</f>
        <v>#REF!</v>
      </c>
      <c r="E316" s="150" t="e">
        <f>'Combustão Móvel'!#REF!</f>
        <v>#REF!</v>
      </c>
      <c r="F316" s="150" t="e">
        <f t="shared" si="71"/>
        <v>#REF!</v>
      </c>
      <c r="G316" s="150" t="e">
        <f t="shared" si="72"/>
        <v>#REF!</v>
      </c>
      <c r="H316" s="150" t="e">
        <f t="shared" si="73"/>
        <v>#REF!</v>
      </c>
      <c r="I316" s="150" t="e">
        <f t="shared" si="74"/>
        <v>#REF!</v>
      </c>
      <c r="J316" s="150" t="e">
        <f t="shared" si="75"/>
        <v>#REF!</v>
      </c>
      <c r="K316" s="157" t="e">
        <f t="shared" si="76"/>
        <v>#REF!</v>
      </c>
      <c r="L316" s="64" t="e">
        <f>'Combustão Móvel'!#REF!</f>
        <v>#REF!</v>
      </c>
      <c r="M316" s="65" t="e">
        <f>'Combustão Móvel'!#REF!</f>
        <v>#REF!</v>
      </c>
      <c r="N316" s="150"/>
      <c r="O316" s="150" t="e">
        <f t="shared" si="63"/>
        <v>#REF!</v>
      </c>
      <c r="P316" s="150"/>
      <c r="Q316" s="150"/>
      <c r="R316" s="150" t="e">
        <f t="shared" si="64"/>
        <v>#REF!</v>
      </c>
      <c r="S316" s="150" t="e">
        <f t="shared" si="65"/>
        <v>#REF!</v>
      </c>
      <c r="T316" s="161" t="e">
        <f t="shared" si="66"/>
        <v>#REF!</v>
      </c>
      <c r="U316" s="161" t="e">
        <f t="shared" si="67"/>
        <v>#REF!</v>
      </c>
      <c r="V316" s="134" t="e">
        <f t="shared" si="68"/>
        <v>#REF!</v>
      </c>
      <c r="W316" s="134" t="e">
        <f t="shared" si="69"/>
        <v>#REF!</v>
      </c>
      <c r="X316" s="134" t="e">
        <f t="shared" si="70"/>
        <v>#REF!</v>
      </c>
    </row>
    <row r="317" spans="2:24" ht="15.75" thickBot="1" x14ac:dyDescent="0.3">
      <c r="B317" s="1253"/>
      <c r="C317" s="36" t="e">
        <f>'Combustão Móvel'!#REF!</f>
        <v>#REF!</v>
      </c>
      <c r="D317" s="156" t="e">
        <f>'Combustão Móvel'!#REF!</f>
        <v>#REF!</v>
      </c>
      <c r="E317" s="150" t="e">
        <f>'Combustão Móvel'!#REF!</f>
        <v>#REF!</v>
      </c>
      <c r="F317" s="150" t="e">
        <f t="shared" si="71"/>
        <v>#REF!</v>
      </c>
      <c r="G317" s="150" t="e">
        <f t="shared" si="72"/>
        <v>#REF!</v>
      </c>
      <c r="H317" s="150" t="e">
        <f t="shared" si="73"/>
        <v>#REF!</v>
      </c>
      <c r="I317" s="150" t="e">
        <f t="shared" si="74"/>
        <v>#REF!</v>
      </c>
      <c r="J317" s="150" t="e">
        <f t="shared" si="75"/>
        <v>#REF!</v>
      </c>
      <c r="K317" s="157" t="e">
        <f t="shared" si="76"/>
        <v>#REF!</v>
      </c>
      <c r="L317" s="64" t="e">
        <f>'Combustão Móvel'!#REF!</f>
        <v>#REF!</v>
      </c>
      <c r="M317" s="65" t="e">
        <f>'Combustão Móvel'!#REF!</f>
        <v>#REF!</v>
      </c>
      <c r="N317" s="150"/>
      <c r="O317" s="150" t="e">
        <f t="shared" si="63"/>
        <v>#REF!</v>
      </c>
      <c r="P317" s="150"/>
      <c r="Q317" s="150"/>
      <c r="R317" s="150" t="e">
        <f t="shared" si="64"/>
        <v>#REF!</v>
      </c>
      <c r="S317" s="150" t="e">
        <f t="shared" si="65"/>
        <v>#REF!</v>
      </c>
      <c r="T317" s="161" t="e">
        <f t="shared" si="66"/>
        <v>#REF!</v>
      </c>
      <c r="U317" s="161" t="e">
        <f t="shared" si="67"/>
        <v>#REF!</v>
      </c>
      <c r="V317" s="134" t="e">
        <f t="shared" si="68"/>
        <v>#REF!</v>
      </c>
      <c r="W317" s="134" t="e">
        <f t="shared" si="69"/>
        <v>#REF!</v>
      </c>
      <c r="X317" s="134" t="e">
        <f t="shared" si="70"/>
        <v>#REF!</v>
      </c>
    </row>
    <row r="318" spans="2:24" ht="15.75" thickBot="1" x14ac:dyDescent="0.3">
      <c r="B318" s="1253"/>
      <c r="C318" s="36" t="e">
        <f>'Combustão Móvel'!#REF!</f>
        <v>#REF!</v>
      </c>
      <c r="D318" s="156" t="e">
        <f>'Combustão Móvel'!#REF!</f>
        <v>#REF!</v>
      </c>
      <c r="E318" s="150" t="e">
        <f>'Combustão Móvel'!#REF!</f>
        <v>#REF!</v>
      </c>
      <c r="F318" s="150" t="e">
        <f t="shared" si="71"/>
        <v>#REF!</v>
      </c>
      <c r="G318" s="150" t="e">
        <f t="shared" si="72"/>
        <v>#REF!</v>
      </c>
      <c r="H318" s="150" t="e">
        <f t="shared" si="73"/>
        <v>#REF!</v>
      </c>
      <c r="I318" s="150" t="e">
        <f t="shared" si="74"/>
        <v>#REF!</v>
      </c>
      <c r="J318" s="150" t="e">
        <f t="shared" si="75"/>
        <v>#REF!</v>
      </c>
      <c r="K318" s="157" t="e">
        <f t="shared" si="76"/>
        <v>#REF!</v>
      </c>
      <c r="L318" s="64" t="e">
        <f>'Combustão Móvel'!#REF!</f>
        <v>#REF!</v>
      </c>
      <c r="M318" s="65" t="e">
        <f>'Combustão Móvel'!#REF!</f>
        <v>#REF!</v>
      </c>
      <c r="N318" s="150"/>
      <c r="O318" s="150" t="e">
        <f t="shared" si="63"/>
        <v>#REF!</v>
      </c>
      <c r="P318" s="150"/>
      <c r="Q318" s="150"/>
      <c r="R318" s="150" t="e">
        <f t="shared" si="64"/>
        <v>#REF!</v>
      </c>
      <c r="S318" s="150" t="e">
        <f t="shared" si="65"/>
        <v>#REF!</v>
      </c>
      <c r="T318" s="161" t="e">
        <f t="shared" si="66"/>
        <v>#REF!</v>
      </c>
      <c r="U318" s="161" t="e">
        <f t="shared" si="67"/>
        <v>#REF!</v>
      </c>
      <c r="V318" s="134" t="e">
        <f t="shared" si="68"/>
        <v>#REF!</v>
      </c>
      <c r="W318" s="134" t="e">
        <f t="shared" si="69"/>
        <v>#REF!</v>
      </c>
      <c r="X318" s="134" t="e">
        <f t="shared" si="70"/>
        <v>#REF!</v>
      </c>
    </row>
    <row r="319" spans="2:24" ht="15.75" thickBot="1" x14ac:dyDescent="0.3">
      <c r="B319" s="1253"/>
      <c r="C319" s="36" t="e">
        <f>'Combustão Móvel'!#REF!</f>
        <v>#REF!</v>
      </c>
      <c r="D319" s="156" t="e">
        <f>'Combustão Móvel'!#REF!</f>
        <v>#REF!</v>
      </c>
      <c r="E319" s="150" t="e">
        <f>'Combustão Móvel'!#REF!</f>
        <v>#REF!</v>
      </c>
      <c r="F319" s="150" t="e">
        <f t="shared" si="71"/>
        <v>#REF!</v>
      </c>
      <c r="G319" s="150" t="e">
        <f t="shared" si="72"/>
        <v>#REF!</v>
      </c>
      <c r="H319" s="150" t="e">
        <f t="shared" si="73"/>
        <v>#REF!</v>
      </c>
      <c r="I319" s="150" t="e">
        <f t="shared" si="74"/>
        <v>#REF!</v>
      </c>
      <c r="J319" s="150" t="e">
        <f t="shared" si="75"/>
        <v>#REF!</v>
      </c>
      <c r="K319" s="157" t="e">
        <f t="shared" si="76"/>
        <v>#REF!</v>
      </c>
      <c r="L319" s="64" t="e">
        <f>'Combustão Móvel'!#REF!</f>
        <v>#REF!</v>
      </c>
      <c r="M319" s="65" t="e">
        <f>'Combustão Móvel'!#REF!</f>
        <v>#REF!</v>
      </c>
      <c r="N319" s="150"/>
      <c r="O319" s="150" t="e">
        <f t="shared" si="63"/>
        <v>#REF!</v>
      </c>
      <c r="P319" s="150"/>
      <c r="Q319" s="150"/>
      <c r="R319" s="150" t="e">
        <f t="shared" si="64"/>
        <v>#REF!</v>
      </c>
      <c r="S319" s="150" t="e">
        <f t="shared" si="65"/>
        <v>#REF!</v>
      </c>
      <c r="T319" s="161" t="e">
        <f t="shared" si="66"/>
        <v>#REF!</v>
      </c>
      <c r="U319" s="161" t="e">
        <f t="shared" si="67"/>
        <v>#REF!</v>
      </c>
      <c r="V319" s="134" t="e">
        <f t="shared" si="68"/>
        <v>#REF!</v>
      </c>
      <c r="W319" s="134" t="e">
        <f t="shared" si="69"/>
        <v>#REF!</v>
      </c>
      <c r="X319" s="134" t="e">
        <f t="shared" si="70"/>
        <v>#REF!</v>
      </c>
    </row>
    <row r="320" spans="2:24" ht="15.75" thickBot="1" x14ac:dyDescent="0.3">
      <c r="B320" s="1253"/>
      <c r="C320" s="36" t="e">
        <f>'Combustão Móvel'!#REF!</f>
        <v>#REF!</v>
      </c>
      <c r="D320" s="156" t="e">
        <f>'Combustão Móvel'!#REF!</f>
        <v>#REF!</v>
      </c>
      <c r="E320" s="150" t="e">
        <f>'Combustão Móvel'!#REF!</f>
        <v>#REF!</v>
      </c>
      <c r="F320" s="150" t="e">
        <f t="shared" si="71"/>
        <v>#REF!</v>
      </c>
      <c r="G320" s="150" t="e">
        <f t="shared" si="72"/>
        <v>#REF!</v>
      </c>
      <c r="H320" s="150" t="e">
        <f t="shared" si="73"/>
        <v>#REF!</v>
      </c>
      <c r="I320" s="150" t="e">
        <f t="shared" si="74"/>
        <v>#REF!</v>
      </c>
      <c r="J320" s="150" t="e">
        <f t="shared" si="75"/>
        <v>#REF!</v>
      </c>
      <c r="K320" s="157" t="e">
        <f t="shared" si="76"/>
        <v>#REF!</v>
      </c>
      <c r="L320" s="64" t="e">
        <f>'Combustão Móvel'!#REF!</f>
        <v>#REF!</v>
      </c>
      <c r="M320" s="65" t="e">
        <f>'Combustão Móvel'!#REF!</f>
        <v>#REF!</v>
      </c>
      <c r="N320" s="150"/>
      <c r="O320" s="150" t="e">
        <f t="shared" si="63"/>
        <v>#REF!</v>
      </c>
      <c r="P320" s="150"/>
      <c r="Q320" s="150"/>
      <c r="R320" s="150" t="e">
        <f t="shared" si="64"/>
        <v>#REF!</v>
      </c>
      <c r="S320" s="150" t="e">
        <f t="shared" si="65"/>
        <v>#REF!</v>
      </c>
      <c r="T320" s="161" t="e">
        <f t="shared" si="66"/>
        <v>#REF!</v>
      </c>
      <c r="U320" s="161" t="e">
        <f t="shared" si="67"/>
        <v>#REF!</v>
      </c>
      <c r="V320" s="134" t="e">
        <f t="shared" si="68"/>
        <v>#REF!</v>
      </c>
      <c r="W320" s="134" t="e">
        <f t="shared" si="69"/>
        <v>#REF!</v>
      </c>
      <c r="X320" s="134" t="e">
        <f t="shared" si="70"/>
        <v>#REF!</v>
      </c>
    </row>
    <row r="321" spans="2:24" ht="15.75" thickBot="1" x14ac:dyDescent="0.3">
      <c r="B321" s="1253"/>
      <c r="C321" s="36" t="e">
        <f>'Combustão Móvel'!#REF!</f>
        <v>#REF!</v>
      </c>
      <c r="D321" s="156" t="e">
        <f>'Combustão Móvel'!#REF!</f>
        <v>#REF!</v>
      </c>
      <c r="E321" s="150" t="e">
        <f>'Combustão Móvel'!#REF!</f>
        <v>#REF!</v>
      </c>
      <c r="F321" s="150" t="e">
        <f t="shared" si="71"/>
        <v>#REF!</v>
      </c>
      <c r="G321" s="150" t="e">
        <f t="shared" si="72"/>
        <v>#REF!</v>
      </c>
      <c r="H321" s="150" t="e">
        <f t="shared" si="73"/>
        <v>#REF!</v>
      </c>
      <c r="I321" s="150" t="e">
        <f t="shared" si="74"/>
        <v>#REF!</v>
      </c>
      <c r="J321" s="150" t="e">
        <f t="shared" si="75"/>
        <v>#REF!</v>
      </c>
      <c r="K321" s="157" t="e">
        <f t="shared" si="76"/>
        <v>#REF!</v>
      </c>
      <c r="L321" s="64" t="e">
        <f>'Combustão Móvel'!#REF!</f>
        <v>#REF!</v>
      </c>
      <c r="M321" s="65" t="e">
        <f>'Combustão Móvel'!#REF!</f>
        <v>#REF!</v>
      </c>
      <c r="N321" s="150"/>
      <c r="O321" s="150" t="e">
        <f t="shared" si="63"/>
        <v>#REF!</v>
      </c>
      <c r="P321" s="150"/>
      <c r="Q321" s="150"/>
      <c r="R321" s="150" t="e">
        <f t="shared" si="64"/>
        <v>#REF!</v>
      </c>
      <c r="S321" s="150" t="e">
        <f t="shared" si="65"/>
        <v>#REF!</v>
      </c>
      <c r="T321" s="161" t="e">
        <f t="shared" si="66"/>
        <v>#REF!</v>
      </c>
      <c r="U321" s="161" t="e">
        <f t="shared" si="67"/>
        <v>#REF!</v>
      </c>
      <c r="V321" s="134" t="e">
        <f t="shared" si="68"/>
        <v>#REF!</v>
      </c>
      <c r="W321" s="134" t="e">
        <f t="shared" si="69"/>
        <v>#REF!</v>
      </c>
      <c r="X321" s="134" t="e">
        <f t="shared" si="70"/>
        <v>#REF!</v>
      </c>
    </row>
    <row r="322" spans="2:24" ht="15.75" thickBot="1" x14ac:dyDescent="0.3">
      <c r="B322" s="1253"/>
      <c r="C322" s="36" t="e">
        <f>'Combustão Móvel'!#REF!</f>
        <v>#REF!</v>
      </c>
      <c r="D322" s="156" t="e">
        <f>'Combustão Móvel'!#REF!</f>
        <v>#REF!</v>
      </c>
      <c r="E322" s="150" t="e">
        <f>'Combustão Móvel'!#REF!</f>
        <v>#REF!</v>
      </c>
      <c r="F322" s="150" t="e">
        <f t="shared" si="71"/>
        <v>#REF!</v>
      </c>
      <c r="G322" s="150" t="e">
        <f t="shared" si="72"/>
        <v>#REF!</v>
      </c>
      <c r="H322" s="150" t="e">
        <f t="shared" si="73"/>
        <v>#REF!</v>
      </c>
      <c r="I322" s="150" t="e">
        <f t="shared" si="74"/>
        <v>#REF!</v>
      </c>
      <c r="J322" s="150" t="e">
        <f t="shared" si="75"/>
        <v>#REF!</v>
      </c>
      <c r="K322" s="157" t="e">
        <f t="shared" si="76"/>
        <v>#REF!</v>
      </c>
      <c r="L322" s="64" t="e">
        <f>'Combustão Móvel'!#REF!</f>
        <v>#REF!</v>
      </c>
      <c r="M322" s="65" t="e">
        <f>'Combustão Móvel'!#REF!</f>
        <v>#REF!</v>
      </c>
      <c r="N322" s="150"/>
      <c r="O322" s="150" t="e">
        <f t="shared" si="63"/>
        <v>#REF!</v>
      </c>
      <c r="P322" s="150"/>
      <c r="Q322" s="150"/>
      <c r="R322" s="150" t="e">
        <f t="shared" si="64"/>
        <v>#REF!</v>
      </c>
      <c r="S322" s="150" t="e">
        <f t="shared" si="65"/>
        <v>#REF!</v>
      </c>
      <c r="T322" s="161" t="e">
        <f t="shared" si="66"/>
        <v>#REF!</v>
      </c>
      <c r="U322" s="161" t="e">
        <f t="shared" si="67"/>
        <v>#REF!</v>
      </c>
      <c r="V322" s="134" t="e">
        <f t="shared" si="68"/>
        <v>#REF!</v>
      </c>
      <c r="W322" s="134" t="e">
        <f t="shared" si="69"/>
        <v>#REF!</v>
      </c>
      <c r="X322" s="134" t="e">
        <f t="shared" si="70"/>
        <v>#REF!</v>
      </c>
    </row>
    <row r="323" spans="2:24" ht="15.75" thickBot="1" x14ac:dyDescent="0.3">
      <c r="B323" s="1253"/>
      <c r="C323" s="36" t="e">
        <f>'Combustão Móvel'!#REF!</f>
        <v>#REF!</v>
      </c>
      <c r="D323" s="156" t="e">
        <f>'Combustão Móvel'!#REF!</f>
        <v>#REF!</v>
      </c>
      <c r="E323" s="150" t="e">
        <f>'Combustão Móvel'!#REF!</f>
        <v>#REF!</v>
      </c>
      <c r="F323" s="150" t="e">
        <f t="shared" si="71"/>
        <v>#REF!</v>
      </c>
      <c r="G323" s="150" t="e">
        <f t="shared" si="72"/>
        <v>#REF!</v>
      </c>
      <c r="H323" s="150" t="e">
        <f t="shared" si="73"/>
        <v>#REF!</v>
      </c>
      <c r="I323" s="150" t="e">
        <f t="shared" si="74"/>
        <v>#REF!</v>
      </c>
      <c r="J323" s="150" t="e">
        <f t="shared" si="75"/>
        <v>#REF!</v>
      </c>
      <c r="K323" s="157" t="e">
        <f t="shared" si="76"/>
        <v>#REF!</v>
      </c>
      <c r="L323" s="64" t="e">
        <f>'Combustão Móvel'!#REF!</f>
        <v>#REF!</v>
      </c>
      <c r="M323" s="65" t="e">
        <f>'Combustão Móvel'!#REF!</f>
        <v>#REF!</v>
      </c>
      <c r="N323" s="150"/>
      <c r="O323" s="150" t="e">
        <f t="shared" si="63"/>
        <v>#REF!</v>
      </c>
      <c r="P323" s="150"/>
      <c r="Q323" s="150"/>
      <c r="R323" s="150" t="e">
        <f t="shared" si="64"/>
        <v>#REF!</v>
      </c>
      <c r="S323" s="150" t="e">
        <f t="shared" si="65"/>
        <v>#REF!</v>
      </c>
      <c r="T323" s="161" t="e">
        <f t="shared" si="66"/>
        <v>#REF!</v>
      </c>
      <c r="U323" s="161" t="e">
        <f t="shared" si="67"/>
        <v>#REF!</v>
      </c>
      <c r="V323" s="134" t="e">
        <f t="shared" si="68"/>
        <v>#REF!</v>
      </c>
      <c r="W323" s="134" t="e">
        <f t="shared" si="69"/>
        <v>#REF!</v>
      </c>
      <c r="X323" s="134" t="e">
        <f t="shared" si="70"/>
        <v>#REF!</v>
      </c>
    </row>
    <row r="324" spans="2:24" ht="15.75" thickBot="1" x14ac:dyDescent="0.3">
      <c r="B324" s="1253"/>
      <c r="C324" s="36" t="e">
        <f>'Combustão Móvel'!#REF!</f>
        <v>#REF!</v>
      </c>
      <c r="D324" s="156" t="e">
        <f>'Combustão Móvel'!#REF!</f>
        <v>#REF!</v>
      </c>
      <c r="E324" s="150" t="e">
        <f>'Combustão Móvel'!#REF!</f>
        <v>#REF!</v>
      </c>
      <c r="F324" s="150" t="e">
        <f t="shared" si="71"/>
        <v>#REF!</v>
      </c>
      <c r="G324" s="150" t="e">
        <f t="shared" si="72"/>
        <v>#REF!</v>
      </c>
      <c r="H324" s="150" t="e">
        <f t="shared" si="73"/>
        <v>#REF!</v>
      </c>
      <c r="I324" s="150" t="e">
        <f t="shared" si="74"/>
        <v>#REF!</v>
      </c>
      <c r="J324" s="150" t="e">
        <f t="shared" si="75"/>
        <v>#REF!</v>
      </c>
      <c r="K324" s="157" t="e">
        <f t="shared" si="76"/>
        <v>#REF!</v>
      </c>
      <c r="L324" s="64" t="e">
        <f>'Combustão Móvel'!#REF!</f>
        <v>#REF!</v>
      </c>
      <c r="M324" s="65" t="e">
        <f>'Combustão Móvel'!#REF!</f>
        <v>#REF!</v>
      </c>
      <c r="N324" s="150"/>
      <c r="O324" s="150" t="e">
        <f t="shared" si="63"/>
        <v>#REF!</v>
      </c>
      <c r="P324" s="150"/>
      <c r="Q324" s="150"/>
      <c r="R324" s="150" t="e">
        <f t="shared" si="64"/>
        <v>#REF!</v>
      </c>
      <c r="S324" s="150" t="e">
        <f t="shared" si="65"/>
        <v>#REF!</v>
      </c>
      <c r="T324" s="161" t="e">
        <f t="shared" si="66"/>
        <v>#REF!</v>
      </c>
      <c r="U324" s="161" t="e">
        <f t="shared" si="67"/>
        <v>#REF!</v>
      </c>
      <c r="V324" s="134" t="e">
        <f t="shared" si="68"/>
        <v>#REF!</v>
      </c>
      <c r="W324" s="134" t="e">
        <f t="shared" si="69"/>
        <v>#REF!</v>
      </c>
      <c r="X324" s="134" t="e">
        <f t="shared" si="70"/>
        <v>#REF!</v>
      </c>
    </row>
    <row r="325" spans="2:24" ht="15.75" thickBot="1" x14ac:dyDescent="0.3">
      <c r="B325" s="1253"/>
      <c r="C325" s="36" t="e">
        <f>'Combustão Móvel'!#REF!</f>
        <v>#REF!</v>
      </c>
      <c r="D325" s="156" t="e">
        <f>'Combustão Móvel'!#REF!</f>
        <v>#REF!</v>
      </c>
      <c r="E325" s="150" t="e">
        <f>'Combustão Móvel'!#REF!</f>
        <v>#REF!</v>
      </c>
      <c r="F325" s="150" t="e">
        <f t="shared" si="71"/>
        <v>#REF!</v>
      </c>
      <c r="G325" s="150" t="e">
        <f t="shared" si="72"/>
        <v>#REF!</v>
      </c>
      <c r="H325" s="150" t="e">
        <f t="shared" si="73"/>
        <v>#REF!</v>
      </c>
      <c r="I325" s="150" t="e">
        <f t="shared" si="74"/>
        <v>#REF!</v>
      </c>
      <c r="J325" s="150" t="e">
        <f t="shared" si="75"/>
        <v>#REF!</v>
      </c>
      <c r="K325" s="157" t="e">
        <f t="shared" si="76"/>
        <v>#REF!</v>
      </c>
      <c r="L325" s="64" t="e">
        <f>'Combustão Móvel'!#REF!</f>
        <v>#REF!</v>
      </c>
      <c r="M325" s="65" t="e">
        <f>'Combustão Móvel'!#REF!</f>
        <v>#REF!</v>
      </c>
      <c r="N325" s="150"/>
      <c r="O325" s="150" t="e">
        <f t="shared" si="63"/>
        <v>#REF!</v>
      </c>
      <c r="P325" s="150"/>
      <c r="Q325" s="150"/>
      <c r="R325" s="150" t="e">
        <f t="shared" si="64"/>
        <v>#REF!</v>
      </c>
      <c r="S325" s="150" t="e">
        <f t="shared" si="65"/>
        <v>#REF!</v>
      </c>
      <c r="T325" s="161" t="e">
        <f t="shared" si="66"/>
        <v>#REF!</v>
      </c>
      <c r="U325" s="161" t="e">
        <f t="shared" si="67"/>
        <v>#REF!</v>
      </c>
      <c r="V325" s="134" t="e">
        <f t="shared" si="68"/>
        <v>#REF!</v>
      </c>
      <c r="W325" s="134" t="e">
        <f t="shared" si="69"/>
        <v>#REF!</v>
      </c>
      <c r="X325" s="134" t="e">
        <f t="shared" si="70"/>
        <v>#REF!</v>
      </c>
    </row>
    <row r="326" spans="2:24" ht="15.75" thickBot="1" x14ac:dyDescent="0.3">
      <c r="B326" s="1253"/>
      <c r="C326" s="36" t="e">
        <f>'Combustão Móvel'!#REF!</f>
        <v>#REF!</v>
      </c>
      <c r="D326" s="156" t="e">
        <f>'Combustão Móvel'!#REF!</f>
        <v>#REF!</v>
      </c>
      <c r="E326" s="150" t="e">
        <f>'Combustão Móvel'!#REF!</f>
        <v>#REF!</v>
      </c>
      <c r="F326" s="150" t="e">
        <f t="shared" si="71"/>
        <v>#REF!</v>
      </c>
      <c r="G326" s="150" t="e">
        <f t="shared" si="72"/>
        <v>#REF!</v>
      </c>
      <c r="H326" s="150" t="e">
        <f t="shared" si="73"/>
        <v>#REF!</v>
      </c>
      <c r="I326" s="150" t="e">
        <f t="shared" si="74"/>
        <v>#REF!</v>
      </c>
      <c r="J326" s="150" t="e">
        <f t="shared" si="75"/>
        <v>#REF!</v>
      </c>
      <c r="K326" s="157" t="e">
        <f t="shared" si="76"/>
        <v>#REF!</v>
      </c>
      <c r="L326" s="64" t="e">
        <f>'Combustão Móvel'!#REF!</f>
        <v>#REF!</v>
      </c>
      <c r="M326" s="65" t="e">
        <f>'Combustão Móvel'!#REF!</f>
        <v>#REF!</v>
      </c>
      <c r="N326" s="150"/>
      <c r="O326" s="150" t="e">
        <f t="shared" si="63"/>
        <v>#REF!</v>
      </c>
      <c r="P326" s="150"/>
      <c r="Q326" s="150"/>
      <c r="R326" s="150" t="e">
        <f t="shared" si="64"/>
        <v>#REF!</v>
      </c>
      <c r="S326" s="150" t="e">
        <f t="shared" si="65"/>
        <v>#REF!</v>
      </c>
      <c r="T326" s="161" t="e">
        <f t="shared" si="66"/>
        <v>#REF!</v>
      </c>
      <c r="U326" s="161" t="e">
        <f t="shared" si="67"/>
        <v>#REF!</v>
      </c>
      <c r="V326" s="134" t="e">
        <f t="shared" si="68"/>
        <v>#REF!</v>
      </c>
      <c r="W326" s="134" t="e">
        <f t="shared" si="69"/>
        <v>#REF!</v>
      </c>
      <c r="X326" s="134" t="e">
        <f t="shared" si="70"/>
        <v>#REF!</v>
      </c>
    </row>
    <row r="327" spans="2:24" ht="15.75" thickBot="1" x14ac:dyDescent="0.3">
      <c r="B327" s="1253"/>
      <c r="C327" s="36" t="e">
        <f>'Combustão Móvel'!#REF!</f>
        <v>#REF!</v>
      </c>
      <c r="D327" s="156" t="e">
        <f>'Combustão Móvel'!#REF!</f>
        <v>#REF!</v>
      </c>
      <c r="E327" s="150" t="e">
        <f>'Combustão Móvel'!#REF!</f>
        <v>#REF!</v>
      </c>
      <c r="F327" s="150" t="e">
        <f t="shared" si="71"/>
        <v>#REF!</v>
      </c>
      <c r="G327" s="150" t="e">
        <f t="shared" si="72"/>
        <v>#REF!</v>
      </c>
      <c r="H327" s="150" t="e">
        <f t="shared" si="73"/>
        <v>#REF!</v>
      </c>
      <c r="I327" s="150" t="e">
        <f t="shared" si="74"/>
        <v>#REF!</v>
      </c>
      <c r="J327" s="150" t="e">
        <f t="shared" si="75"/>
        <v>#REF!</v>
      </c>
      <c r="K327" s="157" t="e">
        <f t="shared" si="76"/>
        <v>#REF!</v>
      </c>
      <c r="L327" s="64" t="e">
        <f>'Combustão Móvel'!#REF!</f>
        <v>#REF!</v>
      </c>
      <c r="M327" s="65" t="e">
        <f>'Combustão Móvel'!#REF!</f>
        <v>#REF!</v>
      </c>
      <c r="N327" s="150"/>
      <c r="O327" s="150" t="e">
        <f t="shared" si="63"/>
        <v>#REF!</v>
      </c>
      <c r="P327" s="150"/>
      <c r="Q327" s="150"/>
      <c r="R327" s="150" t="e">
        <f t="shared" si="64"/>
        <v>#REF!</v>
      </c>
      <c r="S327" s="150" t="e">
        <f t="shared" si="65"/>
        <v>#REF!</v>
      </c>
      <c r="T327" s="161" t="e">
        <f t="shared" si="66"/>
        <v>#REF!</v>
      </c>
      <c r="U327" s="161" t="e">
        <f t="shared" si="67"/>
        <v>#REF!</v>
      </c>
      <c r="V327" s="134" t="e">
        <f t="shared" si="68"/>
        <v>#REF!</v>
      </c>
      <c r="W327" s="134" t="e">
        <f t="shared" si="69"/>
        <v>#REF!</v>
      </c>
      <c r="X327" s="134" t="e">
        <f t="shared" si="70"/>
        <v>#REF!</v>
      </c>
    </row>
    <row r="328" spans="2:24" ht="15.75" thickBot="1" x14ac:dyDescent="0.3">
      <c r="B328" s="1253"/>
      <c r="C328" s="36" t="e">
        <f>'Combustão Móvel'!#REF!</f>
        <v>#REF!</v>
      </c>
      <c r="D328" s="156" t="e">
        <f>'Combustão Móvel'!#REF!</f>
        <v>#REF!</v>
      </c>
      <c r="E328" s="150" t="e">
        <f>'Combustão Móvel'!#REF!</f>
        <v>#REF!</v>
      </c>
      <c r="F328" s="150" t="e">
        <f t="shared" si="71"/>
        <v>#REF!</v>
      </c>
      <c r="G328" s="150" t="e">
        <f t="shared" si="72"/>
        <v>#REF!</v>
      </c>
      <c r="H328" s="150" t="e">
        <f t="shared" si="73"/>
        <v>#REF!</v>
      </c>
      <c r="I328" s="150" t="e">
        <f t="shared" si="74"/>
        <v>#REF!</v>
      </c>
      <c r="J328" s="150" t="e">
        <f t="shared" si="75"/>
        <v>#REF!</v>
      </c>
      <c r="K328" s="157" t="e">
        <f t="shared" si="76"/>
        <v>#REF!</v>
      </c>
      <c r="L328" s="64" t="e">
        <f>'Combustão Móvel'!#REF!</f>
        <v>#REF!</v>
      </c>
      <c r="M328" s="65" t="e">
        <f>'Combustão Móvel'!#REF!</f>
        <v>#REF!</v>
      </c>
      <c r="N328" s="150"/>
      <c r="O328" s="150" t="e">
        <f t="shared" si="63"/>
        <v>#REF!</v>
      </c>
      <c r="P328" s="150"/>
      <c r="Q328" s="150"/>
      <c r="R328" s="150" t="e">
        <f t="shared" si="64"/>
        <v>#REF!</v>
      </c>
      <c r="S328" s="150" t="e">
        <f t="shared" si="65"/>
        <v>#REF!</v>
      </c>
      <c r="T328" s="161" t="e">
        <f t="shared" si="66"/>
        <v>#REF!</v>
      </c>
      <c r="U328" s="161" t="e">
        <f t="shared" si="67"/>
        <v>#REF!</v>
      </c>
      <c r="V328" s="134" t="e">
        <f t="shared" si="68"/>
        <v>#REF!</v>
      </c>
      <c r="W328" s="134" t="e">
        <f t="shared" si="69"/>
        <v>#REF!</v>
      </c>
      <c r="X328" s="134" t="e">
        <f t="shared" si="70"/>
        <v>#REF!</v>
      </c>
    </row>
    <row r="329" spans="2:24" ht="15.75" thickBot="1" x14ac:dyDescent="0.3">
      <c r="B329" s="1253"/>
      <c r="C329" s="36" t="e">
        <f>'Combustão Móvel'!#REF!</f>
        <v>#REF!</v>
      </c>
      <c r="D329" s="156" t="e">
        <f>'Combustão Móvel'!#REF!</f>
        <v>#REF!</v>
      </c>
      <c r="E329" s="150" t="e">
        <f>'Combustão Móvel'!#REF!</f>
        <v>#REF!</v>
      </c>
      <c r="F329" s="150" t="e">
        <f t="shared" si="71"/>
        <v>#REF!</v>
      </c>
      <c r="G329" s="150" t="e">
        <f t="shared" si="72"/>
        <v>#REF!</v>
      </c>
      <c r="H329" s="150" t="e">
        <f t="shared" si="73"/>
        <v>#REF!</v>
      </c>
      <c r="I329" s="150" t="e">
        <f t="shared" si="74"/>
        <v>#REF!</v>
      </c>
      <c r="J329" s="150" t="e">
        <f t="shared" si="75"/>
        <v>#REF!</v>
      </c>
      <c r="K329" s="157" t="e">
        <f t="shared" si="76"/>
        <v>#REF!</v>
      </c>
      <c r="L329" s="64" t="e">
        <f>'Combustão Móvel'!#REF!</f>
        <v>#REF!</v>
      </c>
      <c r="M329" s="65" t="e">
        <f>'Combustão Móvel'!#REF!</f>
        <v>#REF!</v>
      </c>
      <c r="N329" s="150"/>
      <c r="O329" s="150" t="e">
        <f t="shared" si="63"/>
        <v>#REF!</v>
      </c>
      <c r="P329" s="150"/>
      <c r="Q329" s="150"/>
      <c r="R329" s="150" t="e">
        <f t="shared" si="64"/>
        <v>#REF!</v>
      </c>
      <c r="S329" s="150" t="e">
        <f t="shared" si="65"/>
        <v>#REF!</v>
      </c>
      <c r="T329" s="161" t="e">
        <f t="shared" si="66"/>
        <v>#REF!</v>
      </c>
      <c r="U329" s="161" t="e">
        <f t="shared" si="67"/>
        <v>#REF!</v>
      </c>
      <c r="V329" s="134" t="e">
        <f t="shared" si="68"/>
        <v>#REF!</v>
      </c>
      <c r="W329" s="134" t="e">
        <f t="shared" si="69"/>
        <v>#REF!</v>
      </c>
      <c r="X329" s="134" t="e">
        <f t="shared" si="70"/>
        <v>#REF!</v>
      </c>
    </row>
    <row r="330" spans="2:24" ht="15.75" thickBot="1" x14ac:dyDescent="0.3">
      <c r="B330" s="1253"/>
      <c r="C330" s="36" t="e">
        <f>'Combustão Móvel'!#REF!</f>
        <v>#REF!</v>
      </c>
      <c r="D330" s="156" t="e">
        <f>'Combustão Móvel'!#REF!</f>
        <v>#REF!</v>
      </c>
      <c r="E330" s="150" t="e">
        <f>'Combustão Móvel'!#REF!</f>
        <v>#REF!</v>
      </c>
      <c r="F330" s="150" t="e">
        <f t="shared" si="71"/>
        <v>#REF!</v>
      </c>
      <c r="G330" s="150" t="e">
        <f t="shared" si="72"/>
        <v>#REF!</v>
      </c>
      <c r="H330" s="150" t="e">
        <f t="shared" si="73"/>
        <v>#REF!</v>
      </c>
      <c r="I330" s="150" t="e">
        <f t="shared" si="74"/>
        <v>#REF!</v>
      </c>
      <c r="J330" s="150" t="e">
        <f t="shared" si="75"/>
        <v>#REF!</v>
      </c>
      <c r="K330" s="157" t="e">
        <f t="shared" si="76"/>
        <v>#REF!</v>
      </c>
      <c r="L330" s="64" t="e">
        <f>'Combustão Móvel'!#REF!</f>
        <v>#REF!</v>
      </c>
      <c r="M330" s="65" t="e">
        <f>'Combustão Móvel'!#REF!</f>
        <v>#REF!</v>
      </c>
      <c r="N330" s="150"/>
      <c r="O330" s="150" t="e">
        <f t="shared" si="63"/>
        <v>#REF!</v>
      </c>
      <c r="P330" s="150"/>
      <c r="Q330" s="150"/>
      <c r="R330" s="150" t="e">
        <f t="shared" si="64"/>
        <v>#REF!</v>
      </c>
      <c r="S330" s="150" t="e">
        <f t="shared" si="65"/>
        <v>#REF!</v>
      </c>
      <c r="T330" s="161" t="e">
        <f t="shared" si="66"/>
        <v>#REF!</v>
      </c>
      <c r="U330" s="161" t="e">
        <f t="shared" si="67"/>
        <v>#REF!</v>
      </c>
      <c r="V330" s="134" t="e">
        <f t="shared" si="68"/>
        <v>#REF!</v>
      </c>
      <c r="W330" s="134" t="e">
        <f t="shared" si="69"/>
        <v>#REF!</v>
      </c>
      <c r="X330" s="134" t="e">
        <f t="shared" si="70"/>
        <v>#REF!</v>
      </c>
    </row>
    <row r="331" spans="2:24" ht="15.75" thickBot="1" x14ac:dyDescent="0.3">
      <c r="B331" s="1253"/>
      <c r="C331" s="36" t="e">
        <f>'Combustão Móvel'!#REF!</f>
        <v>#REF!</v>
      </c>
      <c r="D331" s="156" t="e">
        <f>'Combustão Móvel'!#REF!</f>
        <v>#REF!</v>
      </c>
      <c r="E331" s="150" t="e">
        <f>'Combustão Móvel'!#REF!</f>
        <v>#REF!</v>
      </c>
      <c r="F331" s="150" t="e">
        <f t="shared" si="71"/>
        <v>#REF!</v>
      </c>
      <c r="G331" s="150" t="e">
        <f t="shared" si="72"/>
        <v>#REF!</v>
      </c>
      <c r="H331" s="150" t="e">
        <f t="shared" si="73"/>
        <v>#REF!</v>
      </c>
      <c r="I331" s="150" t="e">
        <f t="shared" si="74"/>
        <v>#REF!</v>
      </c>
      <c r="J331" s="150" t="e">
        <f t="shared" si="75"/>
        <v>#REF!</v>
      </c>
      <c r="K331" s="157" t="e">
        <f t="shared" si="76"/>
        <v>#REF!</v>
      </c>
      <c r="L331" s="64" t="e">
        <f>'Combustão Móvel'!#REF!</f>
        <v>#REF!</v>
      </c>
      <c r="M331" s="65" t="e">
        <f>'Combustão Móvel'!#REF!</f>
        <v>#REF!</v>
      </c>
      <c r="N331" s="150"/>
      <c r="O331" s="150" t="e">
        <f t="shared" si="63"/>
        <v>#REF!</v>
      </c>
      <c r="P331" s="150"/>
      <c r="Q331" s="150"/>
      <c r="R331" s="150" t="e">
        <f t="shared" si="64"/>
        <v>#REF!</v>
      </c>
      <c r="S331" s="150" t="e">
        <f t="shared" si="65"/>
        <v>#REF!</v>
      </c>
      <c r="T331" s="161" t="e">
        <f t="shared" si="66"/>
        <v>#REF!</v>
      </c>
      <c r="U331" s="161" t="e">
        <f t="shared" si="67"/>
        <v>#REF!</v>
      </c>
      <c r="V331" s="134" t="e">
        <f t="shared" si="68"/>
        <v>#REF!</v>
      </c>
      <c r="W331" s="134" t="e">
        <f t="shared" si="69"/>
        <v>#REF!</v>
      </c>
      <c r="X331" s="134" t="e">
        <f t="shared" si="70"/>
        <v>#REF!</v>
      </c>
    </row>
    <row r="332" spans="2:24" ht="15.75" thickBot="1" x14ac:dyDescent="0.3">
      <c r="B332" s="1254"/>
      <c r="C332" s="36" t="e">
        <f>'Combustão Móvel'!#REF!</f>
        <v>#REF!</v>
      </c>
      <c r="D332" s="156" t="e">
        <f>'Combustão Móvel'!#REF!</f>
        <v>#REF!</v>
      </c>
      <c r="E332" s="153" t="e">
        <f>'Combustão Móvel'!#REF!</f>
        <v>#REF!</v>
      </c>
      <c r="F332" s="153" t="e">
        <f t="shared" si="71"/>
        <v>#REF!</v>
      </c>
      <c r="G332" s="153" t="e">
        <f t="shared" si="72"/>
        <v>#REF!</v>
      </c>
      <c r="H332" s="153" t="e">
        <f t="shared" si="73"/>
        <v>#REF!</v>
      </c>
      <c r="I332" s="153" t="e">
        <f t="shared" si="74"/>
        <v>#REF!</v>
      </c>
      <c r="J332" s="153" t="e">
        <f t="shared" si="75"/>
        <v>#REF!</v>
      </c>
      <c r="K332" s="158" t="e">
        <f t="shared" si="76"/>
        <v>#REF!</v>
      </c>
      <c r="L332" s="64" t="e">
        <f>'Combustão Móvel'!#REF!</f>
        <v>#REF!</v>
      </c>
      <c r="M332" s="65" t="e">
        <f>'Combustão Móvel'!#REF!</f>
        <v>#REF!</v>
      </c>
      <c r="N332" s="150"/>
      <c r="O332" s="150" t="e">
        <f t="shared" si="63"/>
        <v>#REF!</v>
      </c>
      <c r="P332" s="150"/>
      <c r="Q332" s="150"/>
      <c r="R332" s="150" t="e">
        <f t="shared" si="64"/>
        <v>#REF!</v>
      </c>
      <c r="S332" s="150" t="e">
        <f t="shared" si="65"/>
        <v>#REF!</v>
      </c>
      <c r="T332" s="161" t="e">
        <f t="shared" si="66"/>
        <v>#REF!</v>
      </c>
      <c r="U332" s="161" t="e">
        <f t="shared" si="67"/>
        <v>#REF!</v>
      </c>
      <c r="V332" s="134" t="e">
        <f t="shared" si="68"/>
        <v>#REF!</v>
      </c>
      <c r="W332" s="134" t="e">
        <f t="shared" si="69"/>
        <v>#REF!</v>
      </c>
      <c r="X332" s="134" t="e">
        <f t="shared" si="70"/>
        <v>#REF!</v>
      </c>
    </row>
    <row r="333" spans="2:24" ht="15.75" thickBot="1" x14ac:dyDescent="0.3">
      <c r="B333" s="1243" t="s">
        <v>228</v>
      </c>
      <c r="C333" s="35" t="e">
        <f>'Combustão Móvel'!#REF!</f>
        <v>#REF!</v>
      </c>
      <c r="D333" s="145" t="e">
        <f>'Combustão Móvel'!#REF!</f>
        <v>#REF!</v>
      </c>
      <c r="E333" s="145" t="e">
        <f>'Combustão Móvel'!#REF!</f>
        <v>#REF!</v>
      </c>
      <c r="F333" s="156" t="e">
        <f>IF(C333=$F$32,D333,0)</f>
        <v>#REF!</v>
      </c>
      <c r="G333" s="156" t="e">
        <f>IF(C333=$G$32,D333,0)</f>
        <v>#REF!</v>
      </c>
      <c r="H333" s="156" t="e">
        <f>IF(C333=$H$32,D333,0)</f>
        <v>#REF!</v>
      </c>
      <c r="I333" s="156" t="e">
        <f>IF(C333=$I$32,E333,0)</f>
        <v>#REF!</v>
      </c>
      <c r="J333" s="156" t="e">
        <f>IF(C333=$J$32,E333,0)</f>
        <v>#REF!</v>
      </c>
      <c r="K333" s="155" t="e">
        <f>IF(C333=$K$32,E333,0)</f>
        <v>#REF!</v>
      </c>
      <c r="L333" s="64" t="e">
        <f>'Combustão Móvel'!#REF!</f>
        <v>#REF!</v>
      </c>
      <c r="M333" s="65" t="e">
        <f>'Combustão Móvel'!#REF!</f>
        <v>#REF!</v>
      </c>
      <c r="N333" s="150"/>
      <c r="O333" s="150" t="e">
        <f t="shared" si="63"/>
        <v>#REF!</v>
      </c>
      <c r="P333" s="150"/>
      <c r="Q333" s="150"/>
      <c r="R333" s="150" t="e">
        <f t="shared" si="64"/>
        <v>#REF!</v>
      </c>
      <c r="S333" s="150" t="e">
        <f t="shared" si="65"/>
        <v>#REF!</v>
      </c>
      <c r="T333" s="161" t="e">
        <f t="shared" si="66"/>
        <v>#REF!</v>
      </c>
      <c r="U333" s="161" t="e">
        <f t="shared" si="67"/>
        <v>#REF!</v>
      </c>
      <c r="V333" s="134" t="e">
        <f t="shared" si="68"/>
        <v>#REF!</v>
      </c>
      <c r="W333" s="134" t="e">
        <f t="shared" si="69"/>
        <v>#REF!</v>
      </c>
      <c r="X333" s="134" t="e">
        <f t="shared" si="70"/>
        <v>#REF!</v>
      </c>
    </row>
    <row r="334" spans="2:24" ht="15.75" thickBot="1" x14ac:dyDescent="0.3">
      <c r="B334" s="1244"/>
      <c r="C334" s="35" t="e">
        <f>'Combustão Móvel'!#REF!</f>
        <v>#REF!</v>
      </c>
      <c r="D334" s="145" t="e">
        <f>'Combustão Móvel'!#REF!</f>
        <v>#REF!</v>
      </c>
      <c r="E334" s="159" t="e">
        <f>'Combustão Móvel'!#REF!</f>
        <v>#REF!</v>
      </c>
      <c r="F334" s="150" t="e">
        <f t="shared" ref="F334:F397" si="77">IF(C334=$F$32,D334,0)</f>
        <v>#REF!</v>
      </c>
      <c r="G334" s="150" t="e">
        <f t="shared" ref="G334:G397" si="78">IF(C334=$G$32,D334,0)</f>
        <v>#REF!</v>
      </c>
      <c r="H334" s="150" t="e">
        <f t="shared" ref="H334:H397" si="79">IF(C334=$H$32,D334,0)</f>
        <v>#REF!</v>
      </c>
      <c r="I334" s="150" t="e">
        <f t="shared" ref="I334:I397" si="80">IF(C334=$I$32,E334,0)</f>
        <v>#REF!</v>
      </c>
      <c r="J334" s="150" t="e">
        <f t="shared" ref="J334:J397" si="81">IF(C334=$J$32,E334,0)</f>
        <v>#REF!</v>
      </c>
      <c r="K334" s="151" t="e">
        <f t="shared" ref="K334:K397" si="82">IF(C334=$K$32,E334,0)</f>
        <v>#REF!</v>
      </c>
      <c r="L334" s="64" t="e">
        <f>'Combustão Móvel'!#REF!</f>
        <v>#REF!</v>
      </c>
      <c r="M334" s="65" t="e">
        <f>'Combustão Móvel'!#REF!</f>
        <v>#REF!</v>
      </c>
      <c r="N334" s="150"/>
      <c r="O334" s="150" t="e">
        <f t="shared" si="63"/>
        <v>#REF!</v>
      </c>
      <c r="P334" s="150"/>
      <c r="Q334" s="150"/>
      <c r="R334" s="150" t="e">
        <f t="shared" si="64"/>
        <v>#REF!</v>
      </c>
      <c r="S334" s="150" t="e">
        <f t="shared" si="65"/>
        <v>#REF!</v>
      </c>
      <c r="T334" s="161" t="e">
        <f t="shared" si="66"/>
        <v>#REF!</v>
      </c>
      <c r="U334" s="161" t="e">
        <f t="shared" si="67"/>
        <v>#REF!</v>
      </c>
      <c r="V334" s="134" t="e">
        <f t="shared" si="68"/>
        <v>#REF!</v>
      </c>
      <c r="W334" s="134" t="e">
        <f t="shared" si="69"/>
        <v>#REF!</v>
      </c>
      <c r="X334" s="134" t="e">
        <f t="shared" si="70"/>
        <v>#REF!</v>
      </c>
    </row>
    <row r="335" spans="2:24" ht="15.75" thickBot="1" x14ac:dyDescent="0.3">
      <c r="B335" s="1244"/>
      <c r="C335" s="35" t="e">
        <f>'Combustão Móvel'!#REF!</f>
        <v>#REF!</v>
      </c>
      <c r="D335" s="145" t="e">
        <f>'Combustão Móvel'!#REF!</f>
        <v>#REF!</v>
      </c>
      <c r="E335" s="159" t="e">
        <f>'Combustão Móvel'!#REF!</f>
        <v>#REF!</v>
      </c>
      <c r="F335" s="150" t="e">
        <f t="shared" si="77"/>
        <v>#REF!</v>
      </c>
      <c r="G335" s="150" t="e">
        <f t="shared" si="78"/>
        <v>#REF!</v>
      </c>
      <c r="H335" s="150" t="e">
        <f t="shared" si="79"/>
        <v>#REF!</v>
      </c>
      <c r="I335" s="150" t="e">
        <f t="shared" si="80"/>
        <v>#REF!</v>
      </c>
      <c r="J335" s="150" t="e">
        <f t="shared" si="81"/>
        <v>#REF!</v>
      </c>
      <c r="K335" s="151" t="e">
        <f t="shared" si="82"/>
        <v>#REF!</v>
      </c>
      <c r="L335" s="64" t="e">
        <f>'Combustão Móvel'!#REF!</f>
        <v>#REF!</v>
      </c>
      <c r="M335" s="65" t="e">
        <f>'Combustão Móvel'!#REF!</f>
        <v>#REF!</v>
      </c>
      <c r="N335" s="150"/>
      <c r="O335" s="150" t="e">
        <f t="shared" si="63"/>
        <v>#REF!</v>
      </c>
      <c r="P335" s="150"/>
      <c r="Q335" s="150"/>
      <c r="R335" s="150" t="e">
        <f t="shared" si="64"/>
        <v>#REF!</v>
      </c>
      <c r="S335" s="150" t="e">
        <f t="shared" si="65"/>
        <v>#REF!</v>
      </c>
      <c r="T335" s="161" t="e">
        <f t="shared" si="66"/>
        <v>#REF!</v>
      </c>
      <c r="U335" s="161" t="e">
        <f t="shared" si="67"/>
        <v>#REF!</v>
      </c>
      <c r="V335" s="134" t="e">
        <f t="shared" si="68"/>
        <v>#REF!</v>
      </c>
      <c r="W335" s="134" t="e">
        <f t="shared" si="69"/>
        <v>#REF!</v>
      </c>
      <c r="X335" s="134" t="e">
        <f t="shared" si="70"/>
        <v>#REF!</v>
      </c>
    </row>
    <row r="336" spans="2:24" ht="15.75" thickBot="1" x14ac:dyDescent="0.3">
      <c r="B336" s="1244"/>
      <c r="C336" s="35" t="e">
        <f>'Combustão Móvel'!#REF!</f>
        <v>#REF!</v>
      </c>
      <c r="D336" s="145" t="e">
        <f>'Combustão Móvel'!#REF!</f>
        <v>#REF!</v>
      </c>
      <c r="E336" s="159" t="e">
        <f>'Combustão Móvel'!#REF!</f>
        <v>#REF!</v>
      </c>
      <c r="F336" s="150" t="e">
        <f t="shared" si="77"/>
        <v>#REF!</v>
      </c>
      <c r="G336" s="150" t="e">
        <f t="shared" si="78"/>
        <v>#REF!</v>
      </c>
      <c r="H336" s="150" t="e">
        <f t="shared" si="79"/>
        <v>#REF!</v>
      </c>
      <c r="I336" s="150" t="e">
        <f t="shared" si="80"/>
        <v>#REF!</v>
      </c>
      <c r="J336" s="150" t="e">
        <f t="shared" si="81"/>
        <v>#REF!</v>
      </c>
      <c r="K336" s="151" t="e">
        <f t="shared" si="82"/>
        <v>#REF!</v>
      </c>
      <c r="L336" s="64" t="e">
        <f>'Combustão Móvel'!#REF!</f>
        <v>#REF!</v>
      </c>
      <c r="M336" s="65" t="e">
        <f>'Combustão Móvel'!#REF!</f>
        <v>#REF!</v>
      </c>
      <c r="N336" s="150"/>
      <c r="O336" s="150" t="e">
        <f t="shared" si="63"/>
        <v>#REF!</v>
      </c>
      <c r="P336" s="150"/>
      <c r="Q336" s="150"/>
      <c r="R336" s="150" t="e">
        <f t="shared" si="64"/>
        <v>#REF!</v>
      </c>
      <c r="S336" s="150" t="e">
        <f t="shared" si="65"/>
        <v>#REF!</v>
      </c>
      <c r="T336" s="161" t="e">
        <f t="shared" si="66"/>
        <v>#REF!</v>
      </c>
      <c r="U336" s="161" t="e">
        <f t="shared" si="67"/>
        <v>#REF!</v>
      </c>
      <c r="V336" s="134" t="e">
        <f t="shared" si="68"/>
        <v>#REF!</v>
      </c>
      <c r="W336" s="134" t="e">
        <f t="shared" si="69"/>
        <v>#REF!</v>
      </c>
      <c r="X336" s="134" t="e">
        <f t="shared" si="70"/>
        <v>#REF!</v>
      </c>
    </row>
    <row r="337" spans="2:24" ht="15.75" thickBot="1" x14ac:dyDescent="0.3">
      <c r="B337" s="1244"/>
      <c r="C337" s="35" t="e">
        <f>'Combustão Móvel'!#REF!</f>
        <v>#REF!</v>
      </c>
      <c r="D337" s="145" t="e">
        <f>'Combustão Móvel'!#REF!</f>
        <v>#REF!</v>
      </c>
      <c r="E337" s="159" t="e">
        <f>'Combustão Móvel'!#REF!</f>
        <v>#REF!</v>
      </c>
      <c r="F337" s="150" t="e">
        <f t="shared" si="77"/>
        <v>#REF!</v>
      </c>
      <c r="G337" s="150" t="e">
        <f t="shared" si="78"/>
        <v>#REF!</v>
      </c>
      <c r="H337" s="150" t="e">
        <f t="shared" si="79"/>
        <v>#REF!</v>
      </c>
      <c r="I337" s="150" t="e">
        <f t="shared" si="80"/>
        <v>#REF!</v>
      </c>
      <c r="J337" s="150" t="e">
        <f t="shared" si="81"/>
        <v>#REF!</v>
      </c>
      <c r="K337" s="151" t="e">
        <f t="shared" si="82"/>
        <v>#REF!</v>
      </c>
      <c r="L337" s="64" t="e">
        <f>'Combustão Móvel'!#REF!</f>
        <v>#REF!</v>
      </c>
      <c r="M337" s="65" t="e">
        <f>'Combustão Móvel'!#REF!</f>
        <v>#REF!</v>
      </c>
      <c r="N337" s="150"/>
      <c r="O337" s="150" t="e">
        <f t="shared" si="63"/>
        <v>#REF!</v>
      </c>
      <c r="P337" s="150"/>
      <c r="Q337" s="150"/>
      <c r="R337" s="150" t="e">
        <f t="shared" si="64"/>
        <v>#REF!</v>
      </c>
      <c r="S337" s="150" t="e">
        <f t="shared" si="65"/>
        <v>#REF!</v>
      </c>
      <c r="T337" s="161" t="e">
        <f t="shared" si="66"/>
        <v>#REF!</v>
      </c>
      <c r="U337" s="161" t="e">
        <f t="shared" si="67"/>
        <v>#REF!</v>
      </c>
      <c r="V337" s="134" t="e">
        <f t="shared" si="68"/>
        <v>#REF!</v>
      </c>
      <c r="W337" s="134" t="e">
        <f t="shared" si="69"/>
        <v>#REF!</v>
      </c>
      <c r="X337" s="134" t="e">
        <f t="shared" si="70"/>
        <v>#REF!</v>
      </c>
    </row>
    <row r="338" spans="2:24" ht="15.75" thickBot="1" x14ac:dyDescent="0.3">
      <c r="B338" s="1244"/>
      <c r="C338" s="35" t="e">
        <f>'Combustão Móvel'!#REF!</f>
        <v>#REF!</v>
      </c>
      <c r="D338" s="145" t="e">
        <f>'Combustão Móvel'!#REF!</f>
        <v>#REF!</v>
      </c>
      <c r="E338" s="159" t="e">
        <f>'Combustão Móvel'!#REF!</f>
        <v>#REF!</v>
      </c>
      <c r="F338" s="150" t="e">
        <f t="shared" si="77"/>
        <v>#REF!</v>
      </c>
      <c r="G338" s="150" t="e">
        <f t="shared" si="78"/>
        <v>#REF!</v>
      </c>
      <c r="H338" s="150" t="e">
        <f t="shared" si="79"/>
        <v>#REF!</v>
      </c>
      <c r="I338" s="150" t="e">
        <f t="shared" si="80"/>
        <v>#REF!</v>
      </c>
      <c r="J338" s="150" t="e">
        <f t="shared" si="81"/>
        <v>#REF!</v>
      </c>
      <c r="K338" s="151" t="e">
        <f t="shared" si="82"/>
        <v>#REF!</v>
      </c>
      <c r="L338" s="64" t="e">
        <f>'Combustão Móvel'!#REF!</f>
        <v>#REF!</v>
      </c>
      <c r="M338" s="65" t="e">
        <f>'Combustão Móvel'!#REF!</f>
        <v>#REF!</v>
      </c>
      <c r="N338" s="150"/>
      <c r="O338" s="150" t="e">
        <f t="shared" si="63"/>
        <v>#REF!</v>
      </c>
      <c r="P338" s="150"/>
      <c r="Q338" s="150"/>
      <c r="R338" s="150" t="e">
        <f t="shared" si="64"/>
        <v>#REF!</v>
      </c>
      <c r="S338" s="150" t="e">
        <f t="shared" si="65"/>
        <v>#REF!</v>
      </c>
      <c r="T338" s="161" t="e">
        <f t="shared" si="66"/>
        <v>#REF!</v>
      </c>
      <c r="U338" s="161" t="e">
        <f t="shared" si="67"/>
        <v>#REF!</v>
      </c>
      <c r="V338" s="134" t="e">
        <f t="shared" si="68"/>
        <v>#REF!</v>
      </c>
      <c r="W338" s="134" t="e">
        <f t="shared" si="69"/>
        <v>#REF!</v>
      </c>
      <c r="X338" s="134" t="e">
        <f t="shared" si="70"/>
        <v>#REF!</v>
      </c>
    </row>
    <row r="339" spans="2:24" ht="15.75" thickBot="1" x14ac:dyDescent="0.3">
      <c r="B339" s="1244"/>
      <c r="C339" s="35" t="e">
        <f>'Combustão Móvel'!#REF!</f>
        <v>#REF!</v>
      </c>
      <c r="D339" s="145" t="e">
        <f>'Combustão Móvel'!#REF!</f>
        <v>#REF!</v>
      </c>
      <c r="E339" s="159" t="e">
        <f>'Combustão Móvel'!#REF!</f>
        <v>#REF!</v>
      </c>
      <c r="F339" s="150" t="e">
        <f t="shared" si="77"/>
        <v>#REF!</v>
      </c>
      <c r="G339" s="150" t="e">
        <f t="shared" si="78"/>
        <v>#REF!</v>
      </c>
      <c r="H339" s="150" t="e">
        <f t="shared" si="79"/>
        <v>#REF!</v>
      </c>
      <c r="I339" s="150" t="e">
        <f t="shared" si="80"/>
        <v>#REF!</v>
      </c>
      <c r="J339" s="150" t="e">
        <f t="shared" si="81"/>
        <v>#REF!</v>
      </c>
      <c r="K339" s="151" t="e">
        <f t="shared" si="82"/>
        <v>#REF!</v>
      </c>
      <c r="L339" s="64" t="e">
        <f>'Combustão Móvel'!#REF!</f>
        <v>#REF!</v>
      </c>
      <c r="M339" s="65" t="e">
        <f>'Combustão Móvel'!#REF!</f>
        <v>#REF!</v>
      </c>
      <c r="N339" s="150"/>
      <c r="O339" s="150" t="e">
        <f t="shared" si="63"/>
        <v>#REF!</v>
      </c>
      <c r="P339" s="150"/>
      <c r="Q339" s="150"/>
      <c r="R339" s="150" t="e">
        <f t="shared" si="64"/>
        <v>#REF!</v>
      </c>
      <c r="S339" s="150" t="e">
        <f t="shared" si="65"/>
        <v>#REF!</v>
      </c>
      <c r="T339" s="161" t="e">
        <f t="shared" si="66"/>
        <v>#REF!</v>
      </c>
      <c r="U339" s="161" t="e">
        <f t="shared" si="67"/>
        <v>#REF!</v>
      </c>
      <c r="V339" s="134" t="e">
        <f t="shared" si="68"/>
        <v>#REF!</v>
      </c>
      <c r="W339" s="134" t="e">
        <f t="shared" si="69"/>
        <v>#REF!</v>
      </c>
      <c r="X339" s="134" t="e">
        <f t="shared" si="70"/>
        <v>#REF!</v>
      </c>
    </row>
    <row r="340" spans="2:24" ht="15.75" thickBot="1" x14ac:dyDescent="0.3">
      <c r="B340" s="1244"/>
      <c r="C340" s="35" t="e">
        <f>'Combustão Móvel'!#REF!</f>
        <v>#REF!</v>
      </c>
      <c r="D340" s="145" t="e">
        <f>'Combustão Móvel'!#REF!</f>
        <v>#REF!</v>
      </c>
      <c r="E340" s="159" t="e">
        <f>'Combustão Móvel'!#REF!</f>
        <v>#REF!</v>
      </c>
      <c r="F340" s="150" t="e">
        <f t="shared" si="77"/>
        <v>#REF!</v>
      </c>
      <c r="G340" s="150" t="e">
        <f t="shared" si="78"/>
        <v>#REF!</v>
      </c>
      <c r="H340" s="150" t="e">
        <f t="shared" si="79"/>
        <v>#REF!</v>
      </c>
      <c r="I340" s="150" t="e">
        <f t="shared" si="80"/>
        <v>#REF!</v>
      </c>
      <c r="J340" s="150" t="e">
        <f t="shared" si="81"/>
        <v>#REF!</v>
      </c>
      <c r="K340" s="151" t="e">
        <f t="shared" si="82"/>
        <v>#REF!</v>
      </c>
      <c r="L340" s="64" t="e">
        <f>'Combustão Móvel'!#REF!</f>
        <v>#REF!</v>
      </c>
      <c r="M340" s="65" t="e">
        <f>'Combustão Móvel'!#REF!</f>
        <v>#REF!</v>
      </c>
      <c r="N340" s="150"/>
      <c r="O340" s="150" t="e">
        <f t="shared" si="63"/>
        <v>#REF!</v>
      </c>
      <c r="P340" s="150"/>
      <c r="Q340" s="150"/>
      <c r="R340" s="150" t="e">
        <f t="shared" si="64"/>
        <v>#REF!</v>
      </c>
      <c r="S340" s="150" t="e">
        <f t="shared" si="65"/>
        <v>#REF!</v>
      </c>
      <c r="T340" s="161" t="e">
        <f t="shared" si="66"/>
        <v>#REF!</v>
      </c>
      <c r="U340" s="161" t="e">
        <f t="shared" si="67"/>
        <v>#REF!</v>
      </c>
      <c r="V340" s="134" t="e">
        <f t="shared" si="68"/>
        <v>#REF!</v>
      </c>
      <c r="W340" s="134" t="e">
        <f t="shared" si="69"/>
        <v>#REF!</v>
      </c>
      <c r="X340" s="134" t="e">
        <f t="shared" si="70"/>
        <v>#REF!</v>
      </c>
    </row>
    <row r="341" spans="2:24" ht="15.75" thickBot="1" x14ac:dyDescent="0.3">
      <c r="B341" s="1244"/>
      <c r="C341" s="35" t="e">
        <f>'Combustão Móvel'!#REF!</f>
        <v>#REF!</v>
      </c>
      <c r="D341" s="145" t="e">
        <f>'Combustão Móvel'!#REF!</f>
        <v>#REF!</v>
      </c>
      <c r="E341" s="159" t="e">
        <f>'Combustão Móvel'!#REF!</f>
        <v>#REF!</v>
      </c>
      <c r="F341" s="150" t="e">
        <f t="shared" si="77"/>
        <v>#REF!</v>
      </c>
      <c r="G341" s="150" t="e">
        <f t="shared" si="78"/>
        <v>#REF!</v>
      </c>
      <c r="H341" s="150" t="e">
        <f t="shared" si="79"/>
        <v>#REF!</v>
      </c>
      <c r="I341" s="150" t="e">
        <f t="shared" si="80"/>
        <v>#REF!</v>
      </c>
      <c r="J341" s="150" t="e">
        <f t="shared" si="81"/>
        <v>#REF!</v>
      </c>
      <c r="K341" s="151" t="e">
        <f t="shared" si="82"/>
        <v>#REF!</v>
      </c>
      <c r="L341" s="64" t="e">
        <f>'Combustão Móvel'!#REF!</f>
        <v>#REF!</v>
      </c>
      <c r="M341" s="65" t="e">
        <f>'Combustão Móvel'!#REF!</f>
        <v>#REF!</v>
      </c>
      <c r="N341" s="150"/>
      <c r="O341" s="150" t="e">
        <f t="shared" si="63"/>
        <v>#REF!</v>
      </c>
      <c r="P341" s="150"/>
      <c r="Q341" s="150"/>
      <c r="R341" s="150" t="e">
        <f t="shared" si="64"/>
        <v>#REF!</v>
      </c>
      <c r="S341" s="150" t="e">
        <f t="shared" si="65"/>
        <v>#REF!</v>
      </c>
      <c r="T341" s="161" t="e">
        <f t="shared" si="66"/>
        <v>#REF!</v>
      </c>
      <c r="U341" s="161" t="e">
        <f t="shared" si="67"/>
        <v>#REF!</v>
      </c>
      <c r="V341" s="134" t="e">
        <f t="shared" si="68"/>
        <v>#REF!</v>
      </c>
      <c r="W341" s="134" t="e">
        <f t="shared" si="69"/>
        <v>#REF!</v>
      </c>
      <c r="X341" s="134" t="e">
        <f t="shared" si="70"/>
        <v>#REF!</v>
      </c>
    </row>
    <row r="342" spans="2:24" ht="15.75" thickBot="1" x14ac:dyDescent="0.3">
      <c r="B342" s="1244"/>
      <c r="C342" s="35" t="e">
        <f>'Combustão Móvel'!#REF!</f>
        <v>#REF!</v>
      </c>
      <c r="D342" s="145" t="e">
        <f>'Combustão Móvel'!#REF!</f>
        <v>#REF!</v>
      </c>
      <c r="E342" s="159" t="e">
        <f>'Combustão Móvel'!#REF!</f>
        <v>#REF!</v>
      </c>
      <c r="F342" s="150" t="e">
        <f t="shared" si="77"/>
        <v>#REF!</v>
      </c>
      <c r="G342" s="150" t="e">
        <f t="shared" si="78"/>
        <v>#REF!</v>
      </c>
      <c r="H342" s="150" t="e">
        <f t="shared" si="79"/>
        <v>#REF!</v>
      </c>
      <c r="I342" s="150" t="e">
        <f t="shared" si="80"/>
        <v>#REF!</v>
      </c>
      <c r="J342" s="150" t="e">
        <f t="shared" si="81"/>
        <v>#REF!</v>
      </c>
      <c r="K342" s="151" t="e">
        <f t="shared" si="82"/>
        <v>#REF!</v>
      </c>
      <c r="L342" s="64" t="e">
        <f>'Combustão Móvel'!#REF!</f>
        <v>#REF!</v>
      </c>
      <c r="M342" s="65" t="e">
        <f>'Combustão Móvel'!#REF!</f>
        <v>#REF!</v>
      </c>
      <c r="N342" s="150"/>
      <c r="O342" s="150" t="e">
        <f t="shared" si="63"/>
        <v>#REF!</v>
      </c>
      <c r="P342" s="150"/>
      <c r="Q342" s="150"/>
      <c r="R342" s="150" t="e">
        <f t="shared" si="64"/>
        <v>#REF!</v>
      </c>
      <c r="S342" s="150" t="e">
        <f t="shared" si="65"/>
        <v>#REF!</v>
      </c>
      <c r="T342" s="161" t="e">
        <f t="shared" si="66"/>
        <v>#REF!</v>
      </c>
      <c r="U342" s="161" t="e">
        <f t="shared" si="67"/>
        <v>#REF!</v>
      </c>
      <c r="V342" s="134" t="e">
        <f t="shared" si="68"/>
        <v>#REF!</v>
      </c>
      <c r="W342" s="134" t="e">
        <f t="shared" si="69"/>
        <v>#REF!</v>
      </c>
      <c r="X342" s="134" t="e">
        <f t="shared" si="70"/>
        <v>#REF!</v>
      </c>
    </row>
    <row r="343" spans="2:24" ht="15.75" thickBot="1" x14ac:dyDescent="0.3">
      <c r="B343" s="1244"/>
      <c r="C343" s="35" t="e">
        <f>'Combustão Móvel'!#REF!</f>
        <v>#REF!</v>
      </c>
      <c r="D343" s="145" t="e">
        <f>'Combustão Móvel'!#REF!</f>
        <v>#REF!</v>
      </c>
      <c r="E343" s="159" t="e">
        <f>'Combustão Móvel'!#REF!</f>
        <v>#REF!</v>
      </c>
      <c r="F343" s="150" t="e">
        <f t="shared" si="77"/>
        <v>#REF!</v>
      </c>
      <c r="G343" s="150" t="e">
        <f t="shared" si="78"/>
        <v>#REF!</v>
      </c>
      <c r="H343" s="150" t="e">
        <f t="shared" si="79"/>
        <v>#REF!</v>
      </c>
      <c r="I343" s="150" t="e">
        <f t="shared" si="80"/>
        <v>#REF!</v>
      </c>
      <c r="J343" s="150" t="e">
        <f t="shared" si="81"/>
        <v>#REF!</v>
      </c>
      <c r="K343" s="151" t="e">
        <f t="shared" si="82"/>
        <v>#REF!</v>
      </c>
      <c r="L343" s="64" t="e">
        <f>'Combustão Móvel'!#REF!</f>
        <v>#REF!</v>
      </c>
      <c r="M343" s="65" t="e">
        <f>'Combustão Móvel'!#REF!</f>
        <v>#REF!</v>
      </c>
      <c r="N343" s="150"/>
      <c r="O343" s="150" t="e">
        <f t="shared" si="63"/>
        <v>#REF!</v>
      </c>
      <c r="P343" s="150"/>
      <c r="Q343" s="150"/>
      <c r="R343" s="150" t="e">
        <f t="shared" si="64"/>
        <v>#REF!</v>
      </c>
      <c r="S343" s="150" t="e">
        <f t="shared" si="65"/>
        <v>#REF!</v>
      </c>
      <c r="T343" s="161" t="e">
        <f t="shared" si="66"/>
        <v>#REF!</v>
      </c>
      <c r="U343" s="161" t="e">
        <f t="shared" si="67"/>
        <v>#REF!</v>
      </c>
      <c r="V343" s="134" t="e">
        <f t="shared" si="68"/>
        <v>#REF!</v>
      </c>
      <c r="W343" s="134" t="e">
        <f t="shared" si="69"/>
        <v>#REF!</v>
      </c>
      <c r="X343" s="134" t="e">
        <f t="shared" si="70"/>
        <v>#REF!</v>
      </c>
    </row>
    <row r="344" spans="2:24" ht="15.75" thickBot="1" x14ac:dyDescent="0.3">
      <c r="B344" s="1244"/>
      <c r="C344" s="35" t="e">
        <f>'Combustão Móvel'!#REF!</f>
        <v>#REF!</v>
      </c>
      <c r="D344" s="145" t="e">
        <f>'Combustão Móvel'!#REF!</f>
        <v>#REF!</v>
      </c>
      <c r="E344" s="159" t="e">
        <f>'Combustão Móvel'!#REF!</f>
        <v>#REF!</v>
      </c>
      <c r="F344" s="150" t="e">
        <f t="shared" si="77"/>
        <v>#REF!</v>
      </c>
      <c r="G344" s="150" t="e">
        <f t="shared" si="78"/>
        <v>#REF!</v>
      </c>
      <c r="H344" s="150" t="e">
        <f t="shared" si="79"/>
        <v>#REF!</v>
      </c>
      <c r="I344" s="150" t="e">
        <f t="shared" si="80"/>
        <v>#REF!</v>
      </c>
      <c r="J344" s="150" t="e">
        <f t="shared" si="81"/>
        <v>#REF!</v>
      </c>
      <c r="K344" s="151" t="e">
        <f t="shared" si="82"/>
        <v>#REF!</v>
      </c>
      <c r="L344" s="64" t="e">
        <f>'Combustão Móvel'!#REF!</f>
        <v>#REF!</v>
      </c>
      <c r="M344" s="65" t="e">
        <f>'Combustão Móvel'!#REF!</f>
        <v>#REF!</v>
      </c>
      <c r="N344" s="150"/>
      <c r="O344" s="150" t="e">
        <f t="shared" si="63"/>
        <v>#REF!</v>
      </c>
      <c r="P344" s="150"/>
      <c r="Q344" s="150"/>
      <c r="R344" s="150" t="e">
        <f t="shared" si="64"/>
        <v>#REF!</v>
      </c>
      <c r="S344" s="150" t="e">
        <f t="shared" si="65"/>
        <v>#REF!</v>
      </c>
      <c r="T344" s="161" t="e">
        <f t="shared" si="66"/>
        <v>#REF!</v>
      </c>
      <c r="U344" s="161" t="e">
        <f t="shared" si="67"/>
        <v>#REF!</v>
      </c>
      <c r="V344" s="134" t="e">
        <f t="shared" si="68"/>
        <v>#REF!</v>
      </c>
      <c r="W344" s="134" t="e">
        <f t="shared" si="69"/>
        <v>#REF!</v>
      </c>
      <c r="X344" s="134" t="e">
        <f t="shared" si="70"/>
        <v>#REF!</v>
      </c>
    </row>
    <row r="345" spans="2:24" ht="15.75" thickBot="1" x14ac:dyDescent="0.3">
      <c r="B345" s="1244"/>
      <c r="C345" s="35" t="e">
        <f>'Combustão Móvel'!#REF!</f>
        <v>#REF!</v>
      </c>
      <c r="D345" s="145" t="e">
        <f>'Combustão Móvel'!#REF!</f>
        <v>#REF!</v>
      </c>
      <c r="E345" s="159" t="e">
        <f>'Combustão Móvel'!#REF!</f>
        <v>#REF!</v>
      </c>
      <c r="F345" s="150" t="e">
        <f t="shared" si="77"/>
        <v>#REF!</v>
      </c>
      <c r="G345" s="150" t="e">
        <f t="shared" si="78"/>
        <v>#REF!</v>
      </c>
      <c r="H345" s="150" t="e">
        <f t="shared" si="79"/>
        <v>#REF!</v>
      </c>
      <c r="I345" s="150" t="e">
        <f t="shared" si="80"/>
        <v>#REF!</v>
      </c>
      <c r="J345" s="150" t="e">
        <f t="shared" si="81"/>
        <v>#REF!</v>
      </c>
      <c r="K345" s="151" t="e">
        <f t="shared" si="82"/>
        <v>#REF!</v>
      </c>
      <c r="L345" s="64" t="e">
        <f>'Combustão Móvel'!#REF!</f>
        <v>#REF!</v>
      </c>
      <c r="M345" s="65" t="e">
        <f>'Combustão Móvel'!#REF!</f>
        <v>#REF!</v>
      </c>
      <c r="N345" s="150"/>
      <c r="O345" s="150" t="e">
        <f t="shared" si="63"/>
        <v>#REF!</v>
      </c>
      <c r="P345" s="150"/>
      <c r="Q345" s="150"/>
      <c r="R345" s="150" t="e">
        <f t="shared" si="64"/>
        <v>#REF!</v>
      </c>
      <c r="S345" s="150" t="e">
        <f t="shared" si="65"/>
        <v>#REF!</v>
      </c>
      <c r="T345" s="161" t="e">
        <f t="shared" si="66"/>
        <v>#REF!</v>
      </c>
      <c r="U345" s="161" t="e">
        <f t="shared" si="67"/>
        <v>#REF!</v>
      </c>
      <c r="V345" s="134" t="e">
        <f t="shared" si="68"/>
        <v>#REF!</v>
      </c>
      <c r="W345" s="134" t="e">
        <f t="shared" si="69"/>
        <v>#REF!</v>
      </c>
      <c r="X345" s="134" t="e">
        <f t="shared" si="70"/>
        <v>#REF!</v>
      </c>
    </row>
    <row r="346" spans="2:24" ht="15.75" thickBot="1" x14ac:dyDescent="0.3">
      <c r="B346" s="1244"/>
      <c r="C346" s="35" t="e">
        <f>'Combustão Móvel'!#REF!</f>
        <v>#REF!</v>
      </c>
      <c r="D346" s="145" t="e">
        <f>'Combustão Móvel'!#REF!</f>
        <v>#REF!</v>
      </c>
      <c r="E346" s="159" t="e">
        <f>'Combustão Móvel'!#REF!</f>
        <v>#REF!</v>
      </c>
      <c r="F346" s="150" t="e">
        <f t="shared" si="77"/>
        <v>#REF!</v>
      </c>
      <c r="G346" s="150" t="e">
        <f t="shared" si="78"/>
        <v>#REF!</v>
      </c>
      <c r="H346" s="150" t="e">
        <f t="shared" si="79"/>
        <v>#REF!</v>
      </c>
      <c r="I346" s="150" t="e">
        <f t="shared" si="80"/>
        <v>#REF!</v>
      </c>
      <c r="J346" s="150" t="e">
        <f t="shared" si="81"/>
        <v>#REF!</v>
      </c>
      <c r="K346" s="151" t="e">
        <f t="shared" si="82"/>
        <v>#REF!</v>
      </c>
      <c r="L346" s="64" t="e">
        <f>'Combustão Móvel'!#REF!</f>
        <v>#REF!</v>
      </c>
      <c r="M346" s="65" t="e">
        <f>'Combustão Móvel'!#REF!</f>
        <v>#REF!</v>
      </c>
      <c r="N346" s="150"/>
      <c r="O346" s="150" t="e">
        <f t="shared" si="63"/>
        <v>#REF!</v>
      </c>
      <c r="P346" s="150"/>
      <c r="Q346" s="150"/>
      <c r="R346" s="150" t="e">
        <f t="shared" si="64"/>
        <v>#REF!</v>
      </c>
      <c r="S346" s="150" t="e">
        <f t="shared" si="65"/>
        <v>#REF!</v>
      </c>
      <c r="T346" s="161" t="e">
        <f t="shared" si="66"/>
        <v>#REF!</v>
      </c>
      <c r="U346" s="161" t="e">
        <f t="shared" si="67"/>
        <v>#REF!</v>
      </c>
      <c r="V346" s="134" t="e">
        <f t="shared" si="68"/>
        <v>#REF!</v>
      </c>
      <c r="W346" s="134" t="e">
        <f t="shared" si="69"/>
        <v>#REF!</v>
      </c>
      <c r="X346" s="134" t="e">
        <f t="shared" si="70"/>
        <v>#REF!</v>
      </c>
    </row>
    <row r="347" spans="2:24" ht="15.75" thickBot="1" x14ac:dyDescent="0.3">
      <c r="B347" s="1244"/>
      <c r="C347" s="35" t="e">
        <f>'Combustão Móvel'!#REF!</f>
        <v>#REF!</v>
      </c>
      <c r="D347" s="145" t="e">
        <f>'Combustão Móvel'!#REF!</f>
        <v>#REF!</v>
      </c>
      <c r="E347" s="159" t="e">
        <f>'Combustão Móvel'!#REF!</f>
        <v>#REF!</v>
      </c>
      <c r="F347" s="150" t="e">
        <f t="shared" si="77"/>
        <v>#REF!</v>
      </c>
      <c r="G347" s="150" t="e">
        <f t="shared" si="78"/>
        <v>#REF!</v>
      </c>
      <c r="H347" s="150" t="e">
        <f t="shared" si="79"/>
        <v>#REF!</v>
      </c>
      <c r="I347" s="150" t="e">
        <f t="shared" si="80"/>
        <v>#REF!</v>
      </c>
      <c r="J347" s="150" t="e">
        <f t="shared" si="81"/>
        <v>#REF!</v>
      </c>
      <c r="K347" s="151" t="e">
        <f t="shared" si="82"/>
        <v>#REF!</v>
      </c>
      <c r="L347" s="64" t="e">
        <f>'Combustão Móvel'!#REF!</f>
        <v>#REF!</v>
      </c>
      <c r="M347" s="65" t="e">
        <f>'Combustão Móvel'!#REF!</f>
        <v>#REF!</v>
      </c>
      <c r="N347" s="150"/>
      <c r="O347" s="150" t="e">
        <f t="shared" si="63"/>
        <v>#REF!</v>
      </c>
      <c r="P347" s="150"/>
      <c r="Q347" s="150"/>
      <c r="R347" s="150" t="e">
        <f t="shared" si="64"/>
        <v>#REF!</v>
      </c>
      <c r="S347" s="150" t="e">
        <f t="shared" si="65"/>
        <v>#REF!</v>
      </c>
      <c r="T347" s="161" t="e">
        <f t="shared" si="66"/>
        <v>#REF!</v>
      </c>
      <c r="U347" s="161" t="e">
        <f t="shared" si="67"/>
        <v>#REF!</v>
      </c>
      <c r="V347" s="134" t="e">
        <f t="shared" si="68"/>
        <v>#REF!</v>
      </c>
      <c r="W347" s="134" t="e">
        <f t="shared" si="69"/>
        <v>#REF!</v>
      </c>
      <c r="X347" s="134" t="e">
        <f t="shared" si="70"/>
        <v>#REF!</v>
      </c>
    </row>
    <row r="348" spans="2:24" ht="15.75" thickBot="1" x14ac:dyDescent="0.3">
      <c r="B348" s="1244"/>
      <c r="C348" s="35" t="e">
        <f>'Combustão Móvel'!#REF!</f>
        <v>#REF!</v>
      </c>
      <c r="D348" s="145" t="e">
        <f>'Combustão Móvel'!#REF!</f>
        <v>#REF!</v>
      </c>
      <c r="E348" s="159" t="e">
        <f>'Combustão Móvel'!#REF!</f>
        <v>#REF!</v>
      </c>
      <c r="F348" s="150" t="e">
        <f t="shared" si="77"/>
        <v>#REF!</v>
      </c>
      <c r="G348" s="150" t="e">
        <f t="shared" si="78"/>
        <v>#REF!</v>
      </c>
      <c r="H348" s="150" t="e">
        <f t="shared" si="79"/>
        <v>#REF!</v>
      </c>
      <c r="I348" s="150" t="e">
        <f t="shared" si="80"/>
        <v>#REF!</v>
      </c>
      <c r="J348" s="150" t="e">
        <f t="shared" si="81"/>
        <v>#REF!</v>
      </c>
      <c r="K348" s="151" t="e">
        <f t="shared" si="82"/>
        <v>#REF!</v>
      </c>
      <c r="L348" s="64" t="e">
        <f>'Combustão Móvel'!#REF!</f>
        <v>#REF!</v>
      </c>
      <c r="M348" s="65" t="e">
        <f>'Combustão Móvel'!#REF!</f>
        <v>#REF!</v>
      </c>
      <c r="N348" s="150"/>
      <c r="O348" s="150" t="e">
        <f t="shared" si="63"/>
        <v>#REF!</v>
      </c>
      <c r="P348" s="150"/>
      <c r="Q348" s="150"/>
      <c r="R348" s="150" t="e">
        <f t="shared" si="64"/>
        <v>#REF!</v>
      </c>
      <c r="S348" s="150" t="e">
        <f t="shared" si="65"/>
        <v>#REF!</v>
      </c>
      <c r="T348" s="161" t="e">
        <f t="shared" si="66"/>
        <v>#REF!</v>
      </c>
      <c r="U348" s="161" t="e">
        <f t="shared" si="67"/>
        <v>#REF!</v>
      </c>
      <c r="V348" s="134" t="e">
        <f t="shared" si="68"/>
        <v>#REF!</v>
      </c>
      <c r="W348" s="134" t="e">
        <f t="shared" si="69"/>
        <v>#REF!</v>
      </c>
      <c r="X348" s="134" t="e">
        <f t="shared" si="70"/>
        <v>#REF!</v>
      </c>
    </row>
    <row r="349" spans="2:24" ht="15.75" thickBot="1" x14ac:dyDescent="0.3">
      <c r="B349" s="1244"/>
      <c r="C349" s="35" t="e">
        <f>'Combustão Móvel'!#REF!</f>
        <v>#REF!</v>
      </c>
      <c r="D349" s="145" t="e">
        <f>'Combustão Móvel'!#REF!</f>
        <v>#REF!</v>
      </c>
      <c r="E349" s="159" t="e">
        <f>'Combustão Móvel'!#REF!</f>
        <v>#REF!</v>
      </c>
      <c r="F349" s="150" t="e">
        <f t="shared" si="77"/>
        <v>#REF!</v>
      </c>
      <c r="G349" s="150" t="e">
        <f t="shared" si="78"/>
        <v>#REF!</v>
      </c>
      <c r="H349" s="150" t="e">
        <f t="shared" si="79"/>
        <v>#REF!</v>
      </c>
      <c r="I349" s="150" t="e">
        <f t="shared" si="80"/>
        <v>#REF!</v>
      </c>
      <c r="J349" s="150" t="e">
        <f t="shared" si="81"/>
        <v>#REF!</v>
      </c>
      <c r="K349" s="151" t="e">
        <f t="shared" si="82"/>
        <v>#REF!</v>
      </c>
      <c r="L349" s="64" t="e">
        <f>'Combustão Móvel'!#REF!</f>
        <v>#REF!</v>
      </c>
      <c r="M349" s="65" t="e">
        <f>'Combustão Móvel'!#REF!</f>
        <v>#REF!</v>
      </c>
      <c r="N349" s="150"/>
      <c r="O349" s="150" t="e">
        <f t="shared" si="63"/>
        <v>#REF!</v>
      </c>
      <c r="P349" s="150"/>
      <c r="Q349" s="150"/>
      <c r="R349" s="150" t="e">
        <f t="shared" si="64"/>
        <v>#REF!</v>
      </c>
      <c r="S349" s="150" t="e">
        <f t="shared" si="65"/>
        <v>#REF!</v>
      </c>
      <c r="T349" s="161" t="e">
        <f t="shared" si="66"/>
        <v>#REF!</v>
      </c>
      <c r="U349" s="161" t="e">
        <f t="shared" si="67"/>
        <v>#REF!</v>
      </c>
      <c r="V349" s="134" t="e">
        <f t="shared" si="68"/>
        <v>#REF!</v>
      </c>
      <c r="W349" s="134" t="e">
        <f t="shared" si="69"/>
        <v>#REF!</v>
      </c>
      <c r="X349" s="134" t="e">
        <f t="shared" si="70"/>
        <v>#REF!</v>
      </c>
    </row>
    <row r="350" spans="2:24" ht="15.75" thickBot="1" x14ac:dyDescent="0.3">
      <c r="B350" s="1244"/>
      <c r="C350" s="35" t="e">
        <f>'Combustão Móvel'!#REF!</f>
        <v>#REF!</v>
      </c>
      <c r="D350" s="145" t="e">
        <f>'Combustão Móvel'!#REF!</f>
        <v>#REF!</v>
      </c>
      <c r="E350" s="159" t="e">
        <f>'Combustão Móvel'!#REF!</f>
        <v>#REF!</v>
      </c>
      <c r="F350" s="150" t="e">
        <f t="shared" si="77"/>
        <v>#REF!</v>
      </c>
      <c r="G350" s="150" t="e">
        <f t="shared" si="78"/>
        <v>#REF!</v>
      </c>
      <c r="H350" s="150" t="e">
        <f t="shared" si="79"/>
        <v>#REF!</v>
      </c>
      <c r="I350" s="150" t="e">
        <f t="shared" si="80"/>
        <v>#REF!</v>
      </c>
      <c r="J350" s="150" t="e">
        <f t="shared" si="81"/>
        <v>#REF!</v>
      </c>
      <c r="K350" s="151" t="e">
        <f t="shared" si="82"/>
        <v>#REF!</v>
      </c>
      <c r="L350" s="64" t="e">
        <f>'Combustão Móvel'!#REF!</f>
        <v>#REF!</v>
      </c>
      <c r="M350" s="65" t="e">
        <f>'Combustão Móvel'!#REF!</f>
        <v>#REF!</v>
      </c>
      <c r="N350" s="150"/>
      <c r="O350" s="150" t="e">
        <f t="shared" si="63"/>
        <v>#REF!</v>
      </c>
      <c r="P350" s="150"/>
      <c r="Q350" s="150"/>
      <c r="R350" s="150" t="e">
        <f t="shared" si="64"/>
        <v>#REF!</v>
      </c>
      <c r="S350" s="150" t="e">
        <f t="shared" si="65"/>
        <v>#REF!</v>
      </c>
      <c r="T350" s="161" t="e">
        <f t="shared" si="66"/>
        <v>#REF!</v>
      </c>
      <c r="U350" s="161" t="e">
        <f t="shared" si="67"/>
        <v>#REF!</v>
      </c>
      <c r="V350" s="134" t="e">
        <f t="shared" si="68"/>
        <v>#REF!</v>
      </c>
      <c r="W350" s="134" t="e">
        <f t="shared" si="69"/>
        <v>#REF!</v>
      </c>
      <c r="X350" s="134" t="e">
        <f t="shared" si="70"/>
        <v>#REF!</v>
      </c>
    </row>
    <row r="351" spans="2:24" ht="15.75" thickBot="1" x14ac:dyDescent="0.3">
      <c r="B351" s="1244"/>
      <c r="C351" s="35" t="e">
        <f>'Combustão Móvel'!#REF!</f>
        <v>#REF!</v>
      </c>
      <c r="D351" s="145" t="e">
        <f>'Combustão Móvel'!#REF!</f>
        <v>#REF!</v>
      </c>
      <c r="E351" s="159" t="e">
        <f>'Combustão Móvel'!#REF!</f>
        <v>#REF!</v>
      </c>
      <c r="F351" s="150" t="e">
        <f t="shared" si="77"/>
        <v>#REF!</v>
      </c>
      <c r="G351" s="150" t="e">
        <f t="shared" si="78"/>
        <v>#REF!</v>
      </c>
      <c r="H351" s="150" t="e">
        <f t="shared" si="79"/>
        <v>#REF!</v>
      </c>
      <c r="I351" s="150" t="e">
        <f t="shared" si="80"/>
        <v>#REF!</v>
      </c>
      <c r="J351" s="150" t="e">
        <f t="shared" si="81"/>
        <v>#REF!</v>
      </c>
      <c r="K351" s="151" t="e">
        <f t="shared" si="82"/>
        <v>#REF!</v>
      </c>
      <c r="L351" s="64" t="e">
        <f>'Combustão Móvel'!#REF!</f>
        <v>#REF!</v>
      </c>
      <c r="M351" s="65" t="e">
        <f>'Combustão Móvel'!#REF!</f>
        <v>#REF!</v>
      </c>
      <c r="N351" s="150"/>
      <c r="O351" s="150" t="e">
        <f t="shared" si="63"/>
        <v>#REF!</v>
      </c>
      <c r="P351" s="150"/>
      <c r="Q351" s="150"/>
      <c r="R351" s="150" t="e">
        <f t="shared" si="64"/>
        <v>#REF!</v>
      </c>
      <c r="S351" s="150" t="e">
        <f t="shared" si="65"/>
        <v>#REF!</v>
      </c>
      <c r="T351" s="161" t="e">
        <f t="shared" si="66"/>
        <v>#REF!</v>
      </c>
      <c r="U351" s="161" t="e">
        <f t="shared" si="67"/>
        <v>#REF!</v>
      </c>
      <c r="V351" s="134" t="e">
        <f t="shared" si="68"/>
        <v>#REF!</v>
      </c>
      <c r="W351" s="134" t="e">
        <f t="shared" si="69"/>
        <v>#REF!</v>
      </c>
      <c r="X351" s="134" t="e">
        <f t="shared" si="70"/>
        <v>#REF!</v>
      </c>
    </row>
    <row r="352" spans="2:24" ht="15.75" thickBot="1" x14ac:dyDescent="0.3">
      <c r="B352" s="1244"/>
      <c r="C352" s="35" t="e">
        <f>'Combustão Móvel'!#REF!</f>
        <v>#REF!</v>
      </c>
      <c r="D352" s="145" t="e">
        <f>'Combustão Móvel'!#REF!</f>
        <v>#REF!</v>
      </c>
      <c r="E352" s="159" t="e">
        <f>'Combustão Móvel'!#REF!</f>
        <v>#REF!</v>
      </c>
      <c r="F352" s="150" t="e">
        <f t="shared" si="77"/>
        <v>#REF!</v>
      </c>
      <c r="G352" s="150" t="e">
        <f t="shared" si="78"/>
        <v>#REF!</v>
      </c>
      <c r="H352" s="150" t="e">
        <f t="shared" si="79"/>
        <v>#REF!</v>
      </c>
      <c r="I352" s="150" t="e">
        <f t="shared" si="80"/>
        <v>#REF!</v>
      </c>
      <c r="J352" s="150" t="e">
        <f t="shared" si="81"/>
        <v>#REF!</v>
      </c>
      <c r="K352" s="151" t="e">
        <f t="shared" si="82"/>
        <v>#REF!</v>
      </c>
      <c r="L352" s="64" t="e">
        <f>'Combustão Móvel'!#REF!</f>
        <v>#REF!</v>
      </c>
      <c r="M352" s="65" t="e">
        <f>'Combustão Móvel'!#REF!</f>
        <v>#REF!</v>
      </c>
      <c r="N352" s="150"/>
      <c r="O352" s="150" t="e">
        <f t="shared" si="63"/>
        <v>#REF!</v>
      </c>
      <c r="P352" s="150"/>
      <c r="Q352" s="150"/>
      <c r="R352" s="150" t="e">
        <f t="shared" si="64"/>
        <v>#REF!</v>
      </c>
      <c r="S352" s="150" t="e">
        <f t="shared" si="65"/>
        <v>#REF!</v>
      </c>
      <c r="T352" s="161" t="e">
        <f t="shared" si="66"/>
        <v>#REF!</v>
      </c>
      <c r="U352" s="161" t="e">
        <f t="shared" si="67"/>
        <v>#REF!</v>
      </c>
      <c r="V352" s="134" t="e">
        <f t="shared" si="68"/>
        <v>#REF!</v>
      </c>
      <c r="W352" s="134" t="e">
        <f t="shared" si="69"/>
        <v>#REF!</v>
      </c>
      <c r="X352" s="134" t="e">
        <f t="shared" si="70"/>
        <v>#REF!</v>
      </c>
    </row>
    <row r="353" spans="2:24" ht="15.75" thickBot="1" x14ac:dyDescent="0.3">
      <c r="B353" s="1244"/>
      <c r="C353" s="35" t="e">
        <f>'Combustão Móvel'!#REF!</f>
        <v>#REF!</v>
      </c>
      <c r="D353" s="145" t="e">
        <f>'Combustão Móvel'!#REF!</f>
        <v>#REF!</v>
      </c>
      <c r="E353" s="159" t="e">
        <f>'Combustão Móvel'!#REF!</f>
        <v>#REF!</v>
      </c>
      <c r="F353" s="150" t="e">
        <f t="shared" si="77"/>
        <v>#REF!</v>
      </c>
      <c r="G353" s="150" t="e">
        <f t="shared" si="78"/>
        <v>#REF!</v>
      </c>
      <c r="H353" s="150" t="e">
        <f t="shared" si="79"/>
        <v>#REF!</v>
      </c>
      <c r="I353" s="150" t="e">
        <f t="shared" si="80"/>
        <v>#REF!</v>
      </c>
      <c r="J353" s="150" t="e">
        <f t="shared" si="81"/>
        <v>#REF!</v>
      </c>
      <c r="K353" s="151" t="e">
        <f t="shared" si="82"/>
        <v>#REF!</v>
      </c>
      <c r="L353" s="64" t="e">
        <f>'Combustão Móvel'!#REF!</f>
        <v>#REF!</v>
      </c>
      <c r="M353" s="65" t="e">
        <f>'Combustão Móvel'!#REF!</f>
        <v>#REF!</v>
      </c>
      <c r="N353" s="150"/>
      <c r="O353" s="150" t="e">
        <f t="shared" si="63"/>
        <v>#REF!</v>
      </c>
      <c r="P353" s="150"/>
      <c r="Q353" s="150"/>
      <c r="R353" s="150" t="e">
        <f t="shared" si="64"/>
        <v>#REF!</v>
      </c>
      <c r="S353" s="150" t="e">
        <f t="shared" si="65"/>
        <v>#REF!</v>
      </c>
      <c r="T353" s="161" t="e">
        <f t="shared" si="66"/>
        <v>#REF!</v>
      </c>
      <c r="U353" s="161" t="e">
        <f t="shared" si="67"/>
        <v>#REF!</v>
      </c>
      <c r="V353" s="134" t="e">
        <f t="shared" si="68"/>
        <v>#REF!</v>
      </c>
      <c r="W353" s="134" t="e">
        <f t="shared" si="69"/>
        <v>#REF!</v>
      </c>
      <c r="X353" s="134" t="e">
        <f t="shared" si="70"/>
        <v>#REF!</v>
      </c>
    </row>
    <row r="354" spans="2:24" ht="15.75" thickBot="1" x14ac:dyDescent="0.3">
      <c r="B354" s="1244"/>
      <c r="C354" s="35" t="e">
        <f>'Combustão Móvel'!#REF!</f>
        <v>#REF!</v>
      </c>
      <c r="D354" s="145" t="e">
        <f>'Combustão Móvel'!#REF!</f>
        <v>#REF!</v>
      </c>
      <c r="E354" s="159" t="e">
        <f>'Combustão Móvel'!#REF!</f>
        <v>#REF!</v>
      </c>
      <c r="F354" s="150" t="e">
        <f t="shared" si="77"/>
        <v>#REF!</v>
      </c>
      <c r="G354" s="150" t="e">
        <f t="shared" si="78"/>
        <v>#REF!</v>
      </c>
      <c r="H354" s="150" t="e">
        <f t="shared" si="79"/>
        <v>#REF!</v>
      </c>
      <c r="I354" s="150" t="e">
        <f t="shared" si="80"/>
        <v>#REF!</v>
      </c>
      <c r="J354" s="150" t="e">
        <f t="shared" si="81"/>
        <v>#REF!</v>
      </c>
      <c r="K354" s="151" t="e">
        <f t="shared" si="82"/>
        <v>#REF!</v>
      </c>
      <c r="L354" s="64" t="e">
        <f>'Combustão Móvel'!#REF!</f>
        <v>#REF!</v>
      </c>
      <c r="M354" s="65" t="e">
        <f>'Combustão Móvel'!#REF!</f>
        <v>#REF!</v>
      </c>
      <c r="N354" s="150"/>
      <c r="O354" s="150" t="e">
        <f t="shared" ref="O354:O417" si="83">IF($M354=$O$31,IF($L354=$B$26,$D354,0),0)</f>
        <v>#REF!</v>
      </c>
      <c r="P354" s="150"/>
      <c r="Q354" s="150"/>
      <c r="R354" s="150" t="e">
        <f t="shared" ref="R354:R417" si="84">IF($M354=$R$31,IF($L354=$B$26,$D354,0),0)</f>
        <v>#REF!</v>
      </c>
      <c r="S354" s="150" t="e">
        <f t="shared" ref="S354:S417" si="85">IF($M354=$S$31,IF($L354=$B$26,$D354,0),0)</f>
        <v>#REF!</v>
      </c>
      <c r="T354" s="161" t="e">
        <f t="shared" ref="T354:T417" si="86">IF($L354=$T$32,$D354,0)</f>
        <v>#REF!</v>
      </c>
      <c r="U354" s="161" t="e">
        <f t="shared" ref="U354:U417" si="87">IF($L354=$U$32,$D354,0)</f>
        <v>#REF!</v>
      </c>
      <c r="V354" s="134" t="e">
        <f t="shared" si="68"/>
        <v>#REF!</v>
      </c>
      <c r="W354" s="134" t="e">
        <f t="shared" si="69"/>
        <v>#REF!</v>
      </c>
      <c r="X354" s="134" t="e">
        <f t="shared" si="70"/>
        <v>#REF!</v>
      </c>
    </row>
    <row r="355" spans="2:24" ht="15.75" thickBot="1" x14ac:dyDescent="0.3">
      <c r="B355" s="1244"/>
      <c r="C355" s="35" t="e">
        <f>'Combustão Móvel'!#REF!</f>
        <v>#REF!</v>
      </c>
      <c r="D355" s="145" t="e">
        <f>'Combustão Móvel'!#REF!</f>
        <v>#REF!</v>
      </c>
      <c r="E355" s="159" t="e">
        <f>'Combustão Móvel'!#REF!</f>
        <v>#REF!</v>
      </c>
      <c r="F355" s="150" t="e">
        <f t="shared" si="77"/>
        <v>#REF!</v>
      </c>
      <c r="G355" s="150" t="e">
        <f t="shared" si="78"/>
        <v>#REF!</v>
      </c>
      <c r="H355" s="150" t="e">
        <f t="shared" si="79"/>
        <v>#REF!</v>
      </c>
      <c r="I355" s="150" t="e">
        <f t="shared" si="80"/>
        <v>#REF!</v>
      </c>
      <c r="J355" s="150" t="e">
        <f t="shared" si="81"/>
        <v>#REF!</v>
      </c>
      <c r="K355" s="151" t="e">
        <f t="shared" si="82"/>
        <v>#REF!</v>
      </c>
      <c r="L355" s="64" t="e">
        <f>'Combustão Móvel'!#REF!</f>
        <v>#REF!</v>
      </c>
      <c r="M355" s="65" t="e">
        <f>'Combustão Móvel'!#REF!</f>
        <v>#REF!</v>
      </c>
      <c r="N355" s="150"/>
      <c r="O355" s="150" t="e">
        <f t="shared" si="83"/>
        <v>#REF!</v>
      </c>
      <c r="P355" s="150"/>
      <c r="Q355" s="150"/>
      <c r="R355" s="150" t="e">
        <f t="shared" si="84"/>
        <v>#REF!</v>
      </c>
      <c r="S355" s="150" t="e">
        <f t="shared" si="85"/>
        <v>#REF!</v>
      </c>
      <c r="T355" s="161" t="e">
        <f t="shared" si="86"/>
        <v>#REF!</v>
      </c>
      <c r="U355" s="161" t="e">
        <f t="shared" si="87"/>
        <v>#REF!</v>
      </c>
      <c r="V355" s="134" t="e">
        <f t="shared" si="68"/>
        <v>#REF!</v>
      </c>
      <c r="W355" s="134" t="e">
        <f t="shared" si="69"/>
        <v>#REF!</v>
      </c>
      <c r="X355" s="134" t="e">
        <f t="shared" si="70"/>
        <v>#REF!</v>
      </c>
    </row>
    <row r="356" spans="2:24" ht="15.75" thickBot="1" x14ac:dyDescent="0.3">
      <c r="B356" s="1244"/>
      <c r="C356" s="35" t="e">
        <f>'Combustão Móvel'!#REF!</f>
        <v>#REF!</v>
      </c>
      <c r="D356" s="145" t="e">
        <f>'Combustão Móvel'!#REF!</f>
        <v>#REF!</v>
      </c>
      <c r="E356" s="159" t="e">
        <f>'Combustão Móvel'!#REF!</f>
        <v>#REF!</v>
      </c>
      <c r="F356" s="150" t="e">
        <f t="shared" si="77"/>
        <v>#REF!</v>
      </c>
      <c r="G356" s="150" t="e">
        <f t="shared" si="78"/>
        <v>#REF!</v>
      </c>
      <c r="H356" s="150" t="e">
        <f t="shared" si="79"/>
        <v>#REF!</v>
      </c>
      <c r="I356" s="150" t="e">
        <f t="shared" si="80"/>
        <v>#REF!</v>
      </c>
      <c r="J356" s="150" t="e">
        <f t="shared" si="81"/>
        <v>#REF!</v>
      </c>
      <c r="K356" s="151" t="e">
        <f t="shared" si="82"/>
        <v>#REF!</v>
      </c>
      <c r="L356" s="64" t="e">
        <f>'Combustão Móvel'!#REF!</f>
        <v>#REF!</v>
      </c>
      <c r="M356" s="65" t="e">
        <f>'Combustão Móvel'!#REF!</f>
        <v>#REF!</v>
      </c>
      <c r="N356" s="150"/>
      <c r="O356" s="150" t="e">
        <f t="shared" si="83"/>
        <v>#REF!</v>
      </c>
      <c r="P356" s="150"/>
      <c r="Q356" s="150"/>
      <c r="R356" s="150" t="e">
        <f t="shared" si="84"/>
        <v>#REF!</v>
      </c>
      <c r="S356" s="150" t="e">
        <f t="shared" si="85"/>
        <v>#REF!</v>
      </c>
      <c r="T356" s="161" t="e">
        <f t="shared" si="86"/>
        <v>#REF!</v>
      </c>
      <c r="U356" s="161" t="e">
        <f t="shared" si="87"/>
        <v>#REF!</v>
      </c>
      <c r="V356" s="134" t="e">
        <f t="shared" si="68"/>
        <v>#REF!</v>
      </c>
      <c r="W356" s="134" t="e">
        <f t="shared" si="69"/>
        <v>#REF!</v>
      </c>
      <c r="X356" s="134" t="e">
        <f t="shared" si="70"/>
        <v>#REF!</v>
      </c>
    </row>
    <row r="357" spans="2:24" ht="15.75" thickBot="1" x14ac:dyDescent="0.3">
      <c r="B357" s="1244"/>
      <c r="C357" s="35" t="e">
        <f>'Combustão Móvel'!#REF!</f>
        <v>#REF!</v>
      </c>
      <c r="D357" s="145" t="e">
        <f>'Combustão Móvel'!#REF!</f>
        <v>#REF!</v>
      </c>
      <c r="E357" s="159" t="e">
        <f>'Combustão Móvel'!#REF!</f>
        <v>#REF!</v>
      </c>
      <c r="F357" s="150" t="e">
        <f t="shared" si="77"/>
        <v>#REF!</v>
      </c>
      <c r="G357" s="150" t="e">
        <f t="shared" si="78"/>
        <v>#REF!</v>
      </c>
      <c r="H357" s="150" t="e">
        <f t="shared" si="79"/>
        <v>#REF!</v>
      </c>
      <c r="I357" s="150" t="e">
        <f t="shared" si="80"/>
        <v>#REF!</v>
      </c>
      <c r="J357" s="150" t="e">
        <f t="shared" si="81"/>
        <v>#REF!</v>
      </c>
      <c r="K357" s="151" t="e">
        <f t="shared" si="82"/>
        <v>#REF!</v>
      </c>
      <c r="L357" s="64" t="e">
        <f>'Combustão Móvel'!#REF!</f>
        <v>#REF!</v>
      </c>
      <c r="M357" s="65" t="e">
        <f>'Combustão Móvel'!#REF!</f>
        <v>#REF!</v>
      </c>
      <c r="N357" s="150"/>
      <c r="O357" s="150" t="e">
        <f t="shared" si="83"/>
        <v>#REF!</v>
      </c>
      <c r="P357" s="150"/>
      <c r="Q357" s="150"/>
      <c r="R357" s="150" t="e">
        <f t="shared" si="84"/>
        <v>#REF!</v>
      </c>
      <c r="S357" s="150" t="e">
        <f t="shared" si="85"/>
        <v>#REF!</v>
      </c>
      <c r="T357" s="161" t="e">
        <f t="shared" si="86"/>
        <v>#REF!</v>
      </c>
      <c r="U357" s="161" t="e">
        <f t="shared" si="87"/>
        <v>#REF!</v>
      </c>
      <c r="V357" s="134" t="e">
        <f t="shared" ref="V357:V420" si="88">IF($L357="Não",F357,"")</f>
        <v>#REF!</v>
      </c>
      <c r="W357" s="134" t="e">
        <f t="shared" ref="W357:W420" si="89">IF($L357="Não",G357,"")</f>
        <v>#REF!</v>
      </c>
      <c r="X357" s="134" t="e">
        <f t="shared" ref="X357:X420" si="90">IF($L357="Não",H357,"")</f>
        <v>#REF!</v>
      </c>
    </row>
    <row r="358" spans="2:24" ht="15.75" thickBot="1" x14ac:dyDescent="0.3">
      <c r="B358" s="1244"/>
      <c r="C358" s="35" t="e">
        <f>'Combustão Móvel'!#REF!</f>
        <v>#REF!</v>
      </c>
      <c r="D358" s="145" t="e">
        <f>'Combustão Móvel'!#REF!</f>
        <v>#REF!</v>
      </c>
      <c r="E358" s="159" t="e">
        <f>'Combustão Móvel'!#REF!</f>
        <v>#REF!</v>
      </c>
      <c r="F358" s="150" t="e">
        <f t="shared" si="77"/>
        <v>#REF!</v>
      </c>
      <c r="G358" s="150" t="e">
        <f t="shared" si="78"/>
        <v>#REF!</v>
      </c>
      <c r="H358" s="150" t="e">
        <f t="shared" si="79"/>
        <v>#REF!</v>
      </c>
      <c r="I358" s="150" t="e">
        <f t="shared" si="80"/>
        <v>#REF!</v>
      </c>
      <c r="J358" s="150" t="e">
        <f t="shared" si="81"/>
        <v>#REF!</v>
      </c>
      <c r="K358" s="151" t="e">
        <f t="shared" si="82"/>
        <v>#REF!</v>
      </c>
      <c r="L358" s="64" t="e">
        <f>'Combustão Móvel'!#REF!</f>
        <v>#REF!</v>
      </c>
      <c r="M358" s="65" t="e">
        <f>'Combustão Móvel'!#REF!</f>
        <v>#REF!</v>
      </c>
      <c r="N358" s="150"/>
      <c r="O358" s="150" t="e">
        <f t="shared" si="83"/>
        <v>#REF!</v>
      </c>
      <c r="P358" s="150"/>
      <c r="Q358" s="150"/>
      <c r="R358" s="150" t="e">
        <f t="shared" si="84"/>
        <v>#REF!</v>
      </c>
      <c r="S358" s="150" t="e">
        <f t="shared" si="85"/>
        <v>#REF!</v>
      </c>
      <c r="T358" s="161" t="e">
        <f t="shared" si="86"/>
        <v>#REF!</v>
      </c>
      <c r="U358" s="161" t="e">
        <f t="shared" si="87"/>
        <v>#REF!</v>
      </c>
      <c r="V358" s="134" t="e">
        <f t="shared" si="88"/>
        <v>#REF!</v>
      </c>
      <c r="W358" s="134" t="e">
        <f t="shared" si="89"/>
        <v>#REF!</v>
      </c>
      <c r="X358" s="134" t="e">
        <f t="shared" si="90"/>
        <v>#REF!</v>
      </c>
    </row>
    <row r="359" spans="2:24" ht="15.75" thickBot="1" x14ac:dyDescent="0.3">
      <c r="B359" s="1244"/>
      <c r="C359" s="35" t="e">
        <f>'Combustão Móvel'!#REF!</f>
        <v>#REF!</v>
      </c>
      <c r="D359" s="145" t="e">
        <f>'Combustão Móvel'!#REF!</f>
        <v>#REF!</v>
      </c>
      <c r="E359" s="159" t="e">
        <f>'Combustão Móvel'!#REF!</f>
        <v>#REF!</v>
      </c>
      <c r="F359" s="150" t="e">
        <f t="shared" si="77"/>
        <v>#REF!</v>
      </c>
      <c r="G359" s="150" t="e">
        <f t="shared" si="78"/>
        <v>#REF!</v>
      </c>
      <c r="H359" s="150" t="e">
        <f t="shared" si="79"/>
        <v>#REF!</v>
      </c>
      <c r="I359" s="150" t="e">
        <f t="shared" si="80"/>
        <v>#REF!</v>
      </c>
      <c r="J359" s="150" t="e">
        <f t="shared" si="81"/>
        <v>#REF!</v>
      </c>
      <c r="K359" s="151" t="e">
        <f t="shared" si="82"/>
        <v>#REF!</v>
      </c>
      <c r="L359" s="64" t="e">
        <f>'Combustão Móvel'!#REF!</f>
        <v>#REF!</v>
      </c>
      <c r="M359" s="65" t="e">
        <f>'Combustão Móvel'!#REF!</f>
        <v>#REF!</v>
      </c>
      <c r="N359" s="150"/>
      <c r="O359" s="150" t="e">
        <f t="shared" si="83"/>
        <v>#REF!</v>
      </c>
      <c r="P359" s="150"/>
      <c r="Q359" s="150"/>
      <c r="R359" s="150" t="e">
        <f t="shared" si="84"/>
        <v>#REF!</v>
      </c>
      <c r="S359" s="150" t="e">
        <f t="shared" si="85"/>
        <v>#REF!</v>
      </c>
      <c r="T359" s="161" t="e">
        <f t="shared" si="86"/>
        <v>#REF!</v>
      </c>
      <c r="U359" s="161" t="e">
        <f t="shared" si="87"/>
        <v>#REF!</v>
      </c>
      <c r="V359" s="134" t="e">
        <f t="shared" si="88"/>
        <v>#REF!</v>
      </c>
      <c r="W359" s="134" t="e">
        <f t="shared" si="89"/>
        <v>#REF!</v>
      </c>
      <c r="X359" s="134" t="e">
        <f t="shared" si="90"/>
        <v>#REF!</v>
      </c>
    </row>
    <row r="360" spans="2:24" ht="15.75" thickBot="1" x14ac:dyDescent="0.3">
      <c r="B360" s="1244"/>
      <c r="C360" s="35" t="e">
        <f>'Combustão Móvel'!#REF!</f>
        <v>#REF!</v>
      </c>
      <c r="D360" s="145" t="e">
        <f>'Combustão Móvel'!#REF!</f>
        <v>#REF!</v>
      </c>
      <c r="E360" s="159" t="e">
        <f>'Combustão Móvel'!#REF!</f>
        <v>#REF!</v>
      </c>
      <c r="F360" s="150" t="e">
        <f t="shared" si="77"/>
        <v>#REF!</v>
      </c>
      <c r="G360" s="150" t="e">
        <f t="shared" si="78"/>
        <v>#REF!</v>
      </c>
      <c r="H360" s="150" t="e">
        <f t="shared" si="79"/>
        <v>#REF!</v>
      </c>
      <c r="I360" s="150" t="e">
        <f t="shared" si="80"/>
        <v>#REF!</v>
      </c>
      <c r="J360" s="150" t="e">
        <f t="shared" si="81"/>
        <v>#REF!</v>
      </c>
      <c r="K360" s="151" t="e">
        <f t="shared" si="82"/>
        <v>#REF!</v>
      </c>
      <c r="L360" s="64" t="e">
        <f>'Combustão Móvel'!#REF!</f>
        <v>#REF!</v>
      </c>
      <c r="M360" s="65" t="e">
        <f>'Combustão Móvel'!#REF!</f>
        <v>#REF!</v>
      </c>
      <c r="N360" s="150"/>
      <c r="O360" s="150" t="e">
        <f t="shared" si="83"/>
        <v>#REF!</v>
      </c>
      <c r="P360" s="150"/>
      <c r="Q360" s="150"/>
      <c r="R360" s="150" t="e">
        <f t="shared" si="84"/>
        <v>#REF!</v>
      </c>
      <c r="S360" s="150" t="e">
        <f t="shared" si="85"/>
        <v>#REF!</v>
      </c>
      <c r="T360" s="161" t="e">
        <f t="shared" si="86"/>
        <v>#REF!</v>
      </c>
      <c r="U360" s="161" t="e">
        <f t="shared" si="87"/>
        <v>#REF!</v>
      </c>
      <c r="V360" s="134" t="e">
        <f t="shared" si="88"/>
        <v>#REF!</v>
      </c>
      <c r="W360" s="134" t="e">
        <f t="shared" si="89"/>
        <v>#REF!</v>
      </c>
      <c r="X360" s="134" t="e">
        <f t="shared" si="90"/>
        <v>#REF!</v>
      </c>
    </row>
    <row r="361" spans="2:24" ht="15.75" thickBot="1" x14ac:dyDescent="0.3">
      <c r="B361" s="1244"/>
      <c r="C361" s="35" t="e">
        <f>'Combustão Móvel'!#REF!</f>
        <v>#REF!</v>
      </c>
      <c r="D361" s="145" t="e">
        <f>'Combustão Móvel'!#REF!</f>
        <v>#REF!</v>
      </c>
      <c r="E361" s="159" t="e">
        <f>'Combustão Móvel'!#REF!</f>
        <v>#REF!</v>
      </c>
      <c r="F361" s="150" t="e">
        <f t="shared" si="77"/>
        <v>#REF!</v>
      </c>
      <c r="G361" s="150" t="e">
        <f t="shared" si="78"/>
        <v>#REF!</v>
      </c>
      <c r="H361" s="150" t="e">
        <f t="shared" si="79"/>
        <v>#REF!</v>
      </c>
      <c r="I361" s="150" t="e">
        <f t="shared" si="80"/>
        <v>#REF!</v>
      </c>
      <c r="J361" s="150" t="e">
        <f t="shared" si="81"/>
        <v>#REF!</v>
      </c>
      <c r="K361" s="151" t="e">
        <f t="shared" si="82"/>
        <v>#REF!</v>
      </c>
      <c r="L361" s="64" t="e">
        <f>'Combustão Móvel'!#REF!</f>
        <v>#REF!</v>
      </c>
      <c r="M361" s="65" t="e">
        <f>'Combustão Móvel'!#REF!</f>
        <v>#REF!</v>
      </c>
      <c r="N361" s="150"/>
      <c r="O361" s="150" t="e">
        <f t="shared" si="83"/>
        <v>#REF!</v>
      </c>
      <c r="P361" s="150"/>
      <c r="Q361" s="150"/>
      <c r="R361" s="150" t="e">
        <f t="shared" si="84"/>
        <v>#REF!</v>
      </c>
      <c r="S361" s="150" t="e">
        <f t="shared" si="85"/>
        <v>#REF!</v>
      </c>
      <c r="T361" s="161" t="e">
        <f t="shared" si="86"/>
        <v>#REF!</v>
      </c>
      <c r="U361" s="161" t="e">
        <f t="shared" si="87"/>
        <v>#REF!</v>
      </c>
      <c r="V361" s="134" t="e">
        <f t="shared" si="88"/>
        <v>#REF!</v>
      </c>
      <c r="W361" s="134" t="e">
        <f t="shared" si="89"/>
        <v>#REF!</v>
      </c>
      <c r="X361" s="134" t="e">
        <f t="shared" si="90"/>
        <v>#REF!</v>
      </c>
    </row>
    <row r="362" spans="2:24" ht="15.75" thickBot="1" x14ac:dyDescent="0.3">
      <c r="B362" s="1244"/>
      <c r="C362" s="35" t="e">
        <f>'Combustão Móvel'!#REF!</f>
        <v>#REF!</v>
      </c>
      <c r="D362" s="145" t="e">
        <f>'Combustão Móvel'!#REF!</f>
        <v>#REF!</v>
      </c>
      <c r="E362" s="159" t="e">
        <f>'Combustão Móvel'!#REF!</f>
        <v>#REF!</v>
      </c>
      <c r="F362" s="150" t="e">
        <f t="shared" si="77"/>
        <v>#REF!</v>
      </c>
      <c r="G362" s="150" t="e">
        <f t="shared" si="78"/>
        <v>#REF!</v>
      </c>
      <c r="H362" s="150" t="e">
        <f t="shared" si="79"/>
        <v>#REF!</v>
      </c>
      <c r="I362" s="150" t="e">
        <f t="shared" si="80"/>
        <v>#REF!</v>
      </c>
      <c r="J362" s="150" t="e">
        <f t="shared" si="81"/>
        <v>#REF!</v>
      </c>
      <c r="K362" s="151" t="e">
        <f t="shared" si="82"/>
        <v>#REF!</v>
      </c>
      <c r="L362" s="64" t="e">
        <f>'Combustão Móvel'!#REF!</f>
        <v>#REF!</v>
      </c>
      <c r="M362" s="65" t="e">
        <f>'Combustão Móvel'!#REF!</f>
        <v>#REF!</v>
      </c>
      <c r="N362" s="150"/>
      <c r="O362" s="150" t="e">
        <f t="shared" si="83"/>
        <v>#REF!</v>
      </c>
      <c r="P362" s="150"/>
      <c r="Q362" s="150"/>
      <c r="R362" s="150" t="e">
        <f t="shared" si="84"/>
        <v>#REF!</v>
      </c>
      <c r="S362" s="150" t="e">
        <f t="shared" si="85"/>
        <v>#REF!</v>
      </c>
      <c r="T362" s="161" t="e">
        <f t="shared" si="86"/>
        <v>#REF!</v>
      </c>
      <c r="U362" s="161" t="e">
        <f t="shared" si="87"/>
        <v>#REF!</v>
      </c>
      <c r="V362" s="134" t="e">
        <f t="shared" si="88"/>
        <v>#REF!</v>
      </c>
      <c r="W362" s="134" t="e">
        <f t="shared" si="89"/>
        <v>#REF!</v>
      </c>
      <c r="X362" s="134" t="e">
        <f t="shared" si="90"/>
        <v>#REF!</v>
      </c>
    </row>
    <row r="363" spans="2:24" ht="15.75" thickBot="1" x14ac:dyDescent="0.3">
      <c r="B363" s="1244"/>
      <c r="C363" s="35" t="e">
        <f>'Combustão Móvel'!#REF!</f>
        <v>#REF!</v>
      </c>
      <c r="D363" s="145" t="e">
        <f>'Combustão Móvel'!#REF!</f>
        <v>#REF!</v>
      </c>
      <c r="E363" s="159" t="e">
        <f>'Combustão Móvel'!#REF!</f>
        <v>#REF!</v>
      </c>
      <c r="F363" s="150" t="e">
        <f t="shared" si="77"/>
        <v>#REF!</v>
      </c>
      <c r="G363" s="150" t="e">
        <f t="shared" si="78"/>
        <v>#REF!</v>
      </c>
      <c r="H363" s="150" t="e">
        <f t="shared" si="79"/>
        <v>#REF!</v>
      </c>
      <c r="I363" s="150" t="e">
        <f t="shared" si="80"/>
        <v>#REF!</v>
      </c>
      <c r="J363" s="150" t="e">
        <f t="shared" si="81"/>
        <v>#REF!</v>
      </c>
      <c r="K363" s="151" t="e">
        <f t="shared" si="82"/>
        <v>#REF!</v>
      </c>
      <c r="L363" s="64" t="e">
        <f>'Combustão Móvel'!#REF!</f>
        <v>#REF!</v>
      </c>
      <c r="M363" s="65" t="e">
        <f>'Combustão Móvel'!#REF!</f>
        <v>#REF!</v>
      </c>
      <c r="N363" s="150"/>
      <c r="O363" s="150" t="e">
        <f t="shared" si="83"/>
        <v>#REF!</v>
      </c>
      <c r="P363" s="150"/>
      <c r="Q363" s="150"/>
      <c r="R363" s="150" t="e">
        <f t="shared" si="84"/>
        <v>#REF!</v>
      </c>
      <c r="S363" s="150" t="e">
        <f t="shared" si="85"/>
        <v>#REF!</v>
      </c>
      <c r="T363" s="161" t="e">
        <f t="shared" si="86"/>
        <v>#REF!</v>
      </c>
      <c r="U363" s="161" t="e">
        <f t="shared" si="87"/>
        <v>#REF!</v>
      </c>
      <c r="V363" s="134" t="e">
        <f t="shared" si="88"/>
        <v>#REF!</v>
      </c>
      <c r="W363" s="134" t="e">
        <f t="shared" si="89"/>
        <v>#REF!</v>
      </c>
      <c r="X363" s="134" t="e">
        <f t="shared" si="90"/>
        <v>#REF!</v>
      </c>
    </row>
    <row r="364" spans="2:24" ht="15.75" thickBot="1" x14ac:dyDescent="0.3">
      <c r="B364" s="1244"/>
      <c r="C364" s="35" t="e">
        <f>'Combustão Móvel'!#REF!</f>
        <v>#REF!</v>
      </c>
      <c r="D364" s="145" t="e">
        <f>'Combustão Móvel'!#REF!</f>
        <v>#REF!</v>
      </c>
      <c r="E364" s="159" t="e">
        <f>'Combustão Móvel'!#REF!</f>
        <v>#REF!</v>
      </c>
      <c r="F364" s="150" t="e">
        <f t="shared" si="77"/>
        <v>#REF!</v>
      </c>
      <c r="G364" s="150" t="e">
        <f t="shared" si="78"/>
        <v>#REF!</v>
      </c>
      <c r="H364" s="150" t="e">
        <f t="shared" si="79"/>
        <v>#REF!</v>
      </c>
      <c r="I364" s="150" t="e">
        <f t="shared" si="80"/>
        <v>#REF!</v>
      </c>
      <c r="J364" s="150" t="e">
        <f t="shared" si="81"/>
        <v>#REF!</v>
      </c>
      <c r="K364" s="151" t="e">
        <f t="shared" si="82"/>
        <v>#REF!</v>
      </c>
      <c r="L364" s="64" t="e">
        <f>'Combustão Móvel'!#REF!</f>
        <v>#REF!</v>
      </c>
      <c r="M364" s="65" t="e">
        <f>'Combustão Móvel'!#REF!</f>
        <v>#REF!</v>
      </c>
      <c r="N364" s="150"/>
      <c r="O364" s="150" t="e">
        <f t="shared" si="83"/>
        <v>#REF!</v>
      </c>
      <c r="P364" s="150"/>
      <c r="Q364" s="150"/>
      <c r="R364" s="150" t="e">
        <f t="shared" si="84"/>
        <v>#REF!</v>
      </c>
      <c r="S364" s="150" t="e">
        <f t="shared" si="85"/>
        <v>#REF!</v>
      </c>
      <c r="T364" s="161" t="e">
        <f t="shared" si="86"/>
        <v>#REF!</v>
      </c>
      <c r="U364" s="161" t="e">
        <f t="shared" si="87"/>
        <v>#REF!</v>
      </c>
      <c r="V364" s="134" t="e">
        <f t="shared" si="88"/>
        <v>#REF!</v>
      </c>
      <c r="W364" s="134" t="e">
        <f t="shared" si="89"/>
        <v>#REF!</v>
      </c>
      <c r="X364" s="134" t="e">
        <f t="shared" si="90"/>
        <v>#REF!</v>
      </c>
    </row>
    <row r="365" spans="2:24" ht="15.75" thickBot="1" x14ac:dyDescent="0.3">
      <c r="B365" s="1244"/>
      <c r="C365" s="35" t="e">
        <f>'Combustão Móvel'!#REF!</f>
        <v>#REF!</v>
      </c>
      <c r="D365" s="145" t="e">
        <f>'Combustão Móvel'!#REF!</f>
        <v>#REF!</v>
      </c>
      <c r="E365" s="159" t="e">
        <f>'Combustão Móvel'!#REF!</f>
        <v>#REF!</v>
      </c>
      <c r="F365" s="150" t="e">
        <f t="shared" si="77"/>
        <v>#REF!</v>
      </c>
      <c r="G365" s="150" t="e">
        <f t="shared" si="78"/>
        <v>#REF!</v>
      </c>
      <c r="H365" s="150" t="e">
        <f t="shared" si="79"/>
        <v>#REF!</v>
      </c>
      <c r="I365" s="150" t="e">
        <f t="shared" si="80"/>
        <v>#REF!</v>
      </c>
      <c r="J365" s="150" t="e">
        <f t="shared" si="81"/>
        <v>#REF!</v>
      </c>
      <c r="K365" s="151" t="e">
        <f t="shared" si="82"/>
        <v>#REF!</v>
      </c>
      <c r="L365" s="64" t="e">
        <f>'Combustão Móvel'!#REF!</f>
        <v>#REF!</v>
      </c>
      <c r="M365" s="65" t="e">
        <f>'Combustão Móvel'!#REF!</f>
        <v>#REF!</v>
      </c>
      <c r="N365" s="150"/>
      <c r="O365" s="150" t="e">
        <f t="shared" si="83"/>
        <v>#REF!</v>
      </c>
      <c r="P365" s="150"/>
      <c r="Q365" s="150"/>
      <c r="R365" s="150" t="e">
        <f t="shared" si="84"/>
        <v>#REF!</v>
      </c>
      <c r="S365" s="150" t="e">
        <f t="shared" si="85"/>
        <v>#REF!</v>
      </c>
      <c r="T365" s="161" t="e">
        <f t="shared" si="86"/>
        <v>#REF!</v>
      </c>
      <c r="U365" s="161" t="e">
        <f t="shared" si="87"/>
        <v>#REF!</v>
      </c>
      <c r="V365" s="134" t="e">
        <f t="shared" si="88"/>
        <v>#REF!</v>
      </c>
      <c r="W365" s="134" t="e">
        <f t="shared" si="89"/>
        <v>#REF!</v>
      </c>
      <c r="X365" s="134" t="e">
        <f t="shared" si="90"/>
        <v>#REF!</v>
      </c>
    </row>
    <row r="366" spans="2:24" ht="15.75" thickBot="1" x14ac:dyDescent="0.3">
      <c r="B366" s="1244"/>
      <c r="C366" s="35" t="e">
        <f>'Combustão Móvel'!#REF!</f>
        <v>#REF!</v>
      </c>
      <c r="D366" s="145" t="e">
        <f>'Combustão Móvel'!#REF!</f>
        <v>#REF!</v>
      </c>
      <c r="E366" s="159" t="e">
        <f>'Combustão Móvel'!#REF!</f>
        <v>#REF!</v>
      </c>
      <c r="F366" s="150" t="e">
        <f t="shared" si="77"/>
        <v>#REF!</v>
      </c>
      <c r="G366" s="150" t="e">
        <f t="shared" si="78"/>
        <v>#REF!</v>
      </c>
      <c r="H366" s="150" t="e">
        <f t="shared" si="79"/>
        <v>#REF!</v>
      </c>
      <c r="I366" s="150" t="e">
        <f t="shared" si="80"/>
        <v>#REF!</v>
      </c>
      <c r="J366" s="150" t="e">
        <f t="shared" si="81"/>
        <v>#REF!</v>
      </c>
      <c r="K366" s="151" t="e">
        <f t="shared" si="82"/>
        <v>#REF!</v>
      </c>
      <c r="L366" s="64" t="e">
        <f>'Combustão Móvel'!#REF!</f>
        <v>#REF!</v>
      </c>
      <c r="M366" s="65" t="e">
        <f>'Combustão Móvel'!#REF!</f>
        <v>#REF!</v>
      </c>
      <c r="N366" s="150"/>
      <c r="O366" s="150" t="e">
        <f t="shared" si="83"/>
        <v>#REF!</v>
      </c>
      <c r="P366" s="150"/>
      <c r="Q366" s="150"/>
      <c r="R366" s="150" t="e">
        <f t="shared" si="84"/>
        <v>#REF!</v>
      </c>
      <c r="S366" s="150" t="e">
        <f t="shared" si="85"/>
        <v>#REF!</v>
      </c>
      <c r="T366" s="161" t="e">
        <f t="shared" si="86"/>
        <v>#REF!</v>
      </c>
      <c r="U366" s="161" t="e">
        <f t="shared" si="87"/>
        <v>#REF!</v>
      </c>
      <c r="V366" s="134" t="e">
        <f t="shared" si="88"/>
        <v>#REF!</v>
      </c>
      <c r="W366" s="134" t="e">
        <f t="shared" si="89"/>
        <v>#REF!</v>
      </c>
      <c r="X366" s="134" t="e">
        <f t="shared" si="90"/>
        <v>#REF!</v>
      </c>
    </row>
    <row r="367" spans="2:24" ht="15.75" thickBot="1" x14ac:dyDescent="0.3">
      <c r="B367" s="1244"/>
      <c r="C367" s="35" t="e">
        <f>'Combustão Móvel'!#REF!</f>
        <v>#REF!</v>
      </c>
      <c r="D367" s="145" t="e">
        <f>'Combustão Móvel'!#REF!</f>
        <v>#REF!</v>
      </c>
      <c r="E367" s="159" t="e">
        <f>'Combustão Móvel'!#REF!</f>
        <v>#REF!</v>
      </c>
      <c r="F367" s="150" t="e">
        <f t="shared" si="77"/>
        <v>#REF!</v>
      </c>
      <c r="G367" s="150" t="e">
        <f t="shared" si="78"/>
        <v>#REF!</v>
      </c>
      <c r="H367" s="150" t="e">
        <f t="shared" si="79"/>
        <v>#REF!</v>
      </c>
      <c r="I367" s="150" t="e">
        <f t="shared" si="80"/>
        <v>#REF!</v>
      </c>
      <c r="J367" s="150" t="e">
        <f t="shared" si="81"/>
        <v>#REF!</v>
      </c>
      <c r="K367" s="151" t="e">
        <f t="shared" si="82"/>
        <v>#REF!</v>
      </c>
      <c r="L367" s="64" t="e">
        <f>'Combustão Móvel'!#REF!</f>
        <v>#REF!</v>
      </c>
      <c r="M367" s="65" t="e">
        <f>'Combustão Móvel'!#REF!</f>
        <v>#REF!</v>
      </c>
      <c r="N367" s="150"/>
      <c r="O367" s="150" t="e">
        <f t="shared" si="83"/>
        <v>#REF!</v>
      </c>
      <c r="P367" s="150"/>
      <c r="Q367" s="150"/>
      <c r="R367" s="150" t="e">
        <f t="shared" si="84"/>
        <v>#REF!</v>
      </c>
      <c r="S367" s="150" t="e">
        <f t="shared" si="85"/>
        <v>#REF!</v>
      </c>
      <c r="T367" s="161" t="e">
        <f t="shared" si="86"/>
        <v>#REF!</v>
      </c>
      <c r="U367" s="161" t="e">
        <f t="shared" si="87"/>
        <v>#REF!</v>
      </c>
      <c r="V367" s="134" t="e">
        <f t="shared" si="88"/>
        <v>#REF!</v>
      </c>
      <c r="W367" s="134" t="e">
        <f t="shared" si="89"/>
        <v>#REF!</v>
      </c>
      <c r="X367" s="134" t="e">
        <f t="shared" si="90"/>
        <v>#REF!</v>
      </c>
    </row>
    <row r="368" spans="2:24" ht="15.75" thickBot="1" x14ac:dyDescent="0.3">
      <c r="B368" s="1244"/>
      <c r="C368" s="35" t="e">
        <f>'Combustão Móvel'!#REF!</f>
        <v>#REF!</v>
      </c>
      <c r="D368" s="145" t="e">
        <f>'Combustão Móvel'!#REF!</f>
        <v>#REF!</v>
      </c>
      <c r="E368" s="159" t="e">
        <f>'Combustão Móvel'!#REF!</f>
        <v>#REF!</v>
      </c>
      <c r="F368" s="150" t="e">
        <f t="shared" si="77"/>
        <v>#REF!</v>
      </c>
      <c r="G368" s="150" t="e">
        <f t="shared" si="78"/>
        <v>#REF!</v>
      </c>
      <c r="H368" s="150" t="e">
        <f t="shared" si="79"/>
        <v>#REF!</v>
      </c>
      <c r="I368" s="150" t="e">
        <f t="shared" si="80"/>
        <v>#REF!</v>
      </c>
      <c r="J368" s="150" t="e">
        <f t="shared" si="81"/>
        <v>#REF!</v>
      </c>
      <c r="K368" s="151" t="e">
        <f t="shared" si="82"/>
        <v>#REF!</v>
      </c>
      <c r="L368" s="64" t="e">
        <f>'Combustão Móvel'!#REF!</f>
        <v>#REF!</v>
      </c>
      <c r="M368" s="65" t="e">
        <f>'Combustão Móvel'!#REF!</f>
        <v>#REF!</v>
      </c>
      <c r="N368" s="150"/>
      <c r="O368" s="150" t="e">
        <f t="shared" si="83"/>
        <v>#REF!</v>
      </c>
      <c r="P368" s="150"/>
      <c r="Q368" s="150"/>
      <c r="R368" s="150" t="e">
        <f t="shared" si="84"/>
        <v>#REF!</v>
      </c>
      <c r="S368" s="150" t="e">
        <f t="shared" si="85"/>
        <v>#REF!</v>
      </c>
      <c r="T368" s="161" t="e">
        <f t="shared" si="86"/>
        <v>#REF!</v>
      </c>
      <c r="U368" s="161" t="e">
        <f t="shared" si="87"/>
        <v>#REF!</v>
      </c>
      <c r="V368" s="134" t="e">
        <f t="shared" si="88"/>
        <v>#REF!</v>
      </c>
      <c r="W368" s="134" t="e">
        <f t="shared" si="89"/>
        <v>#REF!</v>
      </c>
      <c r="X368" s="134" t="e">
        <f t="shared" si="90"/>
        <v>#REF!</v>
      </c>
    </row>
    <row r="369" spans="2:24" ht="15.75" thickBot="1" x14ac:dyDescent="0.3">
      <c r="B369" s="1244"/>
      <c r="C369" s="35" t="e">
        <f>'Combustão Móvel'!#REF!</f>
        <v>#REF!</v>
      </c>
      <c r="D369" s="145" t="e">
        <f>'Combustão Móvel'!#REF!</f>
        <v>#REF!</v>
      </c>
      <c r="E369" s="159" t="e">
        <f>'Combustão Móvel'!#REF!</f>
        <v>#REF!</v>
      </c>
      <c r="F369" s="150" t="e">
        <f t="shared" si="77"/>
        <v>#REF!</v>
      </c>
      <c r="G369" s="150" t="e">
        <f t="shared" si="78"/>
        <v>#REF!</v>
      </c>
      <c r="H369" s="150" t="e">
        <f t="shared" si="79"/>
        <v>#REF!</v>
      </c>
      <c r="I369" s="150" t="e">
        <f t="shared" si="80"/>
        <v>#REF!</v>
      </c>
      <c r="J369" s="150" t="e">
        <f t="shared" si="81"/>
        <v>#REF!</v>
      </c>
      <c r="K369" s="151" t="e">
        <f t="shared" si="82"/>
        <v>#REF!</v>
      </c>
      <c r="L369" s="64" t="e">
        <f>'Combustão Móvel'!#REF!</f>
        <v>#REF!</v>
      </c>
      <c r="M369" s="65" t="e">
        <f>'Combustão Móvel'!#REF!</f>
        <v>#REF!</v>
      </c>
      <c r="N369" s="150"/>
      <c r="O369" s="150" t="e">
        <f t="shared" si="83"/>
        <v>#REF!</v>
      </c>
      <c r="P369" s="150"/>
      <c r="Q369" s="150"/>
      <c r="R369" s="150" t="e">
        <f t="shared" si="84"/>
        <v>#REF!</v>
      </c>
      <c r="S369" s="150" t="e">
        <f t="shared" si="85"/>
        <v>#REF!</v>
      </c>
      <c r="T369" s="161" t="e">
        <f t="shared" si="86"/>
        <v>#REF!</v>
      </c>
      <c r="U369" s="161" t="e">
        <f t="shared" si="87"/>
        <v>#REF!</v>
      </c>
      <c r="V369" s="134" t="e">
        <f t="shared" si="88"/>
        <v>#REF!</v>
      </c>
      <c r="W369" s="134" t="e">
        <f t="shared" si="89"/>
        <v>#REF!</v>
      </c>
      <c r="X369" s="134" t="e">
        <f t="shared" si="90"/>
        <v>#REF!</v>
      </c>
    </row>
    <row r="370" spans="2:24" ht="15.75" thickBot="1" x14ac:dyDescent="0.3">
      <c r="B370" s="1244"/>
      <c r="C370" s="35" t="e">
        <f>'Combustão Móvel'!#REF!</f>
        <v>#REF!</v>
      </c>
      <c r="D370" s="145" t="e">
        <f>'Combustão Móvel'!#REF!</f>
        <v>#REF!</v>
      </c>
      <c r="E370" s="159" t="e">
        <f>'Combustão Móvel'!#REF!</f>
        <v>#REF!</v>
      </c>
      <c r="F370" s="150" t="e">
        <f t="shared" si="77"/>
        <v>#REF!</v>
      </c>
      <c r="G370" s="150" t="e">
        <f t="shared" si="78"/>
        <v>#REF!</v>
      </c>
      <c r="H370" s="150" t="e">
        <f t="shared" si="79"/>
        <v>#REF!</v>
      </c>
      <c r="I370" s="150" t="e">
        <f t="shared" si="80"/>
        <v>#REF!</v>
      </c>
      <c r="J370" s="150" t="e">
        <f t="shared" si="81"/>
        <v>#REF!</v>
      </c>
      <c r="K370" s="151" t="e">
        <f t="shared" si="82"/>
        <v>#REF!</v>
      </c>
      <c r="L370" s="64" t="e">
        <f>'Combustão Móvel'!#REF!</f>
        <v>#REF!</v>
      </c>
      <c r="M370" s="65" t="e">
        <f>'Combustão Móvel'!#REF!</f>
        <v>#REF!</v>
      </c>
      <c r="N370" s="150"/>
      <c r="O370" s="150" t="e">
        <f t="shared" si="83"/>
        <v>#REF!</v>
      </c>
      <c r="P370" s="150"/>
      <c r="Q370" s="150"/>
      <c r="R370" s="150" t="e">
        <f t="shared" si="84"/>
        <v>#REF!</v>
      </c>
      <c r="S370" s="150" t="e">
        <f t="shared" si="85"/>
        <v>#REF!</v>
      </c>
      <c r="T370" s="161" t="e">
        <f t="shared" si="86"/>
        <v>#REF!</v>
      </c>
      <c r="U370" s="161" t="e">
        <f t="shared" si="87"/>
        <v>#REF!</v>
      </c>
      <c r="V370" s="134" t="e">
        <f t="shared" si="88"/>
        <v>#REF!</v>
      </c>
      <c r="W370" s="134" t="e">
        <f t="shared" si="89"/>
        <v>#REF!</v>
      </c>
      <c r="X370" s="134" t="e">
        <f t="shared" si="90"/>
        <v>#REF!</v>
      </c>
    </row>
    <row r="371" spans="2:24" ht="15.75" thickBot="1" x14ac:dyDescent="0.3">
      <c r="B371" s="1244"/>
      <c r="C371" s="35" t="e">
        <f>'Combustão Móvel'!#REF!</f>
        <v>#REF!</v>
      </c>
      <c r="D371" s="145" t="e">
        <f>'Combustão Móvel'!#REF!</f>
        <v>#REF!</v>
      </c>
      <c r="E371" s="159" t="e">
        <f>'Combustão Móvel'!#REF!</f>
        <v>#REF!</v>
      </c>
      <c r="F371" s="150" t="e">
        <f t="shared" si="77"/>
        <v>#REF!</v>
      </c>
      <c r="G371" s="150" t="e">
        <f t="shared" si="78"/>
        <v>#REF!</v>
      </c>
      <c r="H371" s="150" t="e">
        <f t="shared" si="79"/>
        <v>#REF!</v>
      </c>
      <c r="I371" s="150" t="e">
        <f t="shared" si="80"/>
        <v>#REF!</v>
      </c>
      <c r="J371" s="150" t="e">
        <f t="shared" si="81"/>
        <v>#REF!</v>
      </c>
      <c r="K371" s="151" t="e">
        <f t="shared" si="82"/>
        <v>#REF!</v>
      </c>
      <c r="L371" s="64" t="e">
        <f>'Combustão Móvel'!#REF!</f>
        <v>#REF!</v>
      </c>
      <c r="M371" s="65" t="e">
        <f>'Combustão Móvel'!#REF!</f>
        <v>#REF!</v>
      </c>
      <c r="N371" s="150"/>
      <c r="O371" s="150" t="e">
        <f t="shared" si="83"/>
        <v>#REF!</v>
      </c>
      <c r="P371" s="150"/>
      <c r="Q371" s="150"/>
      <c r="R371" s="150" t="e">
        <f t="shared" si="84"/>
        <v>#REF!</v>
      </c>
      <c r="S371" s="150" t="e">
        <f t="shared" si="85"/>
        <v>#REF!</v>
      </c>
      <c r="T371" s="161" t="e">
        <f t="shared" si="86"/>
        <v>#REF!</v>
      </c>
      <c r="U371" s="161" t="e">
        <f t="shared" si="87"/>
        <v>#REF!</v>
      </c>
      <c r="V371" s="134" t="e">
        <f t="shared" si="88"/>
        <v>#REF!</v>
      </c>
      <c r="W371" s="134" t="e">
        <f t="shared" si="89"/>
        <v>#REF!</v>
      </c>
      <c r="X371" s="134" t="e">
        <f t="shared" si="90"/>
        <v>#REF!</v>
      </c>
    </row>
    <row r="372" spans="2:24" ht="15.75" thickBot="1" x14ac:dyDescent="0.3">
      <c r="B372" s="1244"/>
      <c r="C372" s="35" t="e">
        <f>'Combustão Móvel'!#REF!</f>
        <v>#REF!</v>
      </c>
      <c r="D372" s="145" t="e">
        <f>'Combustão Móvel'!#REF!</f>
        <v>#REF!</v>
      </c>
      <c r="E372" s="159" t="e">
        <f>'Combustão Móvel'!#REF!</f>
        <v>#REF!</v>
      </c>
      <c r="F372" s="150" t="e">
        <f t="shared" si="77"/>
        <v>#REF!</v>
      </c>
      <c r="G372" s="150" t="e">
        <f t="shared" si="78"/>
        <v>#REF!</v>
      </c>
      <c r="H372" s="150" t="e">
        <f t="shared" si="79"/>
        <v>#REF!</v>
      </c>
      <c r="I372" s="150" t="e">
        <f t="shared" si="80"/>
        <v>#REF!</v>
      </c>
      <c r="J372" s="150" t="e">
        <f t="shared" si="81"/>
        <v>#REF!</v>
      </c>
      <c r="K372" s="151" t="e">
        <f t="shared" si="82"/>
        <v>#REF!</v>
      </c>
      <c r="L372" s="64" t="e">
        <f>'Combustão Móvel'!#REF!</f>
        <v>#REF!</v>
      </c>
      <c r="M372" s="65" t="e">
        <f>'Combustão Móvel'!#REF!</f>
        <v>#REF!</v>
      </c>
      <c r="N372" s="150"/>
      <c r="O372" s="150" t="e">
        <f t="shared" si="83"/>
        <v>#REF!</v>
      </c>
      <c r="P372" s="150"/>
      <c r="Q372" s="150"/>
      <c r="R372" s="150" t="e">
        <f t="shared" si="84"/>
        <v>#REF!</v>
      </c>
      <c r="S372" s="150" t="e">
        <f t="shared" si="85"/>
        <v>#REF!</v>
      </c>
      <c r="T372" s="161" t="e">
        <f t="shared" si="86"/>
        <v>#REF!</v>
      </c>
      <c r="U372" s="161" t="e">
        <f t="shared" si="87"/>
        <v>#REF!</v>
      </c>
      <c r="V372" s="134" t="e">
        <f t="shared" si="88"/>
        <v>#REF!</v>
      </c>
      <c r="W372" s="134" t="e">
        <f t="shared" si="89"/>
        <v>#REF!</v>
      </c>
      <c r="X372" s="134" t="e">
        <f t="shared" si="90"/>
        <v>#REF!</v>
      </c>
    </row>
    <row r="373" spans="2:24" ht="15.75" thickBot="1" x14ac:dyDescent="0.3">
      <c r="B373" s="1244"/>
      <c r="C373" s="35" t="e">
        <f>'Combustão Móvel'!#REF!</f>
        <v>#REF!</v>
      </c>
      <c r="D373" s="145" t="e">
        <f>'Combustão Móvel'!#REF!</f>
        <v>#REF!</v>
      </c>
      <c r="E373" s="159" t="e">
        <f>'Combustão Móvel'!#REF!</f>
        <v>#REF!</v>
      </c>
      <c r="F373" s="150" t="e">
        <f t="shared" si="77"/>
        <v>#REF!</v>
      </c>
      <c r="G373" s="150" t="e">
        <f t="shared" si="78"/>
        <v>#REF!</v>
      </c>
      <c r="H373" s="150" t="e">
        <f t="shared" si="79"/>
        <v>#REF!</v>
      </c>
      <c r="I373" s="150" t="e">
        <f t="shared" si="80"/>
        <v>#REF!</v>
      </c>
      <c r="J373" s="150" t="e">
        <f t="shared" si="81"/>
        <v>#REF!</v>
      </c>
      <c r="K373" s="151" t="e">
        <f t="shared" si="82"/>
        <v>#REF!</v>
      </c>
      <c r="L373" s="64" t="e">
        <f>'Combustão Móvel'!#REF!</f>
        <v>#REF!</v>
      </c>
      <c r="M373" s="65" t="e">
        <f>'Combustão Móvel'!#REF!</f>
        <v>#REF!</v>
      </c>
      <c r="N373" s="150"/>
      <c r="O373" s="150" t="e">
        <f t="shared" si="83"/>
        <v>#REF!</v>
      </c>
      <c r="P373" s="150"/>
      <c r="Q373" s="150"/>
      <c r="R373" s="150" t="e">
        <f t="shared" si="84"/>
        <v>#REF!</v>
      </c>
      <c r="S373" s="150" t="e">
        <f t="shared" si="85"/>
        <v>#REF!</v>
      </c>
      <c r="T373" s="161" t="e">
        <f t="shared" si="86"/>
        <v>#REF!</v>
      </c>
      <c r="U373" s="161" t="e">
        <f t="shared" si="87"/>
        <v>#REF!</v>
      </c>
      <c r="V373" s="134" t="e">
        <f t="shared" si="88"/>
        <v>#REF!</v>
      </c>
      <c r="W373" s="134" t="e">
        <f t="shared" si="89"/>
        <v>#REF!</v>
      </c>
      <c r="X373" s="134" t="e">
        <f t="shared" si="90"/>
        <v>#REF!</v>
      </c>
    </row>
    <row r="374" spans="2:24" ht="15.75" thickBot="1" x14ac:dyDescent="0.3">
      <c r="B374" s="1244"/>
      <c r="C374" s="35" t="e">
        <f>'Combustão Móvel'!#REF!</f>
        <v>#REF!</v>
      </c>
      <c r="D374" s="145" t="e">
        <f>'Combustão Móvel'!#REF!</f>
        <v>#REF!</v>
      </c>
      <c r="E374" s="159" t="e">
        <f>'Combustão Móvel'!#REF!</f>
        <v>#REF!</v>
      </c>
      <c r="F374" s="150" t="e">
        <f t="shared" si="77"/>
        <v>#REF!</v>
      </c>
      <c r="G374" s="150" t="e">
        <f t="shared" si="78"/>
        <v>#REF!</v>
      </c>
      <c r="H374" s="150" t="e">
        <f t="shared" si="79"/>
        <v>#REF!</v>
      </c>
      <c r="I374" s="150" t="e">
        <f t="shared" si="80"/>
        <v>#REF!</v>
      </c>
      <c r="J374" s="150" t="e">
        <f t="shared" si="81"/>
        <v>#REF!</v>
      </c>
      <c r="K374" s="151" t="e">
        <f t="shared" si="82"/>
        <v>#REF!</v>
      </c>
      <c r="L374" s="64" t="e">
        <f>'Combustão Móvel'!#REF!</f>
        <v>#REF!</v>
      </c>
      <c r="M374" s="65" t="e">
        <f>'Combustão Móvel'!#REF!</f>
        <v>#REF!</v>
      </c>
      <c r="N374" s="150"/>
      <c r="O374" s="150" t="e">
        <f t="shared" si="83"/>
        <v>#REF!</v>
      </c>
      <c r="P374" s="150"/>
      <c r="Q374" s="150"/>
      <c r="R374" s="150" t="e">
        <f t="shared" si="84"/>
        <v>#REF!</v>
      </c>
      <c r="S374" s="150" t="e">
        <f t="shared" si="85"/>
        <v>#REF!</v>
      </c>
      <c r="T374" s="161" t="e">
        <f t="shared" si="86"/>
        <v>#REF!</v>
      </c>
      <c r="U374" s="161" t="e">
        <f t="shared" si="87"/>
        <v>#REF!</v>
      </c>
      <c r="V374" s="134" t="e">
        <f t="shared" si="88"/>
        <v>#REF!</v>
      </c>
      <c r="W374" s="134" t="e">
        <f t="shared" si="89"/>
        <v>#REF!</v>
      </c>
      <c r="X374" s="134" t="e">
        <f t="shared" si="90"/>
        <v>#REF!</v>
      </c>
    </row>
    <row r="375" spans="2:24" ht="15.75" thickBot="1" x14ac:dyDescent="0.3">
      <c r="B375" s="1244"/>
      <c r="C375" s="35" t="e">
        <f>'Combustão Móvel'!#REF!</f>
        <v>#REF!</v>
      </c>
      <c r="D375" s="145" t="e">
        <f>'Combustão Móvel'!#REF!</f>
        <v>#REF!</v>
      </c>
      <c r="E375" s="159" t="e">
        <f>'Combustão Móvel'!#REF!</f>
        <v>#REF!</v>
      </c>
      <c r="F375" s="150" t="e">
        <f t="shared" si="77"/>
        <v>#REF!</v>
      </c>
      <c r="G375" s="150" t="e">
        <f t="shared" si="78"/>
        <v>#REF!</v>
      </c>
      <c r="H375" s="150" t="e">
        <f t="shared" si="79"/>
        <v>#REF!</v>
      </c>
      <c r="I375" s="150" t="e">
        <f t="shared" si="80"/>
        <v>#REF!</v>
      </c>
      <c r="J375" s="150" t="e">
        <f t="shared" si="81"/>
        <v>#REF!</v>
      </c>
      <c r="K375" s="151" t="e">
        <f t="shared" si="82"/>
        <v>#REF!</v>
      </c>
      <c r="L375" s="64" t="e">
        <f>'Combustão Móvel'!#REF!</f>
        <v>#REF!</v>
      </c>
      <c r="M375" s="65" t="e">
        <f>'Combustão Móvel'!#REF!</f>
        <v>#REF!</v>
      </c>
      <c r="N375" s="150"/>
      <c r="O375" s="150" t="e">
        <f t="shared" si="83"/>
        <v>#REF!</v>
      </c>
      <c r="P375" s="150"/>
      <c r="Q375" s="150"/>
      <c r="R375" s="150" t="e">
        <f t="shared" si="84"/>
        <v>#REF!</v>
      </c>
      <c r="S375" s="150" t="e">
        <f t="shared" si="85"/>
        <v>#REF!</v>
      </c>
      <c r="T375" s="161" t="e">
        <f t="shared" si="86"/>
        <v>#REF!</v>
      </c>
      <c r="U375" s="161" t="e">
        <f t="shared" si="87"/>
        <v>#REF!</v>
      </c>
      <c r="V375" s="134" t="e">
        <f t="shared" si="88"/>
        <v>#REF!</v>
      </c>
      <c r="W375" s="134" t="e">
        <f t="shared" si="89"/>
        <v>#REF!</v>
      </c>
      <c r="X375" s="134" t="e">
        <f t="shared" si="90"/>
        <v>#REF!</v>
      </c>
    </row>
    <row r="376" spans="2:24" ht="15.75" thickBot="1" x14ac:dyDescent="0.3">
      <c r="B376" s="1244"/>
      <c r="C376" s="35" t="e">
        <f>'Combustão Móvel'!#REF!</f>
        <v>#REF!</v>
      </c>
      <c r="D376" s="145" t="e">
        <f>'Combustão Móvel'!#REF!</f>
        <v>#REF!</v>
      </c>
      <c r="E376" s="159" t="e">
        <f>'Combustão Móvel'!#REF!</f>
        <v>#REF!</v>
      </c>
      <c r="F376" s="150" t="e">
        <f t="shared" si="77"/>
        <v>#REF!</v>
      </c>
      <c r="G376" s="150" t="e">
        <f t="shared" si="78"/>
        <v>#REF!</v>
      </c>
      <c r="H376" s="150" t="e">
        <f t="shared" si="79"/>
        <v>#REF!</v>
      </c>
      <c r="I376" s="150" t="e">
        <f t="shared" si="80"/>
        <v>#REF!</v>
      </c>
      <c r="J376" s="150" t="e">
        <f t="shared" si="81"/>
        <v>#REF!</v>
      </c>
      <c r="K376" s="151" t="e">
        <f t="shared" si="82"/>
        <v>#REF!</v>
      </c>
      <c r="L376" s="64" t="e">
        <f>'Combustão Móvel'!#REF!</f>
        <v>#REF!</v>
      </c>
      <c r="M376" s="65" t="e">
        <f>'Combustão Móvel'!#REF!</f>
        <v>#REF!</v>
      </c>
      <c r="N376" s="150"/>
      <c r="O376" s="150" t="e">
        <f t="shared" si="83"/>
        <v>#REF!</v>
      </c>
      <c r="P376" s="150"/>
      <c r="Q376" s="150"/>
      <c r="R376" s="150" t="e">
        <f t="shared" si="84"/>
        <v>#REF!</v>
      </c>
      <c r="S376" s="150" t="e">
        <f t="shared" si="85"/>
        <v>#REF!</v>
      </c>
      <c r="T376" s="161" t="e">
        <f t="shared" si="86"/>
        <v>#REF!</v>
      </c>
      <c r="U376" s="161" t="e">
        <f t="shared" si="87"/>
        <v>#REF!</v>
      </c>
      <c r="V376" s="134" t="e">
        <f t="shared" si="88"/>
        <v>#REF!</v>
      </c>
      <c r="W376" s="134" t="e">
        <f t="shared" si="89"/>
        <v>#REF!</v>
      </c>
      <c r="X376" s="134" t="e">
        <f t="shared" si="90"/>
        <v>#REF!</v>
      </c>
    </row>
    <row r="377" spans="2:24" ht="15.75" thickBot="1" x14ac:dyDescent="0.3">
      <c r="B377" s="1244"/>
      <c r="C377" s="35" t="e">
        <f>'Combustão Móvel'!#REF!</f>
        <v>#REF!</v>
      </c>
      <c r="D377" s="145" t="e">
        <f>'Combustão Móvel'!#REF!</f>
        <v>#REF!</v>
      </c>
      <c r="E377" s="159" t="e">
        <f>'Combustão Móvel'!#REF!</f>
        <v>#REF!</v>
      </c>
      <c r="F377" s="150" t="e">
        <f t="shared" si="77"/>
        <v>#REF!</v>
      </c>
      <c r="G377" s="150" t="e">
        <f t="shared" si="78"/>
        <v>#REF!</v>
      </c>
      <c r="H377" s="150" t="e">
        <f t="shared" si="79"/>
        <v>#REF!</v>
      </c>
      <c r="I377" s="150" t="e">
        <f t="shared" si="80"/>
        <v>#REF!</v>
      </c>
      <c r="J377" s="150" t="e">
        <f t="shared" si="81"/>
        <v>#REF!</v>
      </c>
      <c r="K377" s="151" t="e">
        <f t="shared" si="82"/>
        <v>#REF!</v>
      </c>
      <c r="L377" s="64" t="e">
        <f>'Combustão Móvel'!#REF!</f>
        <v>#REF!</v>
      </c>
      <c r="M377" s="65" t="e">
        <f>'Combustão Móvel'!#REF!</f>
        <v>#REF!</v>
      </c>
      <c r="N377" s="150"/>
      <c r="O377" s="150" t="e">
        <f t="shared" si="83"/>
        <v>#REF!</v>
      </c>
      <c r="P377" s="150"/>
      <c r="Q377" s="150"/>
      <c r="R377" s="150" t="e">
        <f t="shared" si="84"/>
        <v>#REF!</v>
      </c>
      <c r="S377" s="150" t="e">
        <f t="shared" si="85"/>
        <v>#REF!</v>
      </c>
      <c r="T377" s="161" t="e">
        <f t="shared" si="86"/>
        <v>#REF!</v>
      </c>
      <c r="U377" s="161" t="e">
        <f t="shared" si="87"/>
        <v>#REF!</v>
      </c>
      <c r="V377" s="134" t="e">
        <f t="shared" si="88"/>
        <v>#REF!</v>
      </c>
      <c r="W377" s="134" t="e">
        <f t="shared" si="89"/>
        <v>#REF!</v>
      </c>
      <c r="X377" s="134" t="e">
        <f t="shared" si="90"/>
        <v>#REF!</v>
      </c>
    </row>
    <row r="378" spans="2:24" ht="15.75" thickBot="1" x14ac:dyDescent="0.3">
      <c r="B378" s="1244"/>
      <c r="C378" s="35" t="e">
        <f>'Combustão Móvel'!#REF!</f>
        <v>#REF!</v>
      </c>
      <c r="D378" s="145" t="e">
        <f>'Combustão Móvel'!#REF!</f>
        <v>#REF!</v>
      </c>
      <c r="E378" s="159" t="e">
        <f>'Combustão Móvel'!#REF!</f>
        <v>#REF!</v>
      </c>
      <c r="F378" s="150" t="e">
        <f t="shared" si="77"/>
        <v>#REF!</v>
      </c>
      <c r="G378" s="150" t="e">
        <f t="shared" si="78"/>
        <v>#REF!</v>
      </c>
      <c r="H378" s="150" t="e">
        <f t="shared" si="79"/>
        <v>#REF!</v>
      </c>
      <c r="I378" s="150" t="e">
        <f t="shared" si="80"/>
        <v>#REF!</v>
      </c>
      <c r="J378" s="150" t="e">
        <f t="shared" si="81"/>
        <v>#REF!</v>
      </c>
      <c r="K378" s="151" t="e">
        <f t="shared" si="82"/>
        <v>#REF!</v>
      </c>
      <c r="L378" s="64" t="e">
        <f>'Combustão Móvel'!#REF!</f>
        <v>#REF!</v>
      </c>
      <c r="M378" s="65" t="e">
        <f>'Combustão Móvel'!#REF!</f>
        <v>#REF!</v>
      </c>
      <c r="N378" s="150"/>
      <c r="O378" s="150" t="e">
        <f t="shared" si="83"/>
        <v>#REF!</v>
      </c>
      <c r="P378" s="150"/>
      <c r="Q378" s="150"/>
      <c r="R378" s="150" t="e">
        <f t="shared" si="84"/>
        <v>#REF!</v>
      </c>
      <c r="S378" s="150" t="e">
        <f t="shared" si="85"/>
        <v>#REF!</v>
      </c>
      <c r="T378" s="161" t="e">
        <f t="shared" si="86"/>
        <v>#REF!</v>
      </c>
      <c r="U378" s="161" t="e">
        <f t="shared" si="87"/>
        <v>#REF!</v>
      </c>
      <c r="V378" s="134" t="e">
        <f t="shared" si="88"/>
        <v>#REF!</v>
      </c>
      <c r="W378" s="134" t="e">
        <f t="shared" si="89"/>
        <v>#REF!</v>
      </c>
      <c r="X378" s="134" t="e">
        <f t="shared" si="90"/>
        <v>#REF!</v>
      </c>
    </row>
    <row r="379" spans="2:24" ht="15.75" thickBot="1" x14ac:dyDescent="0.3">
      <c r="B379" s="1244"/>
      <c r="C379" s="35" t="e">
        <f>'Combustão Móvel'!#REF!</f>
        <v>#REF!</v>
      </c>
      <c r="D379" s="145" t="e">
        <f>'Combustão Móvel'!#REF!</f>
        <v>#REF!</v>
      </c>
      <c r="E379" s="159" t="e">
        <f>'Combustão Móvel'!#REF!</f>
        <v>#REF!</v>
      </c>
      <c r="F379" s="150" t="e">
        <f t="shared" si="77"/>
        <v>#REF!</v>
      </c>
      <c r="G379" s="150" t="e">
        <f t="shared" si="78"/>
        <v>#REF!</v>
      </c>
      <c r="H379" s="150" t="e">
        <f t="shared" si="79"/>
        <v>#REF!</v>
      </c>
      <c r="I379" s="150" t="e">
        <f t="shared" si="80"/>
        <v>#REF!</v>
      </c>
      <c r="J379" s="150" t="e">
        <f t="shared" si="81"/>
        <v>#REF!</v>
      </c>
      <c r="K379" s="151" t="e">
        <f t="shared" si="82"/>
        <v>#REF!</v>
      </c>
      <c r="L379" s="64" t="e">
        <f>'Combustão Móvel'!#REF!</f>
        <v>#REF!</v>
      </c>
      <c r="M379" s="65" t="e">
        <f>'Combustão Móvel'!#REF!</f>
        <v>#REF!</v>
      </c>
      <c r="N379" s="150"/>
      <c r="O379" s="150" t="e">
        <f t="shared" si="83"/>
        <v>#REF!</v>
      </c>
      <c r="P379" s="150"/>
      <c r="Q379" s="150"/>
      <c r="R379" s="150" t="e">
        <f t="shared" si="84"/>
        <v>#REF!</v>
      </c>
      <c r="S379" s="150" t="e">
        <f t="shared" si="85"/>
        <v>#REF!</v>
      </c>
      <c r="T379" s="161" t="e">
        <f t="shared" si="86"/>
        <v>#REF!</v>
      </c>
      <c r="U379" s="161" t="e">
        <f t="shared" si="87"/>
        <v>#REF!</v>
      </c>
      <c r="V379" s="134" t="e">
        <f t="shared" si="88"/>
        <v>#REF!</v>
      </c>
      <c r="W379" s="134" t="e">
        <f t="shared" si="89"/>
        <v>#REF!</v>
      </c>
      <c r="X379" s="134" t="e">
        <f t="shared" si="90"/>
        <v>#REF!</v>
      </c>
    </row>
    <row r="380" spans="2:24" ht="15.75" thickBot="1" x14ac:dyDescent="0.3">
      <c r="B380" s="1244"/>
      <c r="C380" s="35" t="e">
        <f>'Combustão Móvel'!#REF!</f>
        <v>#REF!</v>
      </c>
      <c r="D380" s="145" t="e">
        <f>'Combustão Móvel'!#REF!</f>
        <v>#REF!</v>
      </c>
      <c r="E380" s="159" t="e">
        <f>'Combustão Móvel'!#REF!</f>
        <v>#REF!</v>
      </c>
      <c r="F380" s="150" t="e">
        <f t="shared" si="77"/>
        <v>#REF!</v>
      </c>
      <c r="G380" s="150" t="e">
        <f t="shared" si="78"/>
        <v>#REF!</v>
      </c>
      <c r="H380" s="150" t="e">
        <f t="shared" si="79"/>
        <v>#REF!</v>
      </c>
      <c r="I380" s="150" t="e">
        <f t="shared" si="80"/>
        <v>#REF!</v>
      </c>
      <c r="J380" s="150" t="e">
        <f t="shared" si="81"/>
        <v>#REF!</v>
      </c>
      <c r="K380" s="151" t="e">
        <f t="shared" si="82"/>
        <v>#REF!</v>
      </c>
      <c r="L380" s="64" t="e">
        <f>'Combustão Móvel'!#REF!</f>
        <v>#REF!</v>
      </c>
      <c r="M380" s="65" t="e">
        <f>'Combustão Móvel'!#REF!</f>
        <v>#REF!</v>
      </c>
      <c r="N380" s="150"/>
      <c r="O380" s="150" t="e">
        <f t="shared" si="83"/>
        <v>#REF!</v>
      </c>
      <c r="P380" s="150"/>
      <c r="Q380" s="150"/>
      <c r="R380" s="150" t="e">
        <f t="shared" si="84"/>
        <v>#REF!</v>
      </c>
      <c r="S380" s="150" t="e">
        <f t="shared" si="85"/>
        <v>#REF!</v>
      </c>
      <c r="T380" s="161" t="e">
        <f t="shared" si="86"/>
        <v>#REF!</v>
      </c>
      <c r="U380" s="161" t="e">
        <f t="shared" si="87"/>
        <v>#REF!</v>
      </c>
      <c r="V380" s="134" t="e">
        <f t="shared" si="88"/>
        <v>#REF!</v>
      </c>
      <c r="W380" s="134" t="e">
        <f t="shared" si="89"/>
        <v>#REF!</v>
      </c>
      <c r="X380" s="134" t="e">
        <f t="shared" si="90"/>
        <v>#REF!</v>
      </c>
    </row>
    <row r="381" spans="2:24" ht="15.75" thickBot="1" x14ac:dyDescent="0.3">
      <c r="B381" s="1244"/>
      <c r="C381" s="35" t="e">
        <f>'Combustão Móvel'!#REF!</f>
        <v>#REF!</v>
      </c>
      <c r="D381" s="145" t="e">
        <f>'Combustão Móvel'!#REF!</f>
        <v>#REF!</v>
      </c>
      <c r="E381" s="159" t="e">
        <f>'Combustão Móvel'!#REF!</f>
        <v>#REF!</v>
      </c>
      <c r="F381" s="150" t="e">
        <f t="shared" si="77"/>
        <v>#REF!</v>
      </c>
      <c r="G381" s="150" t="e">
        <f t="shared" si="78"/>
        <v>#REF!</v>
      </c>
      <c r="H381" s="150" t="e">
        <f t="shared" si="79"/>
        <v>#REF!</v>
      </c>
      <c r="I381" s="150" t="e">
        <f t="shared" si="80"/>
        <v>#REF!</v>
      </c>
      <c r="J381" s="150" t="e">
        <f t="shared" si="81"/>
        <v>#REF!</v>
      </c>
      <c r="K381" s="151" t="e">
        <f t="shared" si="82"/>
        <v>#REF!</v>
      </c>
      <c r="L381" s="64" t="e">
        <f>'Combustão Móvel'!#REF!</f>
        <v>#REF!</v>
      </c>
      <c r="M381" s="65" t="e">
        <f>'Combustão Móvel'!#REF!</f>
        <v>#REF!</v>
      </c>
      <c r="N381" s="150"/>
      <c r="O381" s="150" t="e">
        <f t="shared" si="83"/>
        <v>#REF!</v>
      </c>
      <c r="P381" s="150"/>
      <c r="Q381" s="150"/>
      <c r="R381" s="150" t="e">
        <f t="shared" si="84"/>
        <v>#REF!</v>
      </c>
      <c r="S381" s="150" t="e">
        <f t="shared" si="85"/>
        <v>#REF!</v>
      </c>
      <c r="T381" s="161" t="e">
        <f t="shared" si="86"/>
        <v>#REF!</v>
      </c>
      <c r="U381" s="161" t="e">
        <f t="shared" si="87"/>
        <v>#REF!</v>
      </c>
      <c r="V381" s="134" t="e">
        <f t="shared" si="88"/>
        <v>#REF!</v>
      </c>
      <c r="W381" s="134" t="e">
        <f t="shared" si="89"/>
        <v>#REF!</v>
      </c>
      <c r="X381" s="134" t="e">
        <f t="shared" si="90"/>
        <v>#REF!</v>
      </c>
    </row>
    <row r="382" spans="2:24" ht="15.75" thickBot="1" x14ac:dyDescent="0.3">
      <c r="B382" s="1244"/>
      <c r="C382" s="35" t="e">
        <f>'Combustão Móvel'!#REF!</f>
        <v>#REF!</v>
      </c>
      <c r="D382" s="145" t="e">
        <f>'Combustão Móvel'!#REF!</f>
        <v>#REF!</v>
      </c>
      <c r="E382" s="159" t="e">
        <f>'Combustão Móvel'!#REF!</f>
        <v>#REF!</v>
      </c>
      <c r="F382" s="150" t="e">
        <f t="shared" si="77"/>
        <v>#REF!</v>
      </c>
      <c r="G382" s="150" t="e">
        <f t="shared" si="78"/>
        <v>#REF!</v>
      </c>
      <c r="H382" s="150" t="e">
        <f t="shared" si="79"/>
        <v>#REF!</v>
      </c>
      <c r="I382" s="150" t="e">
        <f t="shared" si="80"/>
        <v>#REF!</v>
      </c>
      <c r="J382" s="150" t="e">
        <f t="shared" si="81"/>
        <v>#REF!</v>
      </c>
      <c r="K382" s="151" t="e">
        <f t="shared" si="82"/>
        <v>#REF!</v>
      </c>
      <c r="L382" s="64" t="e">
        <f>'Combustão Móvel'!#REF!</f>
        <v>#REF!</v>
      </c>
      <c r="M382" s="65" t="e">
        <f>'Combustão Móvel'!#REF!</f>
        <v>#REF!</v>
      </c>
      <c r="N382" s="150"/>
      <c r="O382" s="150" t="e">
        <f t="shared" si="83"/>
        <v>#REF!</v>
      </c>
      <c r="P382" s="150"/>
      <c r="Q382" s="150"/>
      <c r="R382" s="150" t="e">
        <f t="shared" si="84"/>
        <v>#REF!</v>
      </c>
      <c r="S382" s="150" t="e">
        <f t="shared" si="85"/>
        <v>#REF!</v>
      </c>
      <c r="T382" s="161" t="e">
        <f t="shared" si="86"/>
        <v>#REF!</v>
      </c>
      <c r="U382" s="161" t="e">
        <f t="shared" si="87"/>
        <v>#REF!</v>
      </c>
      <c r="V382" s="134" t="e">
        <f t="shared" si="88"/>
        <v>#REF!</v>
      </c>
      <c r="W382" s="134" t="e">
        <f t="shared" si="89"/>
        <v>#REF!</v>
      </c>
      <c r="X382" s="134" t="e">
        <f t="shared" si="90"/>
        <v>#REF!</v>
      </c>
    </row>
    <row r="383" spans="2:24" ht="15.75" thickBot="1" x14ac:dyDescent="0.3">
      <c r="B383" s="1244"/>
      <c r="C383" s="35" t="e">
        <f>'Combustão Móvel'!#REF!</f>
        <v>#REF!</v>
      </c>
      <c r="D383" s="145" t="e">
        <f>'Combustão Móvel'!#REF!</f>
        <v>#REF!</v>
      </c>
      <c r="E383" s="159" t="e">
        <f>'Combustão Móvel'!#REF!</f>
        <v>#REF!</v>
      </c>
      <c r="F383" s="150" t="e">
        <f t="shared" si="77"/>
        <v>#REF!</v>
      </c>
      <c r="G383" s="150" t="e">
        <f t="shared" si="78"/>
        <v>#REF!</v>
      </c>
      <c r="H383" s="150" t="e">
        <f t="shared" si="79"/>
        <v>#REF!</v>
      </c>
      <c r="I383" s="150" t="e">
        <f t="shared" si="80"/>
        <v>#REF!</v>
      </c>
      <c r="J383" s="150" t="e">
        <f t="shared" si="81"/>
        <v>#REF!</v>
      </c>
      <c r="K383" s="151" t="e">
        <f t="shared" si="82"/>
        <v>#REF!</v>
      </c>
      <c r="L383" s="64" t="e">
        <f>'Combustão Móvel'!#REF!</f>
        <v>#REF!</v>
      </c>
      <c r="M383" s="65" t="e">
        <f>'Combustão Móvel'!#REF!</f>
        <v>#REF!</v>
      </c>
      <c r="N383" s="150"/>
      <c r="O383" s="150" t="e">
        <f t="shared" si="83"/>
        <v>#REF!</v>
      </c>
      <c r="P383" s="150"/>
      <c r="Q383" s="150"/>
      <c r="R383" s="150" t="e">
        <f t="shared" si="84"/>
        <v>#REF!</v>
      </c>
      <c r="S383" s="150" t="e">
        <f t="shared" si="85"/>
        <v>#REF!</v>
      </c>
      <c r="T383" s="161" t="e">
        <f t="shared" si="86"/>
        <v>#REF!</v>
      </c>
      <c r="U383" s="161" t="e">
        <f t="shared" si="87"/>
        <v>#REF!</v>
      </c>
      <c r="V383" s="134" t="e">
        <f t="shared" si="88"/>
        <v>#REF!</v>
      </c>
      <c r="W383" s="134" t="e">
        <f t="shared" si="89"/>
        <v>#REF!</v>
      </c>
      <c r="X383" s="134" t="e">
        <f t="shared" si="90"/>
        <v>#REF!</v>
      </c>
    </row>
    <row r="384" spans="2:24" ht="15.75" thickBot="1" x14ac:dyDescent="0.3">
      <c r="B384" s="1244"/>
      <c r="C384" s="35" t="e">
        <f>'Combustão Móvel'!#REF!</f>
        <v>#REF!</v>
      </c>
      <c r="D384" s="145" t="e">
        <f>'Combustão Móvel'!#REF!</f>
        <v>#REF!</v>
      </c>
      <c r="E384" s="159" t="e">
        <f>'Combustão Móvel'!#REF!</f>
        <v>#REF!</v>
      </c>
      <c r="F384" s="150" t="e">
        <f t="shared" si="77"/>
        <v>#REF!</v>
      </c>
      <c r="G384" s="150" t="e">
        <f t="shared" si="78"/>
        <v>#REF!</v>
      </c>
      <c r="H384" s="150" t="e">
        <f t="shared" si="79"/>
        <v>#REF!</v>
      </c>
      <c r="I384" s="150" t="e">
        <f t="shared" si="80"/>
        <v>#REF!</v>
      </c>
      <c r="J384" s="150" t="e">
        <f t="shared" si="81"/>
        <v>#REF!</v>
      </c>
      <c r="K384" s="151" t="e">
        <f t="shared" si="82"/>
        <v>#REF!</v>
      </c>
      <c r="L384" s="64" t="e">
        <f>'Combustão Móvel'!#REF!</f>
        <v>#REF!</v>
      </c>
      <c r="M384" s="65" t="e">
        <f>'Combustão Móvel'!#REF!</f>
        <v>#REF!</v>
      </c>
      <c r="N384" s="150"/>
      <c r="O384" s="150" t="e">
        <f t="shared" si="83"/>
        <v>#REF!</v>
      </c>
      <c r="P384" s="150"/>
      <c r="Q384" s="150"/>
      <c r="R384" s="150" t="e">
        <f t="shared" si="84"/>
        <v>#REF!</v>
      </c>
      <c r="S384" s="150" t="e">
        <f t="shared" si="85"/>
        <v>#REF!</v>
      </c>
      <c r="T384" s="161" t="e">
        <f t="shared" si="86"/>
        <v>#REF!</v>
      </c>
      <c r="U384" s="161" t="e">
        <f t="shared" si="87"/>
        <v>#REF!</v>
      </c>
      <c r="V384" s="134" t="e">
        <f t="shared" si="88"/>
        <v>#REF!</v>
      </c>
      <c r="W384" s="134" t="e">
        <f t="shared" si="89"/>
        <v>#REF!</v>
      </c>
      <c r="X384" s="134" t="e">
        <f t="shared" si="90"/>
        <v>#REF!</v>
      </c>
    </row>
    <row r="385" spans="2:24" ht="15.75" thickBot="1" x14ac:dyDescent="0.3">
      <c r="B385" s="1244"/>
      <c r="C385" s="35" t="e">
        <f>'Combustão Móvel'!#REF!</f>
        <v>#REF!</v>
      </c>
      <c r="D385" s="145" t="e">
        <f>'Combustão Móvel'!#REF!</f>
        <v>#REF!</v>
      </c>
      <c r="E385" s="159" t="e">
        <f>'Combustão Móvel'!#REF!</f>
        <v>#REF!</v>
      </c>
      <c r="F385" s="150" t="e">
        <f t="shared" si="77"/>
        <v>#REF!</v>
      </c>
      <c r="G385" s="150" t="e">
        <f t="shared" si="78"/>
        <v>#REF!</v>
      </c>
      <c r="H385" s="150" t="e">
        <f t="shared" si="79"/>
        <v>#REF!</v>
      </c>
      <c r="I385" s="150" t="e">
        <f t="shared" si="80"/>
        <v>#REF!</v>
      </c>
      <c r="J385" s="150" t="e">
        <f t="shared" si="81"/>
        <v>#REF!</v>
      </c>
      <c r="K385" s="151" t="e">
        <f t="shared" si="82"/>
        <v>#REF!</v>
      </c>
      <c r="L385" s="64" t="e">
        <f>'Combustão Móvel'!#REF!</f>
        <v>#REF!</v>
      </c>
      <c r="M385" s="65" t="e">
        <f>'Combustão Móvel'!#REF!</f>
        <v>#REF!</v>
      </c>
      <c r="N385" s="150"/>
      <c r="O385" s="150" t="e">
        <f t="shared" si="83"/>
        <v>#REF!</v>
      </c>
      <c r="P385" s="150"/>
      <c r="Q385" s="150"/>
      <c r="R385" s="150" t="e">
        <f t="shared" si="84"/>
        <v>#REF!</v>
      </c>
      <c r="S385" s="150" t="e">
        <f t="shared" si="85"/>
        <v>#REF!</v>
      </c>
      <c r="T385" s="161" t="e">
        <f t="shared" si="86"/>
        <v>#REF!</v>
      </c>
      <c r="U385" s="161" t="e">
        <f t="shared" si="87"/>
        <v>#REF!</v>
      </c>
      <c r="V385" s="134" t="e">
        <f t="shared" si="88"/>
        <v>#REF!</v>
      </c>
      <c r="W385" s="134" t="e">
        <f t="shared" si="89"/>
        <v>#REF!</v>
      </c>
      <c r="X385" s="134" t="e">
        <f t="shared" si="90"/>
        <v>#REF!</v>
      </c>
    </row>
    <row r="386" spans="2:24" ht="15.75" thickBot="1" x14ac:dyDescent="0.3">
      <c r="B386" s="1244"/>
      <c r="C386" s="35" t="e">
        <f>'Combustão Móvel'!#REF!</f>
        <v>#REF!</v>
      </c>
      <c r="D386" s="145" t="e">
        <f>'Combustão Móvel'!#REF!</f>
        <v>#REF!</v>
      </c>
      <c r="E386" s="159" t="e">
        <f>'Combustão Móvel'!#REF!</f>
        <v>#REF!</v>
      </c>
      <c r="F386" s="150" t="e">
        <f t="shared" si="77"/>
        <v>#REF!</v>
      </c>
      <c r="G386" s="150" t="e">
        <f t="shared" si="78"/>
        <v>#REF!</v>
      </c>
      <c r="H386" s="150" t="e">
        <f t="shared" si="79"/>
        <v>#REF!</v>
      </c>
      <c r="I386" s="150" t="e">
        <f t="shared" si="80"/>
        <v>#REF!</v>
      </c>
      <c r="J386" s="150" t="e">
        <f t="shared" si="81"/>
        <v>#REF!</v>
      </c>
      <c r="K386" s="151" t="e">
        <f t="shared" si="82"/>
        <v>#REF!</v>
      </c>
      <c r="L386" s="64" t="e">
        <f>'Combustão Móvel'!#REF!</f>
        <v>#REF!</v>
      </c>
      <c r="M386" s="65" t="e">
        <f>'Combustão Móvel'!#REF!</f>
        <v>#REF!</v>
      </c>
      <c r="N386" s="150"/>
      <c r="O386" s="150" t="e">
        <f t="shared" si="83"/>
        <v>#REF!</v>
      </c>
      <c r="P386" s="150"/>
      <c r="Q386" s="150"/>
      <c r="R386" s="150" t="e">
        <f t="shared" si="84"/>
        <v>#REF!</v>
      </c>
      <c r="S386" s="150" t="e">
        <f t="shared" si="85"/>
        <v>#REF!</v>
      </c>
      <c r="T386" s="161" t="e">
        <f t="shared" si="86"/>
        <v>#REF!</v>
      </c>
      <c r="U386" s="161" t="e">
        <f t="shared" si="87"/>
        <v>#REF!</v>
      </c>
      <c r="V386" s="134" t="e">
        <f t="shared" si="88"/>
        <v>#REF!</v>
      </c>
      <c r="W386" s="134" t="e">
        <f t="shared" si="89"/>
        <v>#REF!</v>
      </c>
      <c r="X386" s="134" t="e">
        <f t="shared" si="90"/>
        <v>#REF!</v>
      </c>
    </row>
    <row r="387" spans="2:24" ht="15.75" thickBot="1" x14ac:dyDescent="0.3">
      <c r="B387" s="1244"/>
      <c r="C387" s="35" t="e">
        <f>'Combustão Móvel'!#REF!</f>
        <v>#REF!</v>
      </c>
      <c r="D387" s="145" t="e">
        <f>'Combustão Móvel'!#REF!</f>
        <v>#REF!</v>
      </c>
      <c r="E387" s="159" t="e">
        <f>'Combustão Móvel'!#REF!</f>
        <v>#REF!</v>
      </c>
      <c r="F387" s="150" t="e">
        <f t="shared" si="77"/>
        <v>#REF!</v>
      </c>
      <c r="G387" s="150" t="e">
        <f t="shared" si="78"/>
        <v>#REF!</v>
      </c>
      <c r="H387" s="150" t="e">
        <f t="shared" si="79"/>
        <v>#REF!</v>
      </c>
      <c r="I387" s="150" t="e">
        <f t="shared" si="80"/>
        <v>#REF!</v>
      </c>
      <c r="J387" s="150" t="e">
        <f t="shared" si="81"/>
        <v>#REF!</v>
      </c>
      <c r="K387" s="151" t="e">
        <f t="shared" si="82"/>
        <v>#REF!</v>
      </c>
      <c r="L387" s="64" t="e">
        <f>'Combustão Móvel'!#REF!</f>
        <v>#REF!</v>
      </c>
      <c r="M387" s="65" t="e">
        <f>'Combustão Móvel'!#REF!</f>
        <v>#REF!</v>
      </c>
      <c r="N387" s="150"/>
      <c r="O387" s="150" t="e">
        <f t="shared" si="83"/>
        <v>#REF!</v>
      </c>
      <c r="P387" s="150"/>
      <c r="Q387" s="150"/>
      <c r="R387" s="150" t="e">
        <f t="shared" si="84"/>
        <v>#REF!</v>
      </c>
      <c r="S387" s="150" t="e">
        <f t="shared" si="85"/>
        <v>#REF!</v>
      </c>
      <c r="T387" s="161" t="e">
        <f t="shared" si="86"/>
        <v>#REF!</v>
      </c>
      <c r="U387" s="161" t="e">
        <f t="shared" si="87"/>
        <v>#REF!</v>
      </c>
      <c r="V387" s="134" t="e">
        <f t="shared" si="88"/>
        <v>#REF!</v>
      </c>
      <c r="W387" s="134" t="e">
        <f t="shared" si="89"/>
        <v>#REF!</v>
      </c>
      <c r="X387" s="134" t="e">
        <f t="shared" si="90"/>
        <v>#REF!</v>
      </c>
    </row>
    <row r="388" spans="2:24" ht="15.75" thickBot="1" x14ac:dyDescent="0.3">
      <c r="B388" s="1244"/>
      <c r="C388" s="35" t="e">
        <f>'Combustão Móvel'!#REF!</f>
        <v>#REF!</v>
      </c>
      <c r="D388" s="145" t="e">
        <f>'Combustão Móvel'!#REF!</f>
        <v>#REF!</v>
      </c>
      <c r="E388" s="159" t="e">
        <f>'Combustão Móvel'!#REF!</f>
        <v>#REF!</v>
      </c>
      <c r="F388" s="150" t="e">
        <f t="shared" si="77"/>
        <v>#REF!</v>
      </c>
      <c r="G388" s="150" t="e">
        <f t="shared" si="78"/>
        <v>#REF!</v>
      </c>
      <c r="H388" s="150" t="e">
        <f t="shared" si="79"/>
        <v>#REF!</v>
      </c>
      <c r="I388" s="150" t="e">
        <f t="shared" si="80"/>
        <v>#REF!</v>
      </c>
      <c r="J388" s="150" t="e">
        <f t="shared" si="81"/>
        <v>#REF!</v>
      </c>
      <c r="K388" s="151" t="e">
        <f t="shared" si="82"/>
        <v>#REF!</v>
      </c>
      <c r="L388" s="64" t="e">
        <f>'Combustão Móvel'!#REF!</f>
        <v>#REF!</v>
      </c>
      <c r="M388" s="65" t="e">
        <f>'Combustão Móvel'!#REF!</f>
        <v>#REF!</v>
      </c>
      <c r="N388" s="150"/>
      <c r="O388" s="150" t="e">
        <f t="shared" si="83"/>
        <v>#REF!</v>
      </c>
      <c r="P388" s="150"/>
      <c r="Q388" s="150"/>
      <c r="R388" s="150" t="e">
        <f t="shared" si="84"/>
        <v>#REF!</v>
      </c>
      <c r="S388" s="150" t="e">
        <f t="shared" si="85"/>
        <v>#REF!</v>
      </c>
      <c r="T388" s="161" t="e">
        <f t="shared" si="86"/>
        <v>#REF!</v>
      </c>
      <c r="U388" s="161" t="e">
        <f t="shared" si="87"/>
        <v>#REF!</v>
      </c>
      <c r="V388" s="134" t="e">
        <f t="shared" si="88"/>
        <v>#REF!</v>
      </c>
      <c r="W388" s="134" t="e">
        <f t="shared" si="89"/>
        <v>#REF!</v>
      </c>
      <c r="X388" s="134" t="e">
        <f t="shared" si="90"/>
        <v>#REF!</v>
      </c>
    </row>
    <row r="389" spans="2:24" ht="15.75" thickBot="1" x14ac:dyDescent="0.3">
      <c r="B389" s="1244"/>
      <c r="C389" s="35" t="e">
        <f>'Combustão Móvel'!#REF!</f>
        <v>#REF!</v>
      </c>
      <c r="D389" s="145" t="e">
        <f>'Combustão Móvel'!#REF!</f>
        <v>#REF!</v>
      </c>
      <c r="E389" s="159" t="e">
        <f>'Combustão Móvel'!#REF!</f>
        <v>#REF!</v>
      </c>
      <c r="F389" s="150" t="e">
        <f t="shared" si="77"/>
        <v>#REF!</v>
      </c>
      <c r="G389" s="150" t="e">
        <f t="shared" si="78"/>
        <v>#REF!</v>
      </c>
      <c r="H389" s="150" t="e">
        <f t="shared" si="79"/>
        <v>#REF!</v>
      </c>
      <c r="I389" s="150" t="e">
        <f t="shared" si="80"/>
        <v>#REF!</v>
      </c>
      <c r="J389" s="150" t="e">
        <f t="shared" si="81"/>
        <v>#REF!</v>
      </c>
      <c r="K389" s="151" t="e">
        <f t="shared" si="82"/>
        <v>#REF!</v>
      </c>
      <c r="L389" s="64" t="e">
        <f>'Combustão Móvel'!#REF!</f>
        <v>#REF!</v>
      </c>
      <c r="M389" s="65" t="e">
        <f>'Combustão Móvel'!#REF!</f>
        <v>#REF!</v>
      </c>
      <c r="N389" s="150"/>
      <c r="O389" s="150" t="e">
        <f t="shared" si="83"/>
        <v>#REF!</v>
      </c>
      <c r="P389" s="150"/>
      <c r="Q389" s="150"/>
      <c r="R389" s="150" t="e">
        <f t="shared" si="84"/>
        <v>#REF!</v>
      </c>
      <c r="S389" s="150" t="e">
        <f t="shared" si="85"/>
        <v>#REF!</v>
      </c>
      <c r="T389" s="161" t="e">
        <f t="shared" si="86"/>
        <v>#REF!</v>
      </c>
      <c r="U389" s="161" t="e">
        <f t="shared" si="87"/>
        <v>#REF!</v>
      </c>
      <c r="V389" s="134" t="e">
        <f t="shared" si="88"/>
        <v>#REF!</v>
      </c>
      <c r="W389" s="134" t="e">
        <f t="shared" si="89"/>
        <v>#REF!</v>
      </c>
      <c r="X389" s="134" t="e">
        <f t="shared" si="90"/>
        <v>#REF!</v>
      </c>
    </row>
    <row r="390" spans="2:24" ht="15.75" thickBot="1" x14ac:dyDescent="0.3">
      <c r="B390" s="1244"/>
      <c r="C390" s="35" t="e">
        <f>'Combustão Móvel'!#REF!</f>
        <v>#REF!</v>
      </c>
      <c r="D390" s="145" t="e">
        <f>'Combustão Móvel'!#REF!</f>
        <v>#REF!</v>
      </c>
      <c r="E390" s="159" t="e">
        <f>'Combustão Móvel'!#REF!</f>
        <v>#REF!</v>
      </c>
      <c r="F390" s="150" t="e">
        <f t="shared" si="77"/>
        <v>#REF!</v>
      </c>
      <c r="G390" s="150" t="e">
        <f t="shared" si="78"/>
        <v>#REF!</v>
      </c>
      <c r="H390" s="150" t="e">
        <f t="shared" si="79"/>
        <v>#REF!</v>
      </c>
      <c r="I390" s="150" t="e">
        <f t="shared" si="80"/>
        <v>#REF!</v>
      </c>
      <c r="J390" s="150" t="e">
        <f t="shared" si="81"/>
        <v>#REF!</v>
      </c>
      <c r="K390" s="151" t="e">
        <f t="shared" si="82"/>
        <v>#REF!</v>
      </c>
      <c r="L390" s="64" t="e">
        <f>'Combustão Móvel'!#REF!</f>
        <v>#REF!</v>
      </c>
      <c r="M390" s="65" t="e">
        <f>'Combustão Móvel'!#REF!</f>
        <v>#REF!</v>
      </c>
      <c r="N390" s="150"/>
      <c r="O390" s="150" t="e">
        <f t="shared" si="83"/>
        <v>#REF!</v>
      </c>
      <c r="P390" s="150"/>
      <c r="Q390" s="150"/>
      <c r="R390" s="150" t="e">
        <f t="shared" si="84"/>
        <v>#REF!</v>
      </c>
      <c r="S390" s="150" t="e">
        <f t="shared" si="85"/>
        <v>#REF!</v>
      </c>
      <c r="T390" s="161" t="e">
        <f t="shared" si="86"/>
        <v>#REF!</v>
      </c>
      <c r="U390" s="161" t="e">
        <f t="shared" si="87"/>
        <v>#REF!</v>
      </c>
      <c r="V390" s="134" t="e">
        <f t="shared" si="88"/>
        <v>#REF!</v>
      </c>
      <c r="W390" s="134" t="e">
        <f t="shared" si="89"/>
        <v>#REF!</v>
      </c>
      <c r="X390" s="134" t="e">
        <f t="shared" si="90"/>
        <v>#REF!</v>
      </c>
    </row>
    <row r="391" spans="2:24" ht="15.75" thickBot="1" x14ac:dyDescent="0.3">
      <c r="B391" s="1244"/>
      <c r="C391" s="35" t="e">
        <f>'Combustão Móvel'!#REF!</f>
        <v>#REF!</v>
      </c>
      <c r="D391" s="145" t="e">
        <f>'Combustão Móvel'!#REF!</f>
        <v>#REF!</v>
      </c>
      <c r="E391" s="159" t="e">
        <f>'Combustão Móvel'!#REF!</f>
        <v>#REF!</v>
      </c>
      <c r="F391" s="150" t="e">
        <f t="shared" si="77"/>
        <v>#REF!</v>
      </c>
      <c r="G391" s="150" t="e">
        <f t="shared" si="78"/>
        <v>#REF!</v>
      </c>
      <c r="H391" s="150" t="e">
        <f t="shared" si="79"/>
        <v>#REF!</v>
      </c>
      <c r="I391" s="150" t="e">
        <f t="shared" si="80"/>
        <v>#REF!</v>
      </c>
      <c r="J391" s="150" t="e">
        <f t="shared" si="81"/>
        <v>#REF!</v>
      </c>
      <c r="K391" s="151" t="e">
        <f t="shared" si="82"/>
        <v>#REF!</v>
      </c>
      <c r="L391" s="64" t="e">
        <f>'Combustão Móvel'!#REF!</f>
        <v>#REF!</v>
      </c>
      <c r="M391" s="65" t="e">
        <f>'Combustão Móvel'!#REF!</f>
        <v>#REF!</v>
      </c>
      <c r="N391" s="150"/>
      <c r="O391" s="150" t="e">
        <f t="shared" si="83"/>
        <v>#REF!</v>
      </c>
      <c r="P391" s="150"/>
      <c r="Q391" s="150"/>
      <c r="R391" s="150" t="e">
        <f t="shared" si="84"/>
        <v>#REF!</v>
      </c>
      <c r="S391" s="150" t="e">
        <f t="shared" si="85"/>
        <v>#REF!</v>
      </c>
      <c r="T391" s="161" t="e">
        <f t="shared" si="86"/>
        <v>#REF!</v>
      </c>
      <c r="U391" s="161" t="e">
        <f t="shared" si="87"/>
        <v>#REF!</v>
      </c>
      <c r="V391" s="134" t="e">
        <f t="shared" si="88"/>
        <v>#REF!</v>
      </c>
      <c r="W391" s="134" t="e">
        <f t="shared" si="89"/>
        <v>#REF!</v>
      </c>
      <c r="X391" s="134" t="e">
        <f t="shared" si="90"/>
        <v>#REF!</v>
      </c>
    </row>
    <row r="392" spans="2:24" ht="15.75" thickBot="1" x14ac:dyDescent="0.3">
      <c r="B392" s="1244"/>
      <c r="C392" s="35" t="e">
        <f>'Combustão Móvel'!#REF!</f>
        <v>#REF!</v>
      </c>
      <c r="D392" s="145" t="e">
        <f>'Combustão Móvel'!#REF!</f>
        <v>#REF!</v>
      </c>
      <c r="E392" s="159" t="e">
        <f>'Combustão Móvel'!#REF!</f>
        <v>#REF!</v>
      </c>
      <c r="F392" s="150" t="e">
        <f t="shared" si="77"/>
        <v>#REF!</v>
      </c>
      <c r="G392" s="150" t="e">
        <f t="shared" si="78"/>
        <v>#REF!</v>
      </c>
      <c r="H392" s="150" t="e">
        <f t="shared" si="79"/>
        <v>#REF!</v>
      </c>
      <c r="I392" s="150" t="e">
        <f t="shared" si="80"/>
        <v>#REF!</v>
      </c>
      <c r="J392" s="150" t="e">
        <f t="shared" si="81"/>
        <v>#REF!</v>
      </c>
      <c r="K392" s="151" t="e">
        <f t="shared" si="82"/>
        <v>#REF!</v>
      </c>
      <c r="L392" s="64" t="e">
        <f>'Combustão Móvel'!#REF!</f>
        <v>#REF!</v>
      </c>
      <c r="M392" s="65" t="e">
        <f>'Combustão Móvel'!#REF!</f>
        <v>#REF!</v>
      </c>
      <c r="N392" s="150"/>
      <c r="O392" s="150" t="e">
        <f t="shared" si="83"/>
        <v>#REF!</v>
      </c>
      <c r="P392" s="150"/>
      <c r="Q392" s="150"/>
      <c r="R392" s="150" t="e">
        <f t="shared" si="84"/>
        <v>#REF!</v>
      </c>
      <c r="S392" s="150" t="e">
        <f t="shared" si="85"/>
        <v>#REF!</v>
      </c>
      <c r="T392" s="161" t="e">
        <f t="shared" si="86"/>
        <v>#REF!</v>
      </c>
      <c r="U392" s="161" t="e">
        <f t="shared" si="87"/>
        <v>#REF!</v>
      </c>
      <c r="V392" s="134" t="e">
        <f t="shared" si="88"/>
        <v>#REF!</v>
      </c>
      <c r="W392" s="134" t="e">
        <f t="shared" si="89"/>
        <v>#REF!</v>
      </c>
      <c r="X392" s="134" t="e">
        <f t="shared" si="90"/>
        <v>#REF!</v>
      </c>
    </row>
    <row r="393" spans="2:24" ht="15.75" thickBot="1" x14ac:dyDescent="0.3">
      <c r="B393" s="1244"/>
      <c r="C393" s="35" t="e">
        <f>'Combustão Móvel'!#REF!</f>
        <v>#REF!</v>
      </c>
      <c r="D393" s="145" t="e">
        <f>'Combustão Móvel'!#REF!</f>
        <v>#REF!</v>
      </c>
      <c r="E393" s="159" t="e">
        <f>'Combustão Móvel'!#REF!</f>
        <v>#REF!</v>
      </c>
      <c r="F393" s="150" t="e">
        <f t="shared" si="77"/>
        <v>#REF!</v>
      </c>
      <c r="G393" s="150" t="e">
        <f t="shared" si="78"/>
        <v>#REF!</v>
      </c>
      <c r="H393" s="150" t="e">
        <f t="shared" si="79"/>
        <v>#REF!</v>
      </c>
      <c r="I393" s="150" t="e">
        <f t="shared" si="80"/>
        <v>#REF!</v>
      </c>
      <c r="J393" s="150" t="e">
        <f t="shared" si="81"/>
        <v>#REF!</v>
      </c>
      <c r="K393" s="151" t="e">
        <f t="shared" si="82"/>
        <v>#REF!</v>
      </c>
      <c r="L393" s="64" t="e">
        <f>'Combustão Móvel'!#REF!</f>
        <v>#REF!</v>
      </c>
      <c r="M393" s="65" t="e">
        <f>'Combustão Móvel'!#REF!</f>
        <v>#REF!</v>
      </c>
      <c r="N393" s="150"/>
      <c r="O393" s="150" t="e">
        <f t="shared" si="83"/>
        <v>#REF!</v>
      </c>
      <c r="P393" s="150"/>
      <c r="Q393" s="150"/>
      <c r="R393" s="150" t="e">
        <f t="shared" si="84"/>
        <v>#REF!</v>
      </c>
      <c r="S393" s="150" t="e">
        <f t="shared" si="85"/>
        <v>#REF!</v>
      </c>
      <c r="T393" s="161" t="e">
        <f t="shared" si="86"/>
        <v>#REF!</v>
      </c>
      <c r="U393" s="161" t="e">
        <f t="shared" si="87"/>
        <v>#REF!</v>
      </c>
      <c r="V393" s="134" t="e">
        <f t="shared" si="88"/>
        <v>#REF!</v>
      </c>
      <c r="W393" s="134" t="e">
        <f t="shared" si="89"/>
        <v>#REF!</v>
      </c>
      <c r="X393" s="134" t="e">
        <f t="shared" si="90"/>
        <v>#REF!</v>
      </c>
    </row>
    <row r="394" spans="2:24" ht="15.75" thickBot="1" x14ac:dyDescent="0.3">
      <c r="B394" s="1244"/>
      <c r="C394" s="35" t="e">
        <f>'Combustão Móvel'!#REF!</f>
        <v>#REF!</v>
      </c>
      <c r="D394" s="145" t="e">
        <f>'Combustão Móvel'!#REF!</f>
        <v>#REF!</v>
      </c>
      <c r="E394" s="159" t="e">
        <f>'Combustão Móvel'!#REF!</f>
        <v>#REF!</v>
      </c>
      <c r="F394" s="150" t="e">
        <f t="shared" si="77"/>
        <v>#REF!</v>
      </c>
      <c r="G394" s="150" t="e">
        <f t="shared" si="78"/>
        <v>#REF!</v>
      </c>
      <c r="H394" s="150" t="e">
        <f t="shared" si="79"/>
        <v>#REF!</v>
      </c>
      <c r="I394" s="150" t="e">
        <f t="shared" si="80"/>
        <v>#REF!</v>
      </c>
      <c r="J394" s="150" t="e">
        <f t="shared" si="81"/>
        <v>#REF!</v>
      </c>
      <c r="K394" s="151" t="e">
        <f t="shared" si="82"/>
        <v>#REF!</v>
      </c>
      <c r="L394" s="64" t="e">
        <f>'Combustão Móvel'!#REF!</f>
        <v>#REF!</v>
      </c>
      <c r="M394" s="65" t="e">
        <f>'Combustão Móvel'!#REF!</f>
        <v>#REF!</v>
      </c>
      <c r="N394" s="150"/>
      <c r="O394" s="150" t="e">
        <f t="shared" si="83"/>
        <v>#REF!</v>
      </c>
      <c r="P394" s="150"/>
      <c r="Q394" s="150"/>
      <c r="R394" s="150" t="e">
        <f t="shared" si="84"/>
        <v>#REF!</v>
      </c>
      <c r="S394" s="150" t="e">
        <f t="shared" si="85"/>
        <v>#REF!</v>
      </c>
      <c r="T394" s="161" t="e">
        <f t="shared" si="86"/>
        <v>#REF!</v>
      </c>
      <c r="U394" s="161" t="e">
        <f t="shared" si="87"/>
        <v>#REF!</v>
      </c>
      <c r="V394" s="134" t="e">
        <f t="shared" si="88"/>
        <v>#REF!</v>
      </c>
      <c r="W394" s="134" t="e">
        <f t="shared" si="89"/>
        <v>#REF!</v>
      </c>
      <c r="X394" s="134" t="e">
        <f t="shared" si="90"/>
        <v>#REF!</v>
      </c>
    </row>
    <row r="395" spans="2:24" ht="15.75" thickBot="1" x14ac:dyDescent="0.3">
      <c r="B395" s="1244"/>
      <c r="C395" s="35" t="e">
        <f>'Combustão Móvel'!#REF!</f>
        <v>#REF!</v>
      </c>
      <c r="D395" s="145" t="e">
        <f>'Combustão Móvel'!#REF!</f>
        <v>#REF!</v>
      </c>
      <c r="E395" s="159" t="e">
        <f>'Combustão Móvel'!#REF!</f>
        <v>#REF!</v>
      </c>
      <c r="F395" s="150" t="e">
        <f t="shared" si="77"/>
        <v>#REF!</v>
      </c>
      <c r="G395" s="150" t="e">
        <f t="shared" si="78"/>
        <v>#REF!</v>
      </c>
      <c r="H395" s="150" t="e">
        <f t="shared" si="79"/>
        <v>#REF!</v>
      </c>
      <c r="I395" s="150" t="e">
        <f t="shared" si="80"/>
        <v>#REF!</v>
      </c>
      <c r="J395" s="150" t="e">
        <f t="shared" si="81"/>
        <v>#REF!</v>
      </c>
      <c r="K395" s="151" t="e">
        <f t="shared" si="82"/>
        <v>#REF!</v>
      </c>
      <c r="L395" s="64" t="e">
        <f>'Combustão Móvel'!#REF!</f>
        <v>#REF!</v>
      </c>
      <c r="M395" s="65" t="e">
        <f>'Combustão Móvel'!#REF!</f>
        <v>#REF!</v>
      </c>
      <c r="N395" s="150"/>
      <c r="O395" s="150" t="e">
        <f t="shared" si="83"/>
        <v>#REF!</v>
      </c>
      <c r="P395" s="150"/>
      <c r="Q395" s="150"/>
      <c r="R395" s="150" t="e">
        <f t="shared" si="84"/>
        <v>#REF!</v>
      </c>
      <c r="S395" s="150" t="e">
        <f t="shared" si="85"/>
        <v>#REF!</v>
      </c>
      <c r="T395" s="161" t="e">
        <f t="shared" si="86"/>
        <v>#REF!</v>
      </c>
      <c r="U395" s="161" t="e">
        <f t="shared" si="87"/>
        <v>#REF!</v>
      </c>
      <c r="V395" s="134" t="e">
        <f t="shared" si="88"/>
        <v>#REF!</v>
      </c>
      <c r="W395" s="134" t="e">
        <f t="shared" si="89"/>
        <v>#REF!</v>
      </c>
      <c r="X395" s="134" t="e">
        <f t="shared" si="90"/>
        <v>#REF!</v>
      </c>
    </row>
    <row r="396" spans="2:24" ht="15.75" thickBot="1" x14ac:dyDescent="0.3">
      <c r="B396" s="1244"/>
      <c r="C396" s="35" t="e">
        <f>'Combustão Móvel'!#REF!</f>
        <v>#REF!</v>
      </c>
      <c r="D396" s="145" t="e">
        <f>'Combustão Móvel'!#REF!</f>
        <v>#REF!</v>
      </c>
      <c r="E396" s="159" t="e">
        <f>'Combustão Móvel'!#REF!</f>
        <v>#REF!</v>
      </c>
      <c r="F396" s="150" t="e">
        <f t="shared" si="77"/>
        <v>#REF!</v>
      </c>
      <c r="G396" s="150" t="e">
        <f t="shared" si="78"/>
        <v>#REF!</v>
      </c>
      <c r="H396" s="150" t="e">
        <f t="shared" si="79"/>
        <v>#REF!</v>
      </c>
      <c r="I396" s="150" t="e">
        <f t="shared" si="80"/>
        <v>#REF!</v>
      </c>
      <c r="J396" s="150" t="e">
        <f t="shared" si="81"/>
        <v>#REF!</v>
      </c>
      <c r="K396" s="151" t="e">
        <f t="shared" si="82"/>
        <v>#REF!</v>
      </c>
      <c r="L396" s="64" t="e">
        <f>'Combustão Móvel'!#REF!</f>
        <v>#REF!</v>
      </c>
      <c r="M396" s="65" t="e">
        <f>'Combustão Móvel'!#REF!</f>
        <v>#REF!</v>
      </c>
      <c r="N396" s="150"/>
      <c r="O396" s="150" t="e">
        <f t="shared" si="83"/>
        <v>#REF!</v>
      </c>
      <c r="P396" s="150"/>
      <c r="Q396" s="150"/>
      <c r="R396" s="150" t="e">
        <f t="shared" si="84"/>
        <v>#REF!</v>
      </c>
      <c r="S396" s="150" t="e">
        <f t="shared" si="85"/>
        <v>#REF!</v>
      </c>
      <c r="T396" s="161" t="e">
        <f t="shared" si="86"/>
        <v>#REF!</v>
      </c>
      <c r="U396" s="161" t="e">
        <f t="shared" si="87"/>
        <v>#REF!</v>
      </c>
      <c r="V396" s="134" t="e">
        <f t="shared" si="88"/>
        <v>#REF!</v>
      </c>
      <c r="W396" s="134" t="e">
        <f t="shared" si="89"/>
        <v>#REF!</v>
      </c>
      <c r="X396" s="134" t="e">
        <f t="shared" si="90"/>
        <v>#REF!</v>
      </c>
    </row>
    <row r="397" spans="2:24" ht="15.75" thickBot="1" x14ac:dyDescent="0.3">
      <c r="B397" s="1244"/>
      <c r="C397" s="35" t="e">
        <f>'Combustão Móvel'!#REF!</f>
        <v>#REF!</v>
      </c>
      <c r="D397" s="145" t="e">
        <f>'Combustão Móvel'!#REF!</f>
        <v>#REF!</v>
      </c>
      <c r="E397" s="159" t="e">
        <f>'Combustão Móvel'!#REF!</f>
        <v>#REF!</v>
      </c>
      <c r="F397" s="150" t="e">
        <f t="shared" si="77"/>
        <v>#REF!</v>
      </c>
      <c r="G397" s="150" t="e">
        <f t="shared" si="78"/>
        <v>#REF!</v>
      </c>
      <c r="H397" s="150" t="e">
        <f t="shared" si="79"/>
        <v>#REF!</v>
      </c>
      <c r="I397" s="150" t="e">
        <f t="shared" si="80"/>
        <v>#REF!</v>
      </c>
      <c r="J397" s="150" t="e">
        <f t="shared" si="81"/>
        <v>#REF!</v>
      </c>
      <c r="K397" s="151" t="e">
        <f t="shared" si="82"/>
        <v>#REF!</v>
      </c>
      <c r="L397" s="64" t="e">
        <f>'Combustão Móvel'!#REF!</f>
        <v>#REF!</v>
      </c>
      <c r="M397" s="65" t="e">
        <f>'Combustão Móvel'!#REF!</f>
        <v>#REF!</v>
      </c>
      <c r="N397" s="150"/>
      <c r="O397" s="150" t="e">
        <f t="shared" si="83"/>
        <v>#REF!</v>
      </c>
      <c r="P397" s="150"/>
      <c r="Q397" s="150"/>
      <c r="R397" s="150" t="e">
        <f t="shared" si="84"/>
        <v>#REF!</v>
      </c>
      <c r="S397" s="150" t="e">
        <f t="shared" si="85"/>
        <v>#REF!</v>
      </c>
      <c r="T397" s="161" t="e">
        <f t="shared" si="86"/>
        <v>#REF!</v>
      </c>
      <c r="U397" s="161" t="e">
        <f t="shared" si="87"/>
        <v>#REF!</v>
      </c>
      <c r="V397" s="134" t="e">
        <f t="shared" si="88"/>
        <v>#REF!</v>
      </c>
      <c r="W397" s="134" t="e">
        <f t="shared" si="89"/>
        <v>#REF!</v>
      </c>
      <c r="X397" s="134" t="e">
        <f t="shared" si="90"/>
        <v>#REF!</v>
      </c>
    </row>
    <row r="398" spans="2:24" ht="15.75" thickBot="1" x14ac:dyDescent="0.3">
      <c r="B398" s="1244"/>
      <c r="C398" s="35" t="e">
        <f>'Combustão Móvel'!#REF!</f>
        <v>#REF!</v>
      </c>
      <c r="D398" s="145" t="e">
        <f>'Combustão Móvel'!#REF!</f>
        <v>#REF!</v>
      </c>
      <c r="E398" s="159" t="e">
        <f>'Combustão Móvel'!#REF!</f>
        <v>#REF!</v>
      </c>
      <c r="F398" s="150" t="e">
        <f t="shared" ref="F398:F432" si="91">IF(C398=$F$32,D398,0)</f>
        <v>#REF!</v>
      </c>
      <c r="G398" s="150" t="e">
        <f t="shared" ref="G398:G432" si="92">IF(C398=$G$32,D398,0)</f>
        <v>#REF!</v>
      </c>
      <c r="H398" s="150" t="e">
        <f t="shared" ref="H398:H432" si="93">IF(C398=$H$32,D398,0)</f>
        <v>#REF!</v>
      </c>
      <c r="I398" s="150" t="e">
        <f t="shared" ref="I398:I432" si="94">IF(C398=$I$32,E398,0)</f>
        <v>#REF!</v>
      </c>
      <c r="J398" s="150" t="e">
        <f t="shared" ref="J398:J432" si="95">IF(C398=$J$32,E398,0)</f>
        <v>#REF!</v>
      </c>
      <c r="K398" s="151" t="e">
        <f t="shared" ref="K398:K432" si="96">IF(C398=$K$32,E398,0)</f>
        <v>#REF!</v>
      </c>
      <c r="L398" s="64" t="e">
        <f>'Combustão Móvel'!#REF!</f>
        <v>#REF!</v>
      </c>
      <c r="M398" s="65" t="e">
        <f>'Combustão Móvel'!#REF!</f>
        <v>#REF!</v>
      </c>
      <c r="N398" s="150"/>
      <c r="O398" s="150" t="e">
        <f t="shared" si="83"/>
        <v>#REF!</v>
      </c>
      <c r="P398" s="150"/>
      <c r="Q398" s="150"/>
      <c r="R398" s="150" t="e">
        <f t="shared" si="84"/>
        <v>#REF!</v>
      </c>
      <c r="S398" s="150" t="e">
        <f t="shared" si="85"/>
        <v>#REF!</v>
      </c>
      <c r="T398" s="161" t="e">
        <f t="shared" si="86"/>
        <v>#REF!</v>
      </c>
      <c r="U398" s="161" t="e">
        <f t="shared" si="87"/>
        <v>#REF!</v>
      </c>
      <c r="V398" s="134" t="e">
        <f t="shared" si="88"/>
        <v>#REF!</v>
      </c>
      <c r="W398" s="134" t="e">
        <f t="shared" si="89"/>
        <v>#REF!</v>
      </c>
      <c r="X398" s="134" t="e">
        <f t="shared" si="90"/>
        <v>#REF!</v>
      </c>
    </row>
    <row r="399" spans="2:24" ht="15.75" thickBot="1" x14ac:dyDescent="0.3">
      <c r="B399" s="1244"/>
      <c r="C399" s="35" t="e">
        <f>'Combustão Móvel'!#REF!</f>
        <v>#REF!</v>
      </c>
      <c r="D399" s="145" t="e">
        <f>'Combustão Móvel'!#REF!</f>
        <v>#REF!</v>
      </c>
      <c r="E399" s="159" t="e">
        <f>'Combustão Móvel'!#REF!</f>
        <v>#REF!</v>
      </c>
      <c r="F399" s="150" t="e">
        <f t="shared" si="91"/>
        <v>#REF!</v>
      </c>
      <c r="G399" s="150" t="e">
        <f t="shared" si="92"/>
        <v>#REF!</v>
      </c>
      <c r="H399" s="150" t="e">
        <f t="shared" si="93"/>
        <v>#REF!</v>
      </c>
      <c r="I399" s="150" t="e">
        <f t="shared" si="94"/>
        <v>#REF!</v>
      </c>
      <c r="J399" s="150" t="e">
        <f t="shared" si="95"/>
        <v>#REF!</v>
      </c>
      <c r="K399" s="151" t="e">
        <f t="shared" si="96"/>
        <v>#REF!</v>
      </c>
      <c r="L399" s="64" t="e">
        <f>'Combustão Móvel'!#REF!</f>
        <v>#REF!</v>
      </c>
      <c r="M399" s="65" t="e">
        <f>'Combustão Móvel'!#REF!</f>
        <v>#REF!</v>
      </c>
      <c r="N399" s="150"/>
      <c r="O399" s="150" t="e">
        <f t="shared" si="83"/>
        <v>#REF!</v>
      </c>
      <c r="P399" s="150"/>
      <c r="Q399" s="150"/>
      <c r="R399" s="150" t="e">
        <f t="shared" si="84"/>
        <v>#REF!</v>
      </c>
      <c r="S399" s="150" t="e">
        <f t="shared" si="85"/>
        <v>#REF!</v>
      </c>
      <c r="T399" s="161" t="e">
        <f t="shared" si="86"/>
        <v>#REF!</v>
      </c>
      <c r="U399" s="161" t="e">
        <f t="shared" si="87"/>
        <v>#REF!</v>
      </c>
      <c r="V399" s="134" t="e">
        <f t="shared" si="88"/>
        <v>#REF!</v>
      </c>
      <c r="W399" s="134" t="e">
        <f t="shared" si="89"/>
        <v>#REF!</v>
      </c>
      <c r="X399" s="134" t="e">
        <f t="shared" si="90"/>
        <v>#REF!</v>
      </c>
    </row>
    <row r="400" spans="2:24" ht="15.75" thickBot="1" x14ac:dyDescent="0.3">
      <c r="B400" s="1244"/>
      <c r="C400" s="35" t="e">
        <f>'Combustão Móvel'!#REF!</f>
        <v>#REF!</v>
      </c>
      <c r="D400" s="145" t="e">
        <f>'Combustão Móvel'!#REF!</f>
        <v>#REF!</v>
      </c>
      <c r="E400" s="159" t="e">
        <f>'Combustão Móvel'!#REF!</f>
        <v>#REF!</v>
      </c>
      <c r="F400" s="150" t="e">
        <f t="shared" si="91"/>
        <v>#REF!</v>
      </c>
      <c r="G400" s="150" t="e">
        <f t="shared" si="92"/>
        <v>#REF!</v>
      </c>
      <c r="H400" s="150" t="e">
        <f t="shared" si="93"/>
        <v>#REF!</v>
      </c>
      <c r="I400" s="150" t="e">
        <f t="shared" si="94"/>
        <v>#REF!</v>
      </c>
      <c r="J400" s="150" t="e">
        <f t="shared" si="95"/>
        <v>#REF!</v>
      </c>
      <c r="K400" s="151" t="e">
        <f t="shared" si="96"/>
        <v>#REF!</v>
      </c>
      <c r="L400" s="64" t="e">
        <f>'Combustão Móvel'!#REF!</f>
        <v>#REF!</v>
      </c>
      <c r="M400" s="65" t="e">
        <f>'Combustão Móvel'!#REF!</f>
        <v>#REF!</v>
      </c>
      <c r="N400" s="150"/>
      <c r="O400" s="150" t="e">
        <f t="shared" si="83"/>
        <v>#REF!</v>
      </c>
      <c r="P400" s="150"/>
      <c r="Q400" s="150"/>
      <c r="R400" s="150" t="e">
        <f t="shared" si="84"/>
        <v>#REF!</v>
      </c>
      <c r="S400" s="150" t="e">
        <f t="shared" si="85"/>
        <v>#REF!</v>
      </c>
      <c r="T400" s="161" t="e">
        <f t="shared" si="86"/>
        <v>#REF!</v>
      </c>
      <c r="U400" s="161" t="e">
        <f t="shared" si="87"/>
        <v>#REF!</v>
      </c>
      <c r="V400" s="134" t="e">
        <f t="shared" si="88"/>
        <v>#REF!</v>
      </c>
      <c r="W400" s="134" t="e">
        <f t="shared" si="89"/>
        <v>#REF!</v>
      </c>
      <c r="X400" s="134" t="e">
        <f t="shared" si="90"/>
        <v>#REF!</v>
      </c>
    </row>
    <row r="401" spans="2:24" ht="15.75" thickBot="1" x14ac:dyDescent="0.3">
      <c r="B401" s="1244"/>
      <c r="C401" s="35" t="e">
        <f>'Combustão Móvel'!#REF!</f>
        <v>#REF!</v>
      </c>
      <c r="D401" s="145" t="e">
        <f>'Combustão Móvel'!#REF!</f>
        <v>#REF!</v>
      </c>
      <c r="E401" s="159" t="e">
        <f>'Combustão Móvel'!#REF!</f>
        <v>#REF!</v>
      </c>
      <c r="F401" s="150" t="e">
        <f t="shared" si="91"/>
        <v>#REF!</v>
      </c>
      <c r="G401" s="150" t="e">
        <f t="shared" si="92"/>
        <v>#REF!</v>
      </c>
      <c r="H401" s="150" t="e">
        <f t="shared" si="93"/>
        <v>#REF!</v>
      </c>
      <c r="I401" s="150" t="e">
        <f t="shared" si="94"/>
        <v>#REF!</v>
      </c>
      <c r="J401" s="150" t="e">
        <f t="shared" si="95"/>
        <v>#REF!</v>
      </c>
      <c r="K401" s="151" t="e">
        <f t="shared" si="96"/>
        <v>#REF!</v>
      </c>
      <c r="L401" s="64" t="e">
        <f>'Combustão Móvel'!#REF!</f>
        <v>#REF!</v>
      </c>
      <c r="M401" s="65" t="e">
        <f>'Combustão Móvel'!#REF!</f>
        <v>#REF!</v>
      </c>
      <c r="N401" s="150"/>
      <c r="O401" s="150" t="e">
        <f t="shared" si="83"/>
        <v>#REF!</v>
      </c>
      <c r="P401" s="150"/>
      <c r="Q401" s="150"/>
      <c r="R401" s="150" t="e">
        <f t="shared" si="84"/>
        <v>#REF!</v>
      </c>
      <c r="S401" s="150" t="e">
        <f t="shared" si="85"/>
        <v>#REF!</v>
      </c>
      <c r="T401" s="161" t="e">
        <f t="shared" si="86"/>
        <v>#REF!</v>
      </c>
      <c r="U401" s="161" t="e">
        <f t="shared" si="87"/>
        <v>#REF!</v>
      </c>
      <c r="V401" s="134" t="e">
        <f t="shared" si="88"/>
        <v>#REF!</v>
      </c>
      <c r="W401" s="134" t="e">
        <f t="shared" si="89"/>
        <v>#REF!</v>
      </c>
      <c r="X401" s="134" t="e">
        <f t="shared" si="90"/>
        <v>#REF!</v>
      </c>
    </row>
    <row r="402" spans="2:24" ht="15.75" thickBot="1" x14ac:dyDescent="0.3">
      <c r="B402" s="1244"/>
      <c r="C402" s="35" t="e">
        <f>'Combustão Móvel'!#REF!</f>
        <v>#REF!</v>
      </c>
      <c r="D402" s="145" t="e">
        <f>'Combustão Móvel'!#REF!</f>
        <v>#REF!</v>
      </c>
      <c r="E402" s="159" t="e">
        <f>'Combustão Móvel'!#REF!</f>
        <v>#REF!</v>
      </c>
      <c r="F402" s="150" t="e">
        <f t="shared" si="91"/>
        <v>#REF!</v>
      </c>
      <c r="G402" s="150" t="e">
        <f t="shared" si="92"/>
        <v>#REF!</v>
      </c>
      <c r="H402" s="150" t="e">
        <f t="shared" si="93"/>
        <v>#REF!</v>
      </c>
      <c r="I402" s="150" t="e">
        <f t="shared" si="94"/>
        <v>#REF!</v>
      </c>
      <c r="J402" s="150" t="e">
        <f t="shared" si="95"/>
        <v>#REF!</v>
      </c>
      <c r="K402" s="151" t="e">
        <f t="shared" si="96"/>
        <v>#REF!</v>
      </c>
      <c r="L402" s="64" t="e">
        <f>'Combustão Móvel'!#REF!</f>
        <v>#REF!</v>
      </c>
      <c r="M402" s="65" t="e">
        <f>'Combustão Móvel'!#REF!</f>
        <v>#REF!</v>
      </c>
      <c r="N402" s="150"/>
      <c r="O402" s="150" t="e">
        <f t="shared" si="83"/>
        <v>#REF!</v>
      </c>
      <c r="P402" s="150"/>
      <c r="Q402" s="150"/>
      <c r="R402" s="150" t="e">
        <f t="shared" si="84"/>
        <v>#REF!</v>
      </c>
      <c r="S402" s="150" t="e">
        <f t="shared" si="85"/>
        <v>#REF!</v>
      </c>
      <c r="T402" s="161" t="e">
        <f t="shared" si="86"/>
        <v>#REF!</v>
      </c>
      <c r="U402" s="161" t="e">
        <f t="shared" si="87"/>
        <v>#REF!</v>
      </c>
      <c r="V402" s="134" t="e">
        <f t="shared" si="88"/>
        <v>#REF!</v>
      </c>
      <c r="W402" s="134" t="e">
        <f t="shared" si="89"/>
        <v>#REF!</v>
      </c>
      <c r="X402" s="134" t="e">
        <f t="shared" si="90"/>
        <v>#REF!</v>
      </c>
    </row>
    <row r="403" spans="2:24" ht="15.75" thickBot="1" x14ac:dyDescent="0.3">
      <c r="B403" s="1244"/>
      <c r="C403" s="35" t="e">
        <f>'Combustão Móvel'!#REF!</f>
        <v>#REF!</v>
      </c>
      <c r="D403" s="145" t="e">
        <f>'Combustão Móvel'!#REF!</f>
        <v>#REF!</v>
      </c>
      <c r="E403" s="159" t="e">
        <f>'Combustão Móvel'!#REF!</f>
        <v>#REF!</v>
      </c>
      <c r="F403" s="150" t="e">
        <f t="shared" si="91"/>
        <v>#REF!</v>
      </c>
      <c r="G403" s="150" t="e">
        <f t="shared" si="92"/>
        <v>#REF!</v>
      </c>
      <c r="H403" s="150" t="e">
        <f t="shared" si="93"/>
        <v>#REF!</v>
      </c>
      <c r="I403" s="150" t="e">
        <f t="shared" si="94"/>
        <v>#REF!</v>
      </c>
      <c r="J403" s="150" t="e">
        <f t="shared" si="95"/>
        <v>#REF!</v>
      </c>
      <c r="K403" s="151" t="e">
        <f t="shared" si="96"/>
        <v>#REF!</v>
      </c>
      <c r="L403" s="64" t="e">
        <f>'Combustão Móvel'!#REF!</f>
        <v>#REF!</v>
      </c>
      <c r="M403" s="65" t="e">
        <f>'Combustão Móvel'!#REF!</f>
        <v>#REF!</v>
      </c>
      <c r="N403" s="150"/>
      <c r="O403" s="150" t="e">
        <f t="shared" si="83"/>
        <v>#REF!</v>
      </c>
      <c r="P403" s="150"/>
      <c r="Q403" s="150"/>
      <c r="R403" s="150" t="e">
        <f t="shared" si="84"/>
        <v>#REF!</v>
      </c>
      <c r="S403" s="150" t="e">
        <f t="shared" si="85"/>
        <v>#REF!</v>
      </c>
      <c r="T403" s="161" t="e">
        <f t="shared" si="86"/>
        <v>#REF!</v>
      </c>
      <c r="U403" s="161" t="e">
        <f t="shared" si="87"/>
        <v>#REF!</v>
      </c>
      <c r="V403" s="134" t="e">
        <f t="shared" si="88"/>
        <v>#REF!</v>
      </c>
      <c r="W403" s="134" t="e">
        <f t="shared" si="89"/>
        <v>#REF!</v>
      </c>
      <c r="X403" s="134" t="e">
        <f t="shared" si="90"/>
        <v>#REF!</v>
      </c>
    </row>
    <row r="404" spans="2:24" ht="15.75" thickBot="1" x14ac:dyDescent="0.3">
      <c r="B404" s="1244"/>
      <c r="C404" s="35" t="e">
        <f>'Combustão Móvel'!#REF!</f>
        <v>#REF!</v>
      </c>
      <c r="D404" s="145" t="e">
        <f>'Combustão Móvel'!#REF!</f>
        <v>#REF!</v>
      </c>
      <c r="E404" s="159" t="e">
        <f>'Combustão Móvel'!#REF!</f>
        <v>#REF!</v>
      </c>
      <c r="F404" s="150" t="e">
        <f t="shared" si="91"/>
        <v>#REF!</v>
      </c>
      <c r="G404" s="150" t="e">
        <f t="shared" si="92"/>
        <v>#REF!</v>
      </c>
      <c r="H404" s="150" t="e">
        <f t="shared" si="93"/>
        <v>#REF!</v>
      </c>
      <c r="I404" s="150" t="e">
        <f t="shared" si="94"/>
        <v>#REF!</v>
      </c>
      <c r="J404" s="150" t="e">
        <f t="shared" si="95"/>
        <v>#REF!</v>
      </c>
      <c r="K404" s="151" t="e">
        <f t="shared" si="96"/>
        <v>#REF!</v>
      </c>
      <c r="L404" s="64" t="e">
        <f>'Combustão Móvel'!#REF!</f>
        <v>#REF!</v>
      </c>
      <c r="M404" s="65" t="e">
        <f>'Combustão Móvel'!#REF!</f>
        <v>#REF!</v>
      </c>
      <c r="N404" s="150"/>
      <c r="O404" s="150" t="e">
        <f t="shared" si="83"/>
        <v>#REF!</v>
      </c>
      <c r="P404" s="150"/>
      <c r="Q404" s="150"/>
      <c r="R404" s="150" t="e">
        <f t="shared" si="84"/>
        <v>#REF!</v>
      </c>
      <c r="S404" s="150" t="e">
        <f t="shared" si="85"/>
        <v>#REF!</v>
      </c>
      <c r="T404" s="161" t="e">
        <f t="shared" si="86"/>
        <v>#REF!</v>
      </c>
      <c r="U404" s="161" t="e">
        <f t="shared" si="87"/>
        <v>#REF!</v>
      </c>
      <c r="V404" s="134" t="e">
        <f t="shared" si="88"/>
        <v>#REF!</v>
      </c>
      <c r="W404" s="134" t="e">
        <f t="shared" si="89"/>
        <v>#REF!</v>
      </c>
      <c r="X404" s="134" t="e">
        <f t="shared" si="90"/>
        <v>#REF!</v>
      </c>
    </row>
    <row r="405" spans="2:24" ht="15.75" thickBot="1" x14ac:dyDescent="0.3">
      <c r="B405" s="1244"/>
      <c r="C405" s="35" t="e">
        <f>'Combustão Móvel'!#REF!</f>
        <v>#REF!</v>
      </c>
      <c r="D405" s="145" t="e">
        <f>'Combustão Móvel'!#REF!</f>
        <v>#REF!</v>
      </c>
      <c r="E405" s="159" t="e">
        <f>'Combustão Móvel'!#REF!</f>
        <v>#REF!</v>
      </c>
      <c r="F405" s="150" t="e">
        <f t="shared" si="91"/>
        <v>#REF!</v>
      </c>
      <c r="G405" s="150" t="e">
        <f t="shared" si="92"/>
        <v>#REF!</v>
      </c>
      <c r="H405" s="150" t="e">
        <f t="shared" si="93"/>
        <v>#REF!</v>
      </c>
      <c r="I405" s="150" t="e">
        <f t="shared" si="94"/>
        <v>#REF!</v>
      </c>
      <c r="J405" s="150" t="e">
        <f t="shared" si="95"/>
        <v>#REF!</v>
      </c>
      <c r="K405" s="151" t="e">
        <f t="shared" si="96"/>
        <v>#REF!</v>
      </c>
      <c r="L405" s="64" t="e">
        <f>'Combustão Móvel'!#REF!</f>
        <v>#REF!</v>
      </c>
      <c r="M405" s="65" t="e">
        <f>'Combustão Móvel'!#REF!</f>
        <v>#REF!</v>
      </c>
      <c r="N405" s="150"/>
      <c r="O405" s="150" t="e">
        <f t="shared" si="83"/>
        <v>#REF!</v>
      </c>
      <c r="P405" s="150"/>
      <c r="Q405" s="150"/>
      <c r="R405" s="150" t="e">
        <f t="shared" si="84"/>
        <v>#REF!</v>
      </c>
      <c r="S405" s="150" t="e">
        <f t="shared" si="85"/>
        <v>#REF!</v>
      </c>
      <c r="T405" s="161" t="e">
        <f t="shared" si="86"/>
        <v>#REF!</v>
      </c>
      <c r="U405" s="161" t="e">
        <f t="shared" si="87"/>
        <v>#REF!</v>
      </c>
      <c r="V405" s="134" t="e">
        <f t="shared" si="88"/>
        <v>#REF!</v>
      </c>
      <c r="W405" s="134" t="e">
        <f t="shared" si="89"/>
        <v>#REF!</v>
      </c>
      <c r="X405" s="134" t="e">
        <f t="shared" si="90"/>
        <v>#REF!</v>
      </c>
    </row>
    <row r="406" spans="2:24" ht="15.75" thickBot="1" x14ac:dyDescent="0.3">
      <c r="B406" s="1244"/>
      <c r="C406" s="35" t="e">
        <f>'Combustão Móvel'!#REF!</f>
        <v>#REF!</v>
      </c>
      <c r="D406" s="145" t="e">
        <f>'Combustão Móvel'!#REF!</f>
        <v>#REF!</v>
      </c>
      <c r="E406" s="159" t="e">
        <f>'Combustão Móvel'!#REF!</f>
        <v>#REF!</v>
      </c>
      <c r="F406" s="150" t="e">
        <f t="shared" si="91"/>
        <v>#REF!</v>
      </c>
      <c r="G406" s="150" t="e">
        <f t="shared" si="92"/>
        <v>#REF!</v>
      </c>
      <c r="H406" s="150" t="e">
        <f t="shared" si="93"/>
        <v>#REF!</v>
      </c>
      <c r="I406" s="150" t="e">
        <f t="shared" si="94"/>
        <v>#REF!</v>
      </c>
      <c r="J406" s="150" t="e">
        <f t="shared" si="95"/>
        <v>#REF!</v>
      </c>
      <c r="K406" s="151" t="e">
        <f t="shared" si="96"/>
        <v>#REF!</v>
      </c>
      <c r="L406" s="64" t="e">
        <f>'Combustão Móvel'!#REF!</f>
        <v>#REF!</v>
      </c>
      <c r="M406" s="65" t="e">
        <f>'Combustão Móvel'!#REF!</f>
        <v>#REF!</v>
      </c>
      <c r="N406" s="150"/>
      <c r="O406" s="150" t="e">
        <f t="shared" si="83"/>
        <v>#REF!</v>
      </c>
      <c r="P406" s="150"/>
      <c r="Q406" s="150"/>
      <c r="R406" s="150" t="e">
        <f t="shared" si="84"/>
        <v>#REF!</v>
      </c>
      <c r="S406" s="150" t="e">
        <f t="shared" si="85"/>
        <v>#REF!</v>
      </c>
      <c r="T406" s="161" t="e">
        <f t="shared" si="86"/>
        <v>#REF!</v>
      </c>
      <c r="U406" s="161" t="e">
        <f t="shared" si="87"/>
        <v>#REF!</v>
      </c>
      <c r="V406" s="134" t="e">
        <f t="shared" si="88"/>
        <v>#REF!</v>
      </c>
      <c r="W406" s="134" t="e">
        <f t="shared" si="89"/>
        <v>#REF!</v>
      </c>
      <c r="X406" s="134" t="e">
        <f t="shared" si="90"/>
        <v>#REF!</v>
      </c>
    </row>
    <row r="407" spans="2:24" ht="15.75" thickBot="1" x14ac:dyDescent="0.3">
      <c r="B407" s="1244"/>
      <c r="C407" s="35" t="e">
        <f>'Combustão Móvel'!#REF!</f>
        <v>#REF!</v>
      </c>
      <c r="D407" s="145" t="e">
        <f>'Combustão Móvel'!#REF!</f>
        <v>#REF!</v>
      </c>
      <c r="E407" s="159" t="e">
        <f>'Combustão Móvel'!#REF!</f>
        <v>#REF!</v>
      </c>
      <c r="F407" s="150" t="e">
        <f t="shared" si="91"/>
        <v>#REF!</v>
      </c>
      <c r="G407" s="150" t="e">
        <f t="shared" si="92"/>
        <v>#REF!</v>
      </c>
      <c r="H407" s="150" t="e">
        <f t="shared" si="93"/>
        <v>#REF!</v>
      </c>
      <c r="I407" s="150" t="e">
        <f t="shared" si="94"/>
        <v>#REF!</v>
      </c>
      <c r="J407" s="150" t="e">
        <f t="shared" si="95"/>
        <v>#REF!</v>
      </c>
      <c r="K407" s="151" t="e">
        <f t="shared" si="96"/>
        <v>#REF!</v>
      </c>
      <c r="L407" s="64" t="e">
        <f>'Combustão Móvel'!#REF!</f>
        <v>#REF!</v>
      </c>
      <c r="M407" s="65" t="e">
        <f>'Combustão Móvel'!#REF!</f>
        <v>#REF!</v>
      </c>
      <c r="N407" s="150"/>
      <c r="O407" s="150" t="e">
        <f t="shared" si="83"/>
        <v>#REF!</v>
      </c>
      <c r="P407" s="150"/>
      <c r="Q407" s="150"/>
      <c r="R407" s="150" t="e">
        <f t="shared" si="84"/>
        <v>#REF!</v>
      </c>
      <c r="S407" s="150" t="e">
        <f t="shared" si="85"/>
        <v>#REF!</v>
      </c>
      <c r="T407" s="161" t="e">
        <f t="shared" si="86"/>
        <v>#REF!</v>
      </c>
      <c r="U407" s="161" t="e">
        <f t="shared" si="87"/>
        <v>#REF!</v>
      </c>
      <c r="V407" s="134" t="e">
        <f t="shared" si="88"/>
        <v>#REF!</v>
      </c>
      <c r="W407" s="134" t="e">
        <f t="shared" si="89"/>
        <v>#REF!</v>
      </c>
      <c r="X407" s="134" t="e">
        <f t="shared" si="90"/>
        <v>#REF!</v>
      </c>
    </row>
    <row r="408" spans="2:24" ht="15.75" thickBot="1" x14ac:dyDescent="0.3">
      <c r="B408" s="1244"/>
      <c r="C408" s="35" t="e">
        <f>'Combustão Móvel'!#REF!</f>
        <v>#REF!</v>
      </c>
      <c r="D408" s="145" t="e">
        <f>'Combustão Móvel'!#REF!</f>
        <v>#REF!</v>
      </c>
      <c r="E408" s="159" t="e">
        <f>'Combustão Móvel'!#REF!</f>
        <v>#REF!</v>
      </c>
      <c r="F408" s="150" t="e">
        <f t="shared" si="91"/>
        <v>#REF!</v>
      </c>
      <c r="G408" s="150" t="e">
        <f t="shared" si="92"/>
        <v>#REF!</v>
      </c>
      <c r="H408" s="150" t="e">
        <f t="shared" si="93"/>
        <v>#REF!</v>
      </c>
      <c r="I408" s="150" t="e">
        <f t="shared" si="94"/>
        <v>#REF!</v>
      </c>
      <c r="J408" s="150" t="e">
        <f t="shared" si="95"/>
        <v>#REF!</v>
      </c>
      <c r="K408" s="151" t="e">
        <f t="shared" si="96"/>
        <v>#REF!</v>
      </c>
      <c r="L408" s="64" t="e">
        <f>'Combustão Móvel'!#REF!</f>
        <v>#REF!</v>
      </c>
      <c r="M408" s="65" t="e">
        <f>'Combustão Móvel'!#REF!</f>
        <v>#REF!</v>
      </c>
      <c r="N408" s="150"/>
      <c r="O408" s="150" t="e">
        <f t="shared" si="83"/>
        <v>#REF!</v>
      </c>
      <c r="P408" s="150"/>
      <c r="Q408" s="150"/>
      <c r="R408" s="150" t="e">
        <f t="shared" si="84"/>
        <v>#REF!</v>
      </c>
      <c r="S408" s="150" t="e">
        <f t="shared" si="85"/>
        <v>#REF!</v>
      </c>
      <c r="T408" s="161" t="e">
        <f t="shared" si="86"/>
        <v>#REF!</v>
      </c>
      <c r="U408" s="161" t="e">
        <f t="shared" si="87"/>
        <v>#REF!</v>
      </c>
      <c r="V408" s="134" t="e">
        <f t="shared" si="88"/>
        <v>#REF!</v>
      </c>
      <c r="W408" s="134" t="e">
        <f t="shared" si="89"/>
        <v>#REF!</v>
      </c>
      <c r="X408" s="134" t="e">
        <f t="shared" si="90"/>
        <v>#REF!</v>
      </c>
    </row>
    <row r="409" spans="2:24" ht="15.75" thickBot="1" x14ac:dyDescent="0.3">
      <c r="B409" s="1244"/>
      <c r="C409" s="35" t="e">
        <f>'Combustão Móvel'!#REF!</f>
        <v>#REF!</v>
      </c>
      <c r="D409" s="145" t="e">
        <f>'Combustão Móvel'!#REF!</f>
        <v>#REF!</v>
      </c>
      <c r="E409" s="159" t="e">
        <f>'Combustão Móvel'!#REF!</f>
        <v>#REF!</v>
      </c>
      <c r="F409" s="150" t="e">
        <f t="shared" si="91"/>
        <v>#REF!</v>
      </c>
      <c r="G409" s="150" t="e">
        <f t="shared" si="92"/>
        <v>#REF!</v>
      </c>
      <c r="H409" s="150" t="e">
        <f t="shared" si="93"/>
        <v>#REF!</v>
      </c>
      <c r="I409" s="150" t="e">
        <f t="shared" si="94"/>
        <v>#REF!</v>
      </c>
      <c r="J409" s="150" t="e">
        <f t="shared" si="95"/>
        <v>#REF!</v>
      </c>
      <c r="K409" s="151" t="e">
        <f t="shared" si="96"/>
        <v>#REF!</v>
      </c>
      <c r="L409" s="64" t="e">
        <f>'Combustão Móvel'!#REF!</f>
        <v>#REF!</v>
      </c>
      <c r="M409" s="65" t="e">
        <f>'Combustão Móvel'!#REF!</f>
        <v>#REF!</v>
      </c>
      <c r="N409" s="150"/>
      <c r="O409" s="150" t="e">
        <f t="shared" si="83"/>
        <v>#REF!</v>
      </c>
      <c r="P409" s="150"/>
      <c r="Q409" s="150"/>
      <c r="R409" s="150" t="e">
        <f t="shared" si="84"/>
        <v>#REF!</v>
      </c>
      <c r="S409" s="150" t="e">
        <f t="shared" si="85"/>
        <v>#REF!</v>
      </c>
      <c r="T409" s="161" t="e">
        <f t="shared" si="86"/>
        <v>#REF!</v>
      </c>
      <c r="U409" s="161" t="e">
        <f t="shared" si="87"/>
        <v>#REF!</v>
      </c>
      <c r="V409" s="134" t="e">
        <f t="shared" si="88"/>
        <v>#REF!</v>
      </c>
      <c r="W409" s="134" t="e">
        <f t="shared" si="89"/>
        <v>#REF!</v>
      </c>
      <c r="X409" s="134" t="e">
        <f t="shared" si="90"/>
        <v>#REF!</v>
      </c>
    </row>
    <row r="410" spans="2:24" ht="15.75" thickBot="1" x14ac:dyDescent="0.3">
      <c r="B410" s="1244"/>
      <c r="C410" s="35" t="e">
        <f>'Combustão Móvel'!#REF!</f>
        <v>#REF!</v>
      </c>
      <c r="D410" s="145" t="e">
        <f>'Combustão Móvel'!#REF!</f>
        <v>#REF!</v>
      </c>
      <c r="E410" s="159" t="e">
        <f>'Combustão Móvel'!#REF!</f>
        <v>#REF!</v>
      </c>
      <c r="F410" s="150" t="e">
        <f t="shared" si="91"/>
        <v>#REF!</v>
      </c>
      <c r="G410" s="150" t="e">
        <f t="shared" si="92"/>
        <v>#REF!</v>
      </c>
      <c r="H410" s="150" t="e">
        <f t="shared" si="93"/>
        <v>#REF!</v>
      </c>
      <c r="I410" s="150" t="e">
        <f t="shared" si="94"/>
        <v>#REF!</v>
      </c>
      <c r="J410" s="150" t="e">
        <f t="shared" si="95"/>
        <v>#REF!</v>
      </c>
      <c r="K410" s="151" t="e">
        <f t="shared" si="96"/>
        <v>#REF!</v>
      </c>
      <c r="L410" s="64" t="e">
        <f>'Combustão Móvel'!#REF!</f>
        <v>#REF!</v>
      </c>
      <c r="M410" s="65" t="e">
        <f>'Combustão Móvel'!#REF!</f>
        <v>#REF!</v>
      </c>
      <c r="N410" s="150"/>
      <c r="O410" s="150" t="e">
        <f t="shared" si="83"/>
        <v>#REF!</v>
      </c>
      <c r="P410" s="150"/>
      <c r="Q410" s="150"/>
      <c r="R410" s="150" t="e">
        <f t="shared" si="84"/>
        <v>#REF!</v>
      </c>
      <c r="S410" s="150" t="e">
        <f t="shared" si="85"/>
        <v>#REF!</v>
      </c>
      <c r="T410" s="161" t="e">
        <f t="shared" si="86"/>
        <v>#REF!</v>
      </c>
      <c r="U410" s="161" t="e">
        <f t="shared" si="87"/>
        <v>#REF!</v>
      </c>
      <c r="V410" s="134" t="e">
        <f t="shared" si="88"/>
        <v>#REF!</v>
      </c>
      <c r="W410" s="134" t="e">
        <f t="shared" si="89"/>
        <v>#REF!</v>
      </c>
      <c r="X410" s="134" t="e">
        <f t="shared" si="90"/>
        <v>#REF!</v>
      </c>
    </row>
    <row r="411" spans="2:24" ht="15.75" thickBot="1" x14ac:dyDescent="0.3">
      <c r="B411" s="1244"/>
      <c r="C411" s="35" t="e">
        <f>'Combustão Móvel'!#REF!</f>
        <v>#REF!</v>
      </c>
      <c r="D411" s="145" t="e">
        <f>'Combustão Móvel'!#REF!</f>
        <v>#REF!</v>
      </c>
      <c r="E411" s="159" t="e">
        <f>'Combustão Móvel'!#REF!</f>
        <v>#REF!</v>
      </c>
      <c r="F411" s="150" t="e">
        <f t="shared" si="91"/>
        <v>#REF!</v>
      </c>
      <c r="G411" s="150" t="e">
        <f t="shared" si="92"/>
        <v>#REF!</v>
      </c>
      <c r="H411" s="150" t="e">
        <f t="shared" si="93"/>
        <v>#REF!</v>
      </c>
      <c r="I411" s="150" t="e">
        <f t="shared" si="94"/>
        <v>#REF!</v>
      </c>
      <c r="J411" s="150" t="e">
        <f t="shared" si="95"/>
        <v>#REF!</v>
      </c>
      <c r="K411" s="151" t="e">
        <f t="shared" si="96"/>
        <v>#REF!</v>
      </c>
      <c r="L411" s="64" t="e">
        <f>'Combustão Móvel'!#REF!</f>
        <v>#REF!</v>
      </c>
      <c r="M411" s="65" t="e">
        <f>'Combustão Móvel'!#REF!</f>
        <v>#REF!</v>
      </c>
      <c r="N411" s="150"/>
      <c r="O411" s="150" t="e">
        <f t="shared" si="83"/>
        <v>#REF!</v>
      </c>
      <c r="P411" s="150"/>
      <c r="Q411" s="150"/>
      <c r="R411" s="150" t="e">
        <f t="shared" si="84"/>
        <v>#REF!</v>
      </c>
      <c r="S411" s="150" t="e">
        <f t="shared" si="85"/>
        <v>#REF!</v>
      </c>
      <c r="T411" s="161" t="e">
        <f t="shared" si="86"/>
        <v>#REF!</v>
      </c>
      <c r="U411" s="161" t="e">
        <f t="shared" si="87"/>
        <v>#REF!</v>
      </c>
      <c r="V411" s="134" t="e">
        <f t="shared" si="88"/>
        <v>#REF!</v>
      </c>
      <c r="W411" s="134" t="e">
        <f t="shared" si="89"/>
        <v>#REF!</v>
      </c>
      <c r="X411" s="134" t="e">
        <f t="shared" si="90"/>
        <v>#REF!</v>
      </c>
    </row>
    <row r="412" spans="2:24" ht="15.75" thickBot="1" x14ac:dyDescent="0.3">
      <c r="B412" s="1244"/>
      <c r="C412" s="35" t="e">
        <f>'Combustão Móvel'!#REF!</f>
        <v>#REF!</v>
      </c>
      <c r="D412" s="145" t="e">
        <f>'Combustão Móvel'!#REF!</f>
        <v>#REF!</v>
      </c>
      <c r="E412" s="159" t="e">
        <f>'Combustão Móvel'!#REF!</f>
        <v>#REF!</v>
      </c>
      <c r="F412" s="150" t="e">
        <f t="shared" si="91"/>
        <v>#REF!</v>
      </c>
      <c r="G412" s="150" t="e">
        <f t="shared" si="92"/>
        <v>#REF!</v>
      </c>
      <c r="H412" s="150" t="e">
        <f t="shared" si="93"/>
        <v>#REF!</v>
      </c>
      <c r="I412" s="150" t="e">
        <f t="shared" si="94"/>
        <v>#REF!</v>
      </c>
      <c r="J412" s="150" t="e">
        <f t="shared" si="95"/>
        <v>#REF!</v>
      </c>
      <c r="K412" s="151" t="e">
        <f t="shared" si="96"/>
        <v>#REF!</v>
      </c>
      <c r="L412" s="64" t="e">
        <f>'Combustão Móvel'!#REF!</f>
        <v>#REF!</v>
      </c>
      <c r="M412" s="65" t="e">
        <f>'Combustão Móvel'!#REF!</f>
        <v>#REF!</v>
      </c>
      <c r="N412" s="150"/>
      <c r="O412" s="150" t="e">
        <f t="shared" si="83"/>
        <v>#REF!</v>
      </c>
      <c r="P412" s="150"/>
      <c r="Q412" s="150"/>
      <c r="R412" s="150" t="e">
        <f t="shared" si="84"/>
        <v>#REF!</v>
      </c>
      <c r="S412" s="150" t="e">
        <f t="shared" si="85"/>
        <v>#REF!</v>
      </c>
      <c r="T412" s="161" t="e">
        <f t="shared" si="86"/>
        <v>#REF!</v>
      </c>
      <c r="U412" s="161" t="e">
        <f t="shared" si="87"/>
        <v>#REF!</v>
      </c>
      <c r="V412" s="134" t="e">
        <f t="shared" si="88"/>
        <v>#REF!</v>
      </c>
      <c r="W412" s="134" t="e">
        <f t="shared" si="89"/>
        <v>#REF!</v>
      </c>
      <c r="X412" s="134" t="e">
        <f t="shared" si="90"/>
        <v>#REF!</v>
      </c>
    </row>
    <row r="413" spans="2:24" ht="15.75" thickBot="1" x14ac:dyDescent="0.3">
      <c r="B413" s="1244"/>
      <c r="C413" s="35" t="e">
        <f>'Combustão Móvel'!#REF!</f>
        <v>#REF!</v>
      </c>
      <c r="D413" s="145" t="e">
        <f>'Combustão Móvel'!#REF!</f>
        <v>#REF!</v>
      </c>
      <c r="E413" s="159" t="e">
        <f>'Combustão Móvel'!#REF!</f>
        <v>#REF!</v>
      </c>
      <c r="F413" s="150" t="e">
        <f t="shared" si="91"/>
        <v>#REF!</v>
      </c>
      <c r="G413" s="150" t="e">
        <f t="shared" si="92"/>
        <v>#REF!</v>
      </c>
      <c r="H413" s="150" t="e">
        <f t="shared" si="93"/>
        <v>#REF!</v>
      </c>
      <c r="I413" s="150" t="e">
        <f t="shared" si="94"/>
        <v>#REF!</v>
      </c>
      <c r="J413" s="150" t="e">
        <f t="shared" si="95"/>
        <v>#REF!</v>
      </c>
      <c r="K413" s="151" t="e">
        <f t="shared" si="96"/>
        <v>#REF!</v>
      </c>
      <c r="L413" s="64" t="e">
        <f>'Combustão Móvel'!#REF!</f>
        <v>#REF!</v>
      </c>
      <c r="M413" s="65" t="e">
        <f>'Combustão Móvel'!#REF!</f>
        <v>#REF!</v>
      </c>
      <c r="N413" s="150"/>
      <c r="O413" s="150" t="e">
        <f t="shared" si="83"/>
        <v>#REF!</v>
      </c>
      <c r="P413" s="150"/>
      <c r="Q413" s="150"/>
      <c r="R413" s="150" t="e">
        <f t="shared" si="84"/>
        <v>#REF!</v>
      </c>
      <c r="S413" s="150" t="e">
        <f t="shared" si="85"/>
        <v>#REF!</v>
      </c>
      <c r="T413" s="161" t="e">
        <f t="shared" si="86"/>
        <v>#REF!</v>
      </c>
      <c r="U413" s="161" t="e">
        <f t="shared" si="87"/>
        <v>#REF!</v>
      </c>
      <c r="V413" s="134" t="e">
        <f t="shared" si="88"/>
        <v>#REF!</v>
      </c>
      <c r="W413" s="134" t="e">
        <f t="shared" si="89"/>
        <v>#REF!</v>
      </c>
      <c r="X413" s="134" t="e">
        <f t="shared" si="90"/>
        <v>#REF!</v>
      </c>
    </row>
    <row r="414" spans="2:24" ht="15.75" thickBot="1" x14ac:dyDescent="0.3">
      <c r="B414" s="1244"/>
      <c r="C414" s="35" t="e">
        <f>'Combustão Móvel'!#REF!</f>
        <v>#REF!</v>
      </c>
      <c r="D414" s="145" t="e">
        <f>'Combustão Móvel'!#REF!</f>
        <v>#REF!</v>
      </c>
      <c r="E414" s="159" t="e">
        <f>'Combustão Móvel'!#REF!</f>
        <v>#REF!</v>
      </c>
      <c r="F414" s="150" t="e">
        <f t="shared" si="91"/>
        <v>#REF!</v>
      </c>
      <c r="G414" s="150" t="e">
        <f t="shared" si="92"/>
        <v>#REF!</v>
      </c>
      <c r="H414" s="150" t="e">
        <f t="shared" si="93"/>
        <v>#REF!</v>
      </c>
      <c r="I414" s="150" t="e">
        <f t="shared" si="94"/>
        <v>#REF!</v>
      </c>
      <c r="J414" s="150" t="e">
        <f t="shared" si="95"/>
        <v>#REF!</v>
      </c>
      <c r="K414" s="151" t="e">
        <f t="shared" si="96"/>
        <v>#REF!</v>
      </c>
      <c r="L414" s="64" t="e">
        <f>'Combustão Móvel'!#REF!</f>
        <v>#REF!</v>
      </c>
      <c r="M414" s="65" t="e">
        <f>'Combustão Móvel'!#REF!</f>
        <v>#REF!</v>
      </c>
      <c r="N414" s="150"/>
      <c r="O414" s="150" t="e">
        <f t="shared" si="83"/>
        <v>#REF!</v>
      </c>
      <c r="P414" s="150"/>
      <c r="Q414" s="150"/>
      <c r="R414" s="150" t="e">
        <f t="shared" si="84"/>
        <v>#REF!</v>
      </c>
      <c r="S414" s="150" t="e">
        <f t="shared" si="85"/>
        <v>#REF!</v>
      </c>
      <c r="T414" s="161" t="e">
        <f t="shared" si="86"/>
        <v>#REF!</v>
      </c>
      <c r="U414" s="161" t="e">
        <f t="shared" si="87"/>
        <v>#REF!</v>
      </c>
      <c r="V414" s="134" t="e">
        <f t="shared" si="88"/>
        <v>#REF!</v>
      </c>
      <c r="W414" s="134" t="e">
        <f t="shared" si="89"/>
        <v>#REF!</v>
      </c>
      <c r="X414" s="134" t="e">
        <f t="shared" si="90"/>
        <v>#REF!</v>
      </c>
    </row>
    <row r="415" spans="2:24" ht="15.75" thickBot="1" x14ac:dyDescent="0.3">
      <c r="B415" s="1244"/>
      <c r="C415" s="35" t="e">
        <f>'Combustão Móvel'!#REF!</f>
        <v>#REF!</v>
      </c>
      <c r="D415" s="145" t="e">
        <f>'Combustão Móvel'!#REF!</f>
        <v>#REF!</v>
      </c>
      <c r="E415" s="159" t="e">
        <f>'Combustão Móvel'!#REF!</f>
        <v>#REF!</v>
      </c>
      <c r="F415" s="150" t="e">
        <f t="shared" si="91"/>
        <v>#REF!</v>
      </c>
      <c r="G415" s="150" t="e">
        <f t="shared" si="92"/>
        <v>#REF!</v>
      </c>
      <c r="H415" s="150" t="e">
        <f t="shared" si="93"/>
        <v>#REF!</v>
      </c>
      <c r="I415" s="150" t="e">
        <f t="shared" si="94"/>
        <v>#REF!</v>
      </c>
      <c r="J415" s="150" t="e">
        <f t="shared" si="95"/>
        <v>#REF!</v>
      </c>
      <c r="K415" s="151" t="e">
        <f t="shared" si="96"/>
        <v>#REF!</v>
      </c>
      <c r="L415" s="64" t="e">
        <f>'Combustão Móvel'!#REF!</f>
        <v>#REF!</v>
      </c>
      <c r="M415" s="65" t="e">
        <f>'Combustão Móvel'!#REF!</f>
        <v>#REF!</v>
      </c>
      <c r="N415" s="150"/>
      <c r="O415" s="150" t="e">
        <f t="shared" si="83"/>
        <v>#REF!</v>
      </c>
      <c r="P415" s="150"/>
      <c r="Q415" s="150"/>
      <c r="R415" s="150" t="e">
        <f t="shared" si="84"/>
        <v>#REF!</v>
      </c>
      <c r="S415" s="150" t="e">
        <f t="shared" si="85"/>
        <v>#REF!</v>
      </c>
      <c r="T415" s="161" t="e">
        <f t="shared" si="86"/>
        <v>#REF!</v>
      </c>
      <c r="U415" s="161" t="e">
        <f t="shared" si="87"/>
        <v>#REF!</v>
      </c>
      <c r="V415" s="134" t="e">
        <f t="shared" si="88"/>
        <v>#REF!</v>
      </c>
      <c r="W415" s="134" t="e">
        <f t="shared" si="89"/>
        <v>#REF!</v>
      </c>
      <c r="X415" s="134" t="e">
        <f t="shared" si="90"/>
        <v>#REF!</v>
      </c>
    </row>
    <row r="416" spans="2:24" ht="15.75" thickBot="1" x14ac:dyDescent="0.3">
      <c r="B416" s="1244"/>
      <c r="C416" s="35" t="e">
        <f>'Combustão Móvel'!#REF!</f>
        <v>#REF!</v>
      </c>
      <c r="D416" s="145" t="e">
        <f>'Combustão Móvel'!#REF!</f>
        <v>#REF!</v>
      </c>
      <c r="E416" s="159" t="e">
        <f>'Combustão Móvel'!#REF!</f>
        <v>#REF!</v>
      </c>
      <c r="F416" s="150" t="e">
        <f t="shared" si="91"/>
        <v>#REF!</v>
      </c>
      <c r="G416" s="150" t="e">
        <f t="shared" si="92"/>
        <v>#REF!</v>
      </c>
      <c r="H416" s="150" t="e">
        <f t="shared" si="93"/>
        <v>#REF!</v>
      </c>
      <c r="I416" s="150" t="e">
        <f t="shared" si="94"/>
        <v>#REF!</v>
      </c>
      <c r="J416" s="150" t="e">
        <f t="shared" si="95"/>
        <v>#REF!</v>
      </c>
      <c r="K416" s="151" t="e">
        <f t="shared" si="96"/>
        <v>#REF!</v>
      </c>
      <c r="L416" s="64" t="e">
        <f>'Combustão Móvel'!#REF!</f>
        <v>#REF!</v>
      </c>
      <c r="M416" s="65" t="e">
        <f>'Combustão Móvel'!#REF!</f>
        <v>#REF!</v>
      </c>
      <c r="N416" s="150"/>
      <c r="O416" s="150" t="e">
        <f t="shared" si="83"/>
        <v>#REF!</v>
      </c>
      <c r="P416" s="150"/>
      <c r="Q416" s="150"/>
      <c r="R416" s="150" t="e">
        <f t="shared" si="84"/>
        <v>#REF!</v>
      </c>
      <c r="S416" s="150" t="e">
        <f t="shared" si="85"/>
        <v>#REF!</v>
      </c>
      <c r="T416" s="161" t="e">
        <f t="shared" si="86"/>
        <v>#REF!</v>
      </c>
      <c r="U416" s="161" t="e">
        <f t="shared" si="87"/>
        <v>#REF!</v>
      </c>
      <c r="V416" s="134" t="e">
        <f t="shared" si="88"/>
        <v>#REF!</v>
      </c>
      <c r="W416" s="134" t="e">
        <f t="shared" si="89"/>
        <v>#REF!</v>
      </c>
      <c r="X416" s="134" t="e">
        <f t="shared" si="90"/>
        <v>#REF!</v>
      </c>
    </row>
    <row r="417" spans="2:24" ht="15.75" thickBot="1" x14ac:dyDescent="0.3">
      <c r="B417" s="1244"/>
      <c r="C417" s="35" t="e">
        <f>'Combustão Móvel'!#REF!</f>
        <v>#REF!</v>
      </c>
      <c r="D417" s="145" t="e">
        <f>'Combustão Móvel'!#REF!</f>
        <v>#REF!</v>
      </c>
      <c r="E417" s="159" t="e">
        <f>'Combustão Móvel'!#REF!</f>
        <v>#REF!</v>
      </c>
      <c r="F417" s="150" t="e">
        <f t="shared" si="91"/>
        <v>#REF!</v>
      </c>
      <c r="G417" s="150" t="e">
        <f t="shared" si="92"/>
        <v>#REF!</v>
      </c>
      <c r="H417" s="150" t="e">
        <f t="shared" si="93"/>
        <v>#REF!</v>
      </c>
      <c r="I417" s="150" t="e">
        <f t="shared" si="94"/>
        <v>#REF!</v>
      </c>
      <c r="J417" s="150" t="e">
        <f t="shared" si="95"/>
        <v>#REF!</v>
      </c>
      <c r="K417" s="151" t="e">
        <f t="shared" si="96"/>
        <v>#REF!</v>
      </c>
      <c r="L417" s="64" t="e">
        <f>'Combustão Móvel'!#REF!</f>
        <v>#REF!</v>
      </c>
      <c r="M417" s="65" t="e">
        <f>'Combustão Móvel'!#REF!</f>
        <v>#REF!</v>
      </c>
      <c r="N417" s="150"/>
      <c r="O417" s="150" t="e">
        <f t="shared" si="83"/>
        <v>#REF!</v>
      </c>
      <c r="P417" s="150"/>
      <c r="Q417" s="150"/>
      <c r="R417" s="150" t="e">
        <f t="shared" si="84"/>
        <v>#REF!</v>
      </c>
      <c r="S417" s="150" t="e">
        <f t="shared" si="85"/>
        <v>#REF!</v>
      </c>
      <c r="T417" s="161" t="e">
        <f t="shared" si="86"/>
        <v>#REF!</v>
      </c>
      <c r="U417" s="161" t="e">
        <f t="shared" si="87"/>
        <v>#REF!</v>
      </c>
      <c r="V417" s="134" t="e">
        <f t="shared" si="88"/>
        <v>#REF!</v>
      </c>
      <c r="W417" s="134" t="e">
        <f t="shared" si="89"/>
        <v>#REF!</v>
      </c>
      <c r="X417" s="134" t="e">
        <f t="shared" si="90"/>
        <v>#REF!</v>
      </c>
    </row>
    <row r="418" spans="2:24" ht="15.75" thickBot="1" x14ac:dyDescent="0.3">
      <c r="B418" s="1244"/>
      <c r="C418" s="35" t="e">
        <f>'Combustão Móvel'!#REF!</f>
        <v>#REF!</v>
      </c>
      <c r="D418" s="145" t="e">
        <f>'Combustão Móvel'!#REF!</f>
        <v>#REF!</v>
      </c>
      <c r="E418" s="159" t="e">
        <f>'Combustão Móvel'!#REF!</f>
        <v>#REF!</v>
      </c>
      <c r="F418" s="150" t="e">
        <f t="shared" si="91"/>
        <v>#REF!</v>
      </c>
      <c r="G418" s="150" t="e">
        <f t="shared" si="92"/>
        <v>#REF!</v>
      </c>
      <c r="H418" s="150" t="e">
        <f t="shared" si="93"/>
        <v>#REF!</v>
      </c>
      <c r="I418" s="150" t="e">
        <f t="shared" si="94"/>
        <v>#REF!</v>
      </c>
      <c r="J418" s="150" t="e">
        <f t="shared" si="95"/>
        <v>#REF!</v>
      </c>
      <c r="K418" s="151" t="e">
        <f t="shared" si="96"/>
        <v>#REF!</v>
      </c>
      <c r="L418" s="64" t="e">
        <f>'Combustão Móvel'!#REF!</f>
        <v>#REF!</v>
      </c>
      <c r="M418" s="65" t="e">
        <f>'Combustão Móvel'!#REF!</f>
        <v>#REF!</v>
      </c>
      <c r="N418" s="150"/>
      <c r="O418" s="150" t="e">
        <f t="shared" ref="O418:O432" si="97">IF($M418=$O$31,IF($L418=$B$26,$D418,0),0)</f>
        <v>#REF!</v>
      </c>
      <c r="P418" s="150"/>
      <c r="Q418" s="150"/>
      <c r="R418" s="150" t="e">
        <f t="shared" ref="R418:R432" si="98">IF($M418=$R$31,IF($L418=$B$26,$D418,0),0)</f>
        <v>#REF!</v>
      </c>
      <c r="S418" s="150" t="e">
        <f t="shared" ref="S418:S432" si="99">IF($M418=$S$31,IF($L418=$B$26,$D418,0),0)</f>
        <v>#REF!</v>
      </c>
      <c r="T418" s="161" t="e">
        <f t="shared" ref="T418:T432" si="100">IF($L418=$T$32,$D418,0)</f>
        <v>#REF!</v>
      </c>
      <c r="U418" s="161" t="e">
        <f t="shared" ref="U418:U432" si="101">IF($L418=$U$32,$D418,0)</f>
        <v>#REF!</v>
      </c>
      <c r="V418" s="134" t="e">
        <f t="shared" si="88"/>
        <v>#REF!</v>
      </c>
      <c r="W418" s="134" t="e">
        <f t="shared" si="89"/>
        <v>#REF!</v>
      </c>
      <c r="X418" s="134" t="e">
        <f t="shared" si="90"/>
        <v>#REF!</v>
      </c>
    </row>
    <row r="419" spans="2:24" ht="15.75" thickBot="1" x14ac:dyDescent="0.3">
      <c r="B419" s="1244"/>
      <c r="C419" s="35" t="e">
        <f>'Combustão Móvel'!#REF!</f>
        <v>#REF!</v>
      </c>
      <c r="D419" s="145" t="e">
        <f>'Combustão Móvel'!#REF!</f>
        <v>#REF!</v>
      </c>
      <c r="E419" s="159" t="e">
        <f>'Combustão Móvel'!#REF!</f>
        <v>#REF!</v>
      </c>
      <c r="F419" s="150" t="e">
        <f t="shared" si="91"/>
        <v>#REF!</v>
      </c>
      <c r="G419" s="150" t="e">
        <f t="shared" si="92"/>
        <v>#REF!</v>
      </c>
      <c r="H419" s="150" t="e">
        <f t="shared" si="93"/>
        <v>#REF!</v>
      </c>
      <c r="I419" s="150" t="e">
        <f t="shared" si="94"/>
        <v>#REF!</v>
      </c>
      <c r="J419" s="150" t="e">
        <f t="shared" si="95"/>
        <v>#REF!</v>
      </c>
      <c r="K419" s="151" t="e">
        <f t="shared" si="96"/>
        <v>#REF!</v>
      </c>
      <c r="L419" s="64" t="e">
        <f>'Combustão Móvel'!#REF!</f>
        <v>#REF!</v>
      </c>
      <c r="M419" s="65" t="e">
        <f>'Combustão Móvel'!#REF!</f>
        <v>#REF!</v>
      </c>
      <c r="N419" s="150"/>
      <c r="O419" s="150" t="e">
        <f t="shared" si="97"/>
        <v>#REF!</v>
      </c>
      <c r="P419" s="150"/>
      <c r="Q419" s="150"/>
      <c r="R419" s="150" t="e">
        <f t="shared" si="98"/>
        <v>#REF!</v>
      </c>
      <c r="S419" s="150" t="e">
        <f t="shared" si="99"/>
        <v>#REF!</v>
      </c>
      <c r="T419" s="161" t="e">
        <f t="shared" si="100"/>
        <v>#REF!</v>
      </c>
      <c r="U419" s="161" t="e">
        <f t="shared" si="101"/>
        <v>#REF!</v>
      </c>
      <c r="V419" s="134" t="e">
        <f t="shared" si="88"/>
        <v>#REF!</v>
      </c>
      <c r="W419" s="134" t="e">
        <f t="shared" si="89"/>
        <v>#REF!</v>
      </c>
      <c r="X419" s="134" t="e">
        <f t="shared" si="90"/>
        <v>#REF!</v>
      </c>
    </row>
    <row r="420" spans="2:24" ht="15.75" thickBot="1" x14ac:dyDescent="0.3">
      <c r="B420" s="1244"/>
      <c r="C420" s="35" t="e">
        <f>'Combustão Móvel'!#REF!</f>
        <v>#REF!</v>
      </c>
      <c r="D420" s="145" t="e">
        <f>'Combustão Móvel'!#REF!</f>
        <v>#REF!</v>
      </c>
      <c r="E420" s="159" t="e">
        <f>'Combustão Móvel'!#REF!</f>
        <v>#REF!</v>
      </c>
      <c r="F420" s="150" t="e">
        <f t="shared" si="91"/>
        <v>#REF!</v>
      </c>
      <c r="G420" s="150" t="e">
        <f t="shared" si="92"/>
        <v>#REF!</v>
      </c>
      <c r="H420" s="150" t="e">
        <f t="shared" si="93"/>
        <v>#REF!</v>
      </c>
      <c r="I420" s="150" t="e">
        <f t="shared" si="94"/>
        <v>#REF!</v>
      </c>
      <c r="J420" s="150" t="e">
        <f t="shared" si="95"/>
        <v>#REF!</v>
      </c>
      <c r="K420" s="151" t="e">
        <f t="shared" si="96"/>
        <v>#REF!</v>
      </c>
      <c r="L420" s="64" t="e">
        <f>'Combustão Móvel'!#REF!</f>
        <v>#REF!</v>
      </c>
      <c r="M420" s="65" t="e">
        <f>'Combustão Móvel'!#REF!</f>
        <v>#REF!</v>
      </c>
      <c r="N420" s="150"/>
      <c r="O420" s="150" t="e">
        <f t="shared" si="97"/>
        <v>#REF!</v>
      </c>
      <c r="P420" s="150"/>
      <c r="Q420" s="150"/>
      <c r="R420" s="150" t="e">
        <f t="shared" si="98"/>
        <v>#REF!</v>
      </c>
      <c r="S420" s="150" t="e">
        <f t="shared" si="99"/>
        <v>#REF!</v>
      </c>
      <c r="T420" s="161" t="e">
        <f t="shared" si="100"/>
        <v>#REF!</v>
      </c>
      <c r="U420" s="161" t="e">
        <f t="shared" si="101"/>
        <v>#REF!</v>
      </c>
      <c r="V420" s="134" t="e">
        <f t="shared" si="88"/>
        <v>#REF!</v>
      </c>
      <c r="W420" s="134" t="e">
        <f t="shared" si="89"/>
        <v>#REF!</v>
      </c>
      <c r="X420" s="134" t="e">
        <f t="shared" si="90"/>
        <v>#REF!</v>
      </c>
    </row>
    <row r="421" spans="2:24" ht="15.75" thickBot="1" x14ac:dyDescent="0.3">
      <c r="B421" s="1244"/>
      <c r="C421" s="35" t="e">
        <f>'Combustão Móvel'!#REF!</f>
        <v>#REF!</v>
      </c>
      <c r="D421" s="145" t="e">
        <f>'Combustão Móvel'!#REF!</f>
        <v>#REF!</v>
      </c>
      <c r="E421" s="159" t="e">
        <f>'Combustão Móvel'!#REF!</f>
        <v>#REF!</v>
      </c>
      <c r="F421" s="150" t="e">
        <f t="shared" si="91"/>
        <v>#REF!</v>
      </c>
      <c r="G421" s="150" t="e">
        <f t="shared" si="92"/>
        <v>#REF!</v>
      </c>
      <c r="H421" s="150" t="e">
        <f t="shared" si="93"/>
        <v>#REF!</v>
      </c>
      <c r="I421" s="150" t="e">
        <f t="shared" si="94"/>
        <v>#REF!</v>
      </c>
      <c r="J421" s="150" t="e">
        <f t="shared" si="95"/>
        <v>#REF!</v>
      </c>
      <c r="K421" s="151" t="e">
        <f t="shared" si="96"/>
        <v>#REF!</v>
      </c>
      <c r="L421" s="64" t="e">
        <f>'Combustão Móvel'!#REF!</f>
        <v>#REF!</v>
      </c>
      <c r="M421" s="65" t="e">
        <f>'Combustão Móvel'!#REF!</f>
        <v>#REF!</v>
      </c>
      <c r="N421" s="150"/>
      <c r="O421" s="150" t="e">
        <f t="shared" si="97"/>
        <v>#REF!</v>
      </c>
      <c r="P421" s="150"/>
      <c r="Q421" s="150"/>
      <c r="R421" s="150" t="e">
        <f t="shared" si="98"/>
        <v>#REF!</v>
      </c>
      <c r="S421" s="150" t="e">
        <f t="shared" si="99"/>
        <v>#REF!</v>
      </c>
      <c r="T421" s="161" t="e">
        <f t="shared" si="100"/>
        <v>#REF!</v>
      </c>
      <c r="U421" s="161" t="e">
        <f t="shared" si="101"/>
        <v>#REF!</v>
      </c>
      <c r="V421" s="134" t="e">
        <f t="shared" ref="V421:V432" si="102">IF($L421="Não",F421,"")</f>
        <v>#REF!</v>
      </c>
      <c r="W421" s="134" t="e">
        <f t="shared" ref="W421:W432" si="103">IF($L421="Não",G421,"")</f>
        <v>#REF!</v>
      </c>
      <c r="X421" s="134" t="e">
        <f t="shared" ref="X421:X432" si="104">IF($L421="Não",H421,"")</f>
        <v>#REF!</v>
      </c>
    </row>
    <row r="422" spans="2:24" ht="15.75" thickBot="1" x14ac:dyDescent="0.3">
      <c r="B422" s="1244"/>
      <c r="C422" s="35" t="e">
        <f>'Combustão Móvel'!#REF!</f>
        <v>#REF!</v>
      </c>
      <c r="D422" s="145" t="e">
        <f>'Combustão Móvel'!#REF!</f>
        <v>#REF!</v>
      </c>
      <c r="E422" s="159" t="e">
        <f>'Combustão Móvel'!#REF!</f>
        <v>#REF!</v>
      </c>
      <c r="F422" s="150" t="e">
        <f t="shared" si="91"/>
        <v>#REF!</v>
      </c>
      <c r="G422" s="150" t="e">
        <f t="shared" si="92"/>
        <v>#REF!</v>
      </c>
      <c r="H422" s="150" t="e">
        <f t="shared" si="93"/>
        <v>#REF!</v>
      </c>
      <c r="I422" s="150" t="e">
        <f t="shared" si="94"/>
        <v>#REF!</v>
      </c>
      <c r="J422" s="150" t="e">
        <f t="shared" si="95"/>
        <v>#REF!</v>
      </c>
      <c r="K422" s="151" t="e">
        <f t="shared" si="96"/>
        <v>#REF!</v>
      </c>
      <c r="L422" s="64" t="e">
        <f>'Combustão Móvel'!#REF!</f>
        <v>#REF!</v>
      </c>
      <c r="M422" s="65" t="e">
        <f>'Combustão Móvel'!#REF!</f>
        <v>#REF!</v>
      </c>
      <c r="N422" s="150"/>
      <c r="O422" s="150" t="e">
        <f t="shared" si="97"/>
        <v>#REF!</v>
      </c>
      <c r="P422" s="150"/>
      <c r="Q422" s="150"/>
      <c r="R422" s="150" t="e">
        <f t="shared" si="98"/>
        <v>#REF!</v>
      </c>
      <c r="S422" s="150" t="e">
        <f t="shared" si="99"/>
        <v>#REF!</v>
      </c>
      <c r="T422" s="161" t="e">
        <f t="shared" si="100"/>
        <v>#REF!</v>
      </c>
      <c r="U422" s="161" t="e">
        <f t="shared" si="101"/>
        <v>#REF!</v>
      </c>
      <c r="V422" s="134" t="e">
        <f t="shared" si="102"/>
        <v>#REF!</v>
      </c>
      <c r="W422" s="134" t="e">
        <f t="shared" si="103"/>
        <v>#REF!</v>
      </c>
      <c r="X422" s="134" t="e">
        <f t="shared" si="104"/>
        <v>#REF!</v>
      </c>
    </row>
    <row r="423" spans="2:24" ht="15.75" thickBot="1" x14ac:dyDescent="0.3">
      <c r="B423" s="1244"/>
      <c r="C423" s="35" t="e">
        <f>'Combustão Móvel'!#REF!</f>
        <v>#REF!</v>
      </c>
      <c r="D423" s="145" t="e">
        <f>'Combustão Móvel'!#REF!</f>
        <v>#REF!</v>
      </c>
      <c r="E423" s="159" t="e">
        <f>'Combustão Móvel'!#REF!</f>
        <v>#REF!</v>
      </c>
      <c r="F423" s="150" t="e">
        <f t="shared" si="91"/>
        <v>#REF!</v>
      </c>
      <c r="G423" s="150" t="e">
        <f t="shared" si="92"/>
        <v>#REF!</v>
      </c>
      <c r="H423" s="150" t="e">
        <f t="shared" si="93"/>
        <v>#REF!</v>
      </c>
      <c r="I423" s="150" t="e">
        <f t="shared" si="94"/>
        <v>#REF!</v>
      </c>
      <c r="J423" s="150" t="e">
        <f t="shared" si="95"/>
        <v>#REF!</v>
      </c>
      <c r="K423" s="151" t="e">
        <f t="shared" si="96"/>
        <v>#REF!</v>
      </c>
      <c r="L423" s="64" t="e">
        <f>'Combustão Móvel'!#REF!</f>
        <v>#REF!</v>
      </c>
      <c r="M423" s="65" t="e">
        <f>'Combustão Móvel'!#REF!</f>
        <v>#REF!</v>
      </c>
      <c r="N423" s="150"/>
      <c r="O423" s="150" t="e">
        <f t="shared" si="97"/>
        <v>#REF!</v>
      </c>
      <c r="P423" s="150"/>
      <c r="Q423" s="150"/>
      <c r="R423" s="150" t="e">
        <f t="shared" si="98"/>
        <v>#REF!</v>
      </c>
      <c r="S423" s="150" t="e">
        <f t="shared" si="99"/>
        <v>#REF!</v>
      </c>
      <c r="T423" s="161" t="e">
        <f t="shared" si="100"/>
        <v>#REF!</v>
      </c>
      <c r="U423" s="161" t="e">
        <f t="shared" si="101"/>
        <v>#REF!</v>
      </c>
      <c r="V423" s="134" t="e">
        <f t="shared" si="102"/>
        <v>#REF!</v>
      </c>
      <c r="W423" s="134" t="e">
        <f t="shared" si="103"/>
        <v>#REF!</v>
      </c>
      <c r="X423" s="134" t="e">
        <f t="shared" si="104"/>
        <v>#REF!</v>
      </c>
    </row>
    <row r="424" spans="2:24" ht="15.75" thickBot="1" x14ac:dyDescent="0.3">
      <c r="B424" s="1244"/>
      <c r="C424" s="35" t="e">
        <f>'Combustão Móvel'!#REF!</f>
        <v>#REF!</v>
      </c>
      <c r="D424" s="145" t="e">
        <f>'Combustão Móvel'!#REF!</f>
        <v>#REF!</v>
      </c>
      <c r="E424" s="159" t="e">
        <f>'Combustão Móvel'!#REF!</f>
        <v>#REF!</v>
      </c>
      <c r="F424" s="150" t="e">
        <f t="shared" si="91"/>
        <v>#REF!</v>
      </c>
      <c r="G424" s="150" t="e">
        <f t="shared" si="92"/>
        <v>#REF!</v>
      </c>
      <c r="H424" s="150" t="e">
        <f t="shared" si="93"/>
        <v>#REF!</v>
      </c>
      <c r="I424" s="150" t="e">
        <f t="shared" si="94"/>
        <v>#REF!</v>
      </c>
      <c r="J424" s="150" t="e">
        <f t="shared" si="95"/>
        <v>#REF!</v>
      </c>
      <c r="K424" s="151" t="e">
        <f t="shared" si="96"/>
        <v>#REF!</v>
      </c>
      <c r="L424" s="64" t="e">
        <f>'Combustão Móvel'!#REF!</f>
        <v>#REF!</v>
      </c>
      <c r="M424" s="65" t="e">
        <f>'Combustão Móvel'!#REF!</f>
        <v>#REF!</v>
      </c>
      <c r="N424" s="150"/>
      <c r="O424" s="150" t="e">
        <f t="shared" si="97"/>
        <v>#REF!</v>
      </c>
      <c r="P424" s="150"/>
      <c r="Q424" s="150"/>
      <c r="R424" s="150" t="e">
        <f t="shared" si="98"/>
        <v>#REF!</v>
      </c>
      <c r="S424" s="150" t="e">
        <f t="shared" si="99"/>
        <v>#REF!</v>
      </c>
      <c r="T424" s="161" t="e">
        <f t="shared" si="100"/>
        <v>#REF!</v>
      </c>
      <c r="U424" s="161" t="e">
        <f t="shared" si="101"/>
        <v>#REF!</v>
      </c>
      <c r="V424" s="134" t="e">
        <f t="shared" si="102"/>
        <v>#REF!</v>
      </c>
      <c r="W424" s="134" t="e">
        <f t="shared" si="103"/>
        <v>#REF!</v>
      </c>
      <c r="X424" s="134" t="e">
        <f t="shared" si="104"/>
        <v>#REF!</v>
      </c>
    </row>
    <row r="425" spans="2:24" ht="15.75" thickBot="1" x14ac:dyDescent="0.3">
      <c r="B425" s="1244"/>
      <c r="C425" s="35" t="e">
        <f>'Combustão Móvel'!#REF!</f>
        <v>#REF!</v>
      </c>
      <c r="D425" s="145" t="e">
        <f>'Combustão Móvel'!#REF!</f>
        <v>#REF!</v>
      </c>
      <c r="E425" s="159" t="e">
        <f>'Combustão Móvel'!#REF!</f>
        <v>#REF!</v>
      </c>
      <c r="F425" s="150" t="e">
        <f t="shared" si="91"/>
        <v>#REF!</v>
      </c>
      <c r="G425" s="150" t="e">
        <f t="shared" si="92"/>
        <v>#REF!</v>
      </c>
      <c r="H425" s="150" t="e">
        <f t="shared" si="93"/>
        <v>#REF!</v>
      </c>
      <c r="I425" s="150" t="e">
        <f t="shared" si="94"/>
        <v>#REF!</v>
      </c>
      <c r="J425" s="150" t="e">
        <f t="shared" si="95"/>
        <v>#REF!</v>
      </c>
      <c r="K425" s="151" t="e">
        <f t="shared" si="96"/>
        <v>#REF!</v>
      </c>
      <c r="L425" s="64" t="e">
        <f>'Combustão Móvel'!#REF!</f>
        <v>#REF!</v>
      </c>
      <c r="M425" s="65" t="e">
        <f>'Combustão Móvel'!#REF!</f>
        <v>#REF!</v>
      </c>
      <c r="N425" s="150"/>
      <c r="O425" s="150" t="e">
        <f t="shared" si="97"/>
        <v>#REF!</v>
      </c>
      <c r="P425" s="150"/>
      <c r="Q425" s="150"/>
      <c r="R425" s="150" t="e">
        <f t="shared" si="98"/>
        <v>#REF!</v>
      </c>
      <c r="S425" s="150" t="e">
        <f t="shared" si="99"/>
        <v>#REF!</v>
      </c>
      <c r="T425" s="161" t="e">
        <f t="shared" si="100"/>
        <v>#REF!</v>
      </c>
      <c r="U425" s="161" t="e">
        <f t="shared" si="101"/>
        <v>#REF!</v>
      </c>
      <c r="V425" s="134" t="e">
        <f t="shared" si="102"/>
        <v>#REF!</v>
      </c>
      <c r="W425" s="134" t="e">
        <f t="shared" si="103"/>
        <v>#REF!</v>
      </c>
      <c r="X425" s="134" t="e">
        <f t="shared" si="104"/>
        <v>#REF!</v>
      </c>
    </row>
    <row r="426" spans="2:24" ht="15.75" thickBot="1" x14ac:dyDescent="0.3">
      <c r="B426" s="1244"/>
      <c r="C426" s="35" t="e">
        <f>'Combustão Móvel'!#REF!</f>
        <v>#REF!</v>
      </c>
      <c r="D426" s="145" t="e">
        <f>'Combustão Móvel'!#REF!</f>
        <v>#REF!</v>
      </c>
      <c r="E426" s="159" t="e">
        <f>'Combustão Móvel'!#REF!</f>
        <v>#REF!</v>
      </c>
      <c r="F426" s="150" t="e">
        <f t="shared" si="91"/>
        <v>#REF!</v>
      </c>
      <c r="G426" s="150" t="e">
        <f t="shared" si="92"/>
        <v>#REF!</v>
      </c>
      <c r="H426" s="150" t="e">
        <f t="shared" si="93"/>
        <v>#REF!</v>
      </c>
      <c r="I426" s="150" t="e">
        <f t="shared" si="94"/>
        <v>#REF!</v>
      </c>
      <c r="J426" s="150" t="e">
        <f t="shared" si="95"/>
        <v>#REF!</v>
      </c>
      <c r="K426" s="151" t="e">
        <f t="shared" si="96"/>
        <v>#REF!</v>
      </c>
      <c r="L426" s="64" t="e">
        <f>'Combustão Móvel'!#REF!</f>
        <v>#REF!</v>
      </c>
      <c r="M426" s="65" t="e">
        <f>'Combustão Móvel'!#REF!</f>
        <v>#REF!</v>
      </c>
      <c r="N426" s="150"/>
      <c r="O426" s="150" t="e">
        <f t="shared" si="97"/>
        <v>#REF!</v>
      </c>
      <c r="P426" s="150"/>
      <c r="Q426" s="150"/>
      <c r="R426" s="150" t="e">
        <f t="shared" si="98"/>
        <v>#REF!</v>
      </c>
      <c r="S426" s="150" t="e">
        <f t="shared" si="99"/>
        <v>#REF!</v>
      </c>
      <c r="T426" s="161" t="e">
        <f t="shared" si="100"/>
        <v>#REF!</v>
      </c>
      <c r="U426" s="161" t="e">
        <f t="shared" si="101"/>
        <v>#REF!</v>
      </c>
      <c r="V426" s="134" t="e">
        <f t="shared" si="102"/>
        <v>#REF!</v>
      </c>
      <c r="W426" s="134" t="e">
        <f t="shared" si="103"/>
        <v>#REF!</v>
      </c>
      <c r="X426" s="134" t="e">
        <f t="shared" si="104"/>
        <v>#REF!</v>
      </c>
    </row>
    <row r="427" spans="2:24" ht="15.75" thickBot="1" x14ac:dyDescent="0.3">
      <c r="B427" s="1244"/>
      <c r="C427" s="35" t="e">
        <f>'Combustão Móvel'!#REF!</f>
        <v>#REF!</v>
      </c>
      <c r="D427" s="145" t="e">
        <f>'Combustão Móvel'!#REF!</f>
        <v>#REF!</v>
      </c>
      <c r="E427" s="159" t="e">
        <f>'Combustão Móvel'!#REF!</f>
        <v>#REF!</v>
      </c>
      <c r="F427" s="150" t="e">
        <f t="shared" si="91"/>
        <v>#REF!</v>
      </c>
      <c r="G427" s="150" t="e">
        <f t="shared" si="92"/>
        <v>#REF!</v>
      </c>
      <c r="H427" s="150" t="e">
        <f t="shared" si="93"/>
        <v>#REF!</v>
      </c>
      <c r="I427" s="150" t="e">
        <f t="shared" si="94"/>
        <v>#REF!</v>
      </c>
      <c r="J427" s="150" t="e">
        <f t="shared" si="95"/>
        <v>#REF!</v>
      </c>
      <c r="K427" s="151" t="e">
        <f t="shared" si="96"/>
        <v>#REF!</v>
      </c>
      <c r="L427" s="64" t="e">
        <f>'Combustão Móvel'!#REF!</f>
        <v>#REF!</v>
      </c>
      <c r="M427" s="65" t="e">
        <f>'Combustão Móvel'!#REF!</f>
        <v>#REF!</v>
      </c>
      <c r="N427" s="150"/>
      <c r="O427" s="150" t="e">
        <f t="shared" si="97"/>
        <v>#REF!</v>
      </c>
      <c r="P427" s="150"/>
      <c r="Q427" s="150"/>
      <c r="R427" s="150" t="e">
        <f t="shared" si="98"/>
        <v>#REF!</v>
      </c>
      <c r="S427" s="150" t="e">
        <f t="shared" si="99"/>
        <v>#REF!</v>
      </c>
      <c r="T427" s="161" t="e">
        <f t="shared" si="100"/>
        <v>#REF!</v>
      </c>
      <c r="U427" s="161" t="e">
        <f t="shared" si="101"/>
        <v>#REF!</v>
      </c>
      <c r="V427" s="134" t="e">
        <f t="shared" si="102"/>
        <v>#REF!</v>
      </c>
      <c r="W427" s="134" t="e">
        <f t="shared" si="103"/>
        <v>#REF!</v>
      </c>
      <c r="X427" s="134" t="e">
        <f t="shared" si="104"/>
        <v>#REF!</v>
      </c>
    </row>
    <row r="428" spans="2:24" ht="15.75" thickBot="1" x14ac:dyDescent="0.3">
      <c r="B428" s="1244"/>
      <c r="C428" s="35" t="e">
        <f>'Combustão Móvel'!#REF!</f>
        <v>#REF!</v>
      </c>
      <c r="D428" s="145" t="e">
        <f>'Combustão Móvel'!#REF!</f>
        <v>#REF!</v>
      </c>
      <c r="E428" s="159" t="e">
        <f>'Combustão Móvel'!#REF!</f>
        <v>#REF!</v>
      </c>
      <c r="F428" s="150" t="e">
        <f>IF(C428=$F$32,D428,0)</f>
        <v>#REF!</v>
      </c>
      <c r="G428" s="150" t="e">
        <f t="shared" si="92"/>
        <v>#REF!</v>
      </c>
      <c r="H428" s="150" t="e">
        <f t="shared" si="93"/>
        <v>#REF!</v>
      </c>
      <c r="I428" s="150" t="e">
        <f t="shared" si="94"/>
        <v>#REF!</v>
      </c>
      <c r="J428" s="150" t="e">
        <f t="shared" si="95"/>
        <v>#REF!</v>
      </c>
      <c r="K428" s="151" t="e">
        <f t="shared" si="96"/>
        <v>#REF!</v>
      </c>
      <c r="L428" s="64" t="e">
        <f>'Combustão Móvel'!#REF!</f>
        <v>#REF!</v>
      </c>
      <c r="M428" s="65" t="e">
        <f>'Combustão Móvel'!#REF!</f>
        <v>#REF!</v>
      </c>
      <c r="N428" s="150"/>
      <c r="O428" s="150" t="e">
        <f t="shared" si="97"/>
        <v>#REF!</v>
      </c>
      <c r="P428" s="150"/>
      <c r="Q428" s="150"/>
      <c r="R428" s="150" t="e">
        <f t="shared" si="98"/>
        <v>#REF!</v>
      </c>
      <c r="S428" s="150" t="e">
        <f t="shared" si="99"/>
        <v>#REF!</v>
      </c>
      <c r="T428" s="161" t="e">
        <f t="shared" si="100"/>
        <v>#REF!</v>
      </c>
      <c r="U428" s="161" t="e">
        <f t="shared" si="101"/>
        <v>#REF!</v>
      </c>
      <c r="V428" s="134" t="e">
        <f t="shared" si="102"/>
        <v>#REF!</v>
      </c>
      <c r="W428" s="134" t="e">
        <f t="shared" si="103"/>
        <v>#REF!</v>
      </c>
      <c r="X428" s="134" t="e">
        <f t="shared" si="104"/>
        <v>#REF!</v>
      </c>
    </row>
    <row r="429" spans="2:24" ht="15.75" thickBot="1" x14ac:dyDescent="0.3">
      <c r="B429" s="1244"/>
      <c r="C429" s="35" t="e">
        <f>'Combustão Móvel'!#REF!</f>
        <v>#REF!</v>
      </c>
      <c r="D429" s="145" t="e">
        <f>'Combustão Móvel'!#REF!</f>
        <v>#REF!</v>
      </c>
      <c r="E429" s="159" t="e">
        <f>'Combustão Móvel'!#REF!</f>
        <v>#REF!</v>
      </c>
      <c r="F429" s="150" t="e">
        <f t="shared" si="91"/>
        <v>#REF!</v>
      </c>
      <c r="G429" s="150" t="e">
        <f t="shared" si="92"/>
        <v>#REF!</v>
      </c>
      <c r="H429" s="150" t="e">
        <f t="shared" si="93"/>
        <v>#REF!</v>
      </c>
      <c r="I429" s="150" t="e">
        <f t="shared" si="94"/>
        <v>#REF!</v>
      </c>
      <c r="J429" s="150" t="e">
        <f t="shared" si="95"/>
        <v>#REF!</v>
      </c>
      <c r="K429" s="151" t="e">
        <f t="shared" si="96"/>
        <v>#REF!</v>
      </c>
      <c r="L429" s="64" t="e">
        <f>'Combustão Móvel'!#REF!</f>
        <v>#REF!</v>
      </c>
      <c r="M429" s="65" t="e">
        <f>'Combustão Móvel'!#REF!</f>
        <v>#REF!</v>
      </c>
      <c r="N429" s="150"/>
      <c r="O429" s="150" t="e">
        <f t="shared" si="97"/>
        <v>#REF!</v>
      </c>
      <c r="P429" s="150"/>
      <c r="Q429" s="150"/>
      <c r="R429" s="150" t="e">
        <f t="shared" si="98"/>
        <v>#REF!</v>
      </c>
      <c r="S429" s="150" t="e">
        <f t="shared" si="99"/>
        <v>#REF!</v>
      </c>
      <c r="T429" s="161" t="e">
        <f t="shared" si="100"/>
        <v>#REF!</v>
      </c>
      <c r="U429" s="161" t="e">
        <f t="shared" si="101"/>
        <v>#REF!</v>
      </c>
      <c r="V429" s="134" t="e">
        <f t="shared" si="102"/>
        <v>#REF!</v>
      </c>
      <c r="W429" s="134" t="e">
        <f t="shared" si="103"/>
        <v>#REF!</v>
      </c>
      <c r="X429" s="134" t="e">
        <f t="shared" si="104"/>
        <v>#REF!</v>
      </c>
    </row>
    <row r="430" spans="2:24" ht="15.75" thickBot="1" x14ac:dyDescent="0.3">
      <c r="B430" s="1244"/>
      <c r="C430" s="35" t="e">
        <f>'Combustão Móvel'!#REF!</f>
        <v>#REF!</v>
      </c>
      <c r="D430" s="145" t="e">
        <f>'Combustão Móvel'!#REF!</f>
        <v>#REF!</v>
      </c>
      <c r="E430" s="159" t="e">
        <f>'Combustão Móvel'!#REF!</f>
        <v>#REF!</v>
      </c>
      <c r="F430" s="150" t="e">
        <f t="shared" si="91"/>
        <v>#REF!</v>
      </c>
      <c r="G430" s="150" t="e">
        <f t="shared" si="92"/>
        <v>#REF!</v>
      </c>
      <c r="H430" s="150" t="e">
        <f t="shared" si="93"/>
        <v>#REF!</v>
      </c>
      <c r="I430" s="150" t="e">
        <f t="shared" si="94"/>
        <v>#REF!</v>
      </c>
      <c r="J430" s="150" t="e">
        <f t="shared" si="95"/>
        <v>#REF!</v>
      </c>
      <c r="K430" s="151" t="e">
        <f t="shared" si="96"/>
        <v>#REF!</v>
      </c>
      <c r="L430" s="64" t="e">
        <f>'Combustão Móvel'!#REF!</f>
        <v>#REF!</v>
      </c>
      <c r="M430" s="65" t="e">
        <f>'Combustão Móvel'!#REF!</f>
        <v>#REF!</v>
      </c>
      <c r="N430" s="150"/>
      <c r="O430" s="150" t="e">
        <f t="shared" si="97"/>
        <v>#REF!</v>
      </c>
      <c r="P430" s="150"/>
      <c r="Q430" s="150"/>
      <c r="R430" s="150" t="e">
        <f t="shared" si="98"/>
        <v>#REF!</v>
      </c>
      <c r="S430" s="150" t="e">
        <f t="shared" si="99"/>
        <v>#REF!</v>
      </c>
      <c r="T430" s="161" t="e">
        <f t="shared" si="100"/>
        <v>#REF!</v>
      </c>
      <c r="U430" s="161" t="e">
        <f t="shared" si="101"/>
        <v>#REF!</v>
      </c>
      <c r="V430" s="134" t="e">
        <f t="shared" si="102"/>
        <v>#REF!</v>
      </c>
      <c r="W430" s="134" t="e">
        <f t="shared" si="103"/>
        <v>#REF!</v>
      </c>
      <c r="X430" s="134" t="e">
        <f t="shared" si="104"/>
        <v>#REF!</v>
      </c>
    </row>
    <row r="431" spans="2:24" ht="15.75" thickBot="1" x14ac:dyDescent="0.3">
      <c r="B431" s="1244"/>
      <c r="C431" s="35" t="e">
        <f>'Combustão Móvel'!#REF!</f>
        <v>#REF!</v>
      </c>
      <c r="D431" s="145" t="e">
        <f>'Combustão Móvel'!#REF!</f>
        <v>#REF!</v>
      </c>
      <c r="E431" s="159" t="e">
        <f>'Combustão Móvel'!#REF!</f>
        <v>#REF!</v>
      </c>
      <c r="F431" s="150" t="e">
        <f t="shared" si="91"/>
        <v>#REF!</v>
      </c>
      <c r="G431" s="150" t="e">
        <f t="shared" si="92"/>
        <v>#REF!</v>
      </c>
      <c r="H431" s="150" t="e">
        <f t="shared" si="93"/>
        <v>#REF!</v>
      </c>
      <c r="I431" s="150" t="e">
        <f t="shared" si="94"/>
        <v>#REF!</v>
      </c>
      <c r="J431" s="150" t="e">
        <f t="shared" si="95"/>
        <v>#REF!</v>
      </c>
      <c r="K431" s="151" t="e">
        <f t="shared" si="96"/>
        <v>#REF!</v>
      </c>
      <c r="L431" s="64" t="e">
        <f>'Combustão Móvel'!#REF!</f>
        <v>#REF!</v>
      </c>
      <c r="M431" s="65" t="e">
        <f>'Combustão Móvel'!#REF!</f>
        <v>#REF!</v>
      </c>
      <c r="N431" s="150"/>
      <c r="O431" s="150" t="e">
        <f t="shared" si="97"/>
        <v>#REF!</v>
      </c>
      <c r="P431" s="150"/>
      <c r="Q431" s="150"/>
      <c r="R431" s="150" t="e">
        <f t="shared" si="98"/>
        <v>#REF!</v>
      </c>
      <c r="S431" s="150" t="e">
        <f t="shared" si="99"/>
        <v>#REF!</v>
      </c>
      <c r="T431" s="161" t="e">
        <f t="shared" si="100"/>
        <v>#REF!</v>
      </c>
      <c r="U431" s="161" t="e">
        <f t="shared" si="101"/>
        <v>#REF!</v>
      </c>
      <c r="V431" s="134" t="e">
        <f t="shared" si="102"/>
        <v>#REF!</v>
      </c>
      <c r="W431" s="134" t="e">
        <f t="shared" si="103"/>
        <v>#REF!</v>
      </c>
      <c r="X431" s="134" t="e">
        <f t="shared" si="104"/>
        <v>#REF!</v>
      </c>
    </row>
    <row r="432" spans="2:24" ht="15.75" thickBot="1" x14ac:dyDescent="0.3">
      <c r="B432" s="1245"/>
      <c r="C432" s="35" t="e">
        <f>'Combustão Móvel'!#REF!</f>
        <v>#REF!</v>
      </c>
      <c r="D432" s="145" t="e">
        <f>'Combustão Móvel'!#REF!</f>
        <v>#REF!</v>
      </c>
      <c r="E432" s="160" t="e">
        <f>'Combustão Móvel'!#REF!</f>
        <v>#REF!</v>
      </c>
      <c r="F432" s="153" t="e">
        <f t="shared" si="91"/>
        <v>#REF!</v>
      </c>
      <c r="G432" s="153" t="e">
        <f t="shared" si="92"/>
        <v>#REF!</v>
      </c>
      <c r="H432" s="153" t="e">
        <f t="shared" si="93"/>
        <v>#REF!</v>
      </c>
      <c r="I432" s="153" t="e">
        <f t="shared" si="94"/>
        <v>#REF!</v>
      </c>
      <c r="J432" s="153" t="e">
        <f t="shared" si="95"/>
        <v>#REF!</v>
      </c>
      <c r="K432" s="154" t="e">
        <f t="shared" si="96"/>
        <v>#REF!</v>
      </c>
      <c r="L432" s="64" t="e">
        <f>'Combustão Móvel'!#REF!</f>
        <v>#REF!</v>
      </c>
      <c r="M432" s="65" t="e">
        <f>'Combustão Móvel'!#REF!</f>
        <v>#REF!</v>
      </c>
      <c r="N432" s="150"/>
      <c r="O432" s="150" t="e">
        <f t="shared" si="97"/>
        <v>#REF!</v>
      </c>
      <c r="P432" s="150"/>
      <c r="Q432" s="150"/>
      <c r="R432" s="150" t="e">
        <f t="shared" si="98"/>
        <v>#REF!</v>
      </c>
      <c r="S432" s="150" t="e">
        <f t="shared" si="99"/>
        <v>#REF!</v>
      </c>
      <c r="T432" s="161" t="e">
        <f t="shared" si="100"/>
        <v>#REF!</v>
      </c>
      <c r="U432" s="161" t="e">
        <f t="shared" si="101"/>
        <v>#REF!</v>
      </c>
      <c r="V432" s="134" t="e">
        <f t="shared" si="102"/>
        <v>#REF!</v>
      </c>
      <c r="W432" s="134" t="e">
        <f t="shared" si="103"/>
        <v>#REF!</v>
      </c>
      <c r="X432" s="134" t="e">
        <f t="shared" si="104"/>
        <v>#REF!</v>
      </c>
    </row>
    <row r="433" spans="6:21" ht="15.75" thickBot="1" x14ac:dyDescent="0.3">
      <c r="F433" s="84">
        <f>SUMIF($C33:$C432,"Construção", $D33:$D432)</f>
        <v>0</v>
      </c>
      <c r="G433" s="84">
        <f>SUMIF($C33:$C432,"Exploração", $D33:$D432)</f>
        <v>0</v>
      </c>
      <c r="H433" s="84">
        <f>SUMIF($C33:$C432,"Desativação", $D33:$D432)</f>
        <v>0</v>
      </c>
      <c r="I433" s="66" t="e">
        <f>SUM(I33:I432)</f>
        <v>#REF!</v>
      </c>
      <c r="J433" s="66" t="e">
        <f>SUM(J33:J432)</f>
        <v>#REF!</v>
      </c>
      <c r="K433" s="67" t="e">
        <f>SUM(K33:K432)</f>
        <v>#REF!</v>
      </c>
      <c r="N433" s="135"/>
      <c r="O433" s="135" t="e">
        <f t="shared" ref="O433:U433" si="105">SUM(O33:O432)</f>
        <v>#REF!</v>
      </c>
      <c r="P433" s="135"/>
      <c r="Q433" s="135"/>
      <c r="R433" s="135" t="e">
        <f t="shared" si="105"/>
        <v>#REF!</v>
      </c>
      <c r="S433" s="135" t="e">
        <f t="shared" si="105"/>
        <v>#REF!</v>
      </c>
      <c r="T433" s="135" t="e">
        <f t="shared" si="105"/>
        <v>#REF!</v>
      </c>
      <c r="U433" s="135" t="e">
        <f t="shared" si="105"/>
        <v>#REF!</v>
      </c>
    </row>
    <row r="434" spans="6:21" x14ac:dyDescent="0.25">
      <c r="F434" s="1246" t="s">
        <v>44</v>
      </c>
      <c r="G434" s="1247"/>
      <c r="H434" s="1248"/>
      <c r="I434" s="1246" t="s">
        <v>43</v>
      </c>
      <c r="J434" s="1247"/>
      <c r="K434" s="1247"/>
      <c r="N434" s="1263"/>
      <c r="O434" s="1263" t="s">
        <v>505</v>
      </c>
      <c r="P434" s="1263"/>
      <c r="Q434" s="1263"/>
      <c r="R434" s="1264" t="s">
        <v>507</v>
      </c>
      <c r="S434" s="1264" t="s">
        <v>508</v>
      </c>
      <c r="T434" s="3" t="s">
        <v>501</v>
      </c>
      <c r="U434" s="3" t="s">
        <v>502</v>
      </c>
    </row>
    <row r="435" spans="6:21" ht="19.5" x14ac:dyDescent="0.25">
      <c r="F435" s="13" t="s">
        <v>22</v>
      </c>
      <c r="G435" s="14" t="s">
        <v>33</v>
      </c>
      <c r="H435" s="15" t="s">
        <v>246</v>
      </c>
      <c r="I435" s="13" t="s">
        <v>22</v>
      </c>
      <c r="J435" s="14" t="s">
        <v>33</v>
      </c>
      <c r="K435" s="15" t="s">
        <v>246</v>
      </c>
      <c r="N435" s="1262"/>
      <c r="O435" s="1262"/>
      <c r="P435" s="1262"/>
      <c r="Q435" s="1262"/>
      <c r="R435" s="1263"/>
      <c r="S435" s="1263"/>
    </row>
  </sheetData>
  <mergeCells count="23">
    <mergeCell ref="T30:U31"/>
    <mergeCell ref="O31:O32"/>
    <mergeCell ref="P31:P32"/>
    <mergeCell ref="Q31:Q32"/>
    <mergeCell ref="N434:N435"/>
    <mergeCell ref="O434:O435"/>
    <mergeCell ref="P434:P435"/>
    <mergeCell ref="Q434:Q435"/>
    <mergeCell ref="R31:R32"/>
    <mergeCell ref="S31:S32"/>
    <mergeCell ref="R434:R435"/>
    <mergeCell ref="S434:S435"/>
    <mergeCell ref="L31:L32"/>
    <mergeCell ref="M31:M32"/>
    <mergeCell ref="N31:N32"/>
    <mergeCell ref="F31:H31"/>
    <mergeCell ref="I31:K31"/>
    <mergeCell ref="B333:B432"/>
    <mergeCell ref="F434:H434"/>
    <mergeCell ref="I434:K434"/>
    <mergeCell ref="B33:B132"/>
    <mergeCell ref="B133:B232"/>
    <mergeCell ref="B233:B33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D7CC-AFF3-4AE3-8609-BCB602FB03AB}">
  <sheetPr>
    <tabColor theme="4"/>
  </sheetPr>
  <dimension ref="A1:AG339"/>
  <sheetViews>
    <sheetView showGridLines="0" zoomScale="80" zoomScaleNormal="80" workbookViewId="0">
      <selection activeCell="B33" sqref="B33"/>
    </sheetView>
  </sheetViews>
  <sheetFormatPr defaultColWidth="8.75" defaultRowHeight="15.75" zeroHeight="1" outlineLevelRow="2" x14ac:dyDescent="0.25"/>
  <cols>
    <col min="1" max="1" width="12" style="166" customWidth="1"/>
    <col min="2" max="2" width="35.75" style="166" customWidth="1"/>
    <col min="3" max="3" width="41.375" style="166" customWidth="1"/>
    <col min="4" max="4" width="34.625" style="166" customWidth="1"/>
    <col min="5" max="5" width="56.875" style="166" customWidth="1"/>
    <col min="6" max="6" width="37.25" style="166" customWidth="1"/>
    <col min="7" max="7" width="23.75" style="166" customWidth="1"/>
    <col min="8" max="8" width="20.75" style="166" customWidth="1"/>
    <col min="9" max="9" width="56.125" style="166" bestFit="1" customWidth="1"/>
    <col min="10" max="10" width="13.5" style="166" customWidth="1"/>
    <col min="11" max="15" width="8.625" style="166" customWidth="1"/>
    <col min="16" max="16" width="21.625" style="166" customWidth="1"/>
    <col min="17" max="17" width="11.875" style="166" customWidth="1"/>
    <col min="18" max="19" width="8.625" style="166" customWidth="1"/>
    <col min="20" max="20" width="21.875" style="166" customWidth="1"/>
    <col min="21" max="21" width="13.375" style="166" customWidth="1"/>
    <col min="22" max="22" width="13.5" style="166" customWidth="1"/>
    <col min="23" max="23" width="11.875" style="166" customWidth="1"/>
    <col min="24" max="24" width="12.375" style="166" customWidth="1"/>
    <col min="25" max="25" width="13" style="166" customWidth="1"/>
    <col min="26" max="26" width="12.375" style="166" customWidth="1"/>
    <col min="27" max="28" width="13.25" style="166" customWidth="1"/>
    <col min="29" max="29" width="12.625" style="166" customWidth="1"/>
    <col min="30" max="30" width="10.75" style="166" customWidth="1"/>
    <col min="31" max="31" width="13.5" style="166" customWidth="1"/>
    <col min="32" max="32" width="12.625" style="166" customWidth="1"/>
    <col min="33" max="33" width="11.875" style="166" customWidth="1"/>
    <col min="34" max="34" width="14.25" style="166" customWidth="1"/>
    <col min="35" max="16384" width="8.75" style="166"/>
  </cols>
  <sheetData>
    <row r="1" spans="2:28" x14ac:dyDescent="0.25"/>
    <row r="2" spans="2:28" x14ac:dyDescent="0.25"/>
    <row r="3" spans="2:28" x14ac:dyDescent="0.25"/>
    <row r="4" spans="2:28" x14ac:dyDescent="0.25"/>
    <row r="5" spans="2:28" x14ac:dyDescent="0.25"/>
    <row r="6" spans="2:28" x14ac:dyDescent="0.25"/>
    <row r="7" spans="2:28" x14ac:dyDescent="0.25"/>
    <row r="8" spans="2:28" x14ac:dyDescent="0.25"/>
    <row r="9" spans="2:28" ht="18.75" x14ac:dyDescent="0.3">
      <c r="B9" s="775" t="str">
        <f>IF(Triagem!C32="","Não indicou na TRIAGEM se esta folha se adequa ao projeto",IF(Triagem!C32="Não","Não necessita de preencher esta folha","Folha a ser preenchida"))</f>
        <v>Não indicou na TRIAGEM se esta folha se adequa ao projeto</v>
      </c>
      <c r="D9" s="836"/>
      <c r="E9" s="836"/>
      <c r="F9" s="836"/>
      <c r="G9" s="765"/>
      <c r="H9" s="765"/>
    </row>
    <row r="10" spans="2:28" ht="18.75" x14ac:dyDescent="0.3">
      <c r="D10" s="261"/>
      <c r="E10" s="261"/>
      <c r="F10" s="261"/>
    </row>
    <row r="11" spans="2:28" ht="23.45" customHeight="1" x14ac:dyDescent="0.25">
      <c r="B11" s="841" t="s">
        <v>1484</v>
      </c>
      <c r="C11" s="778"/>
      <c r="D11" s="778"/>
      <c r="E11" s="778"/>
      <c r="F11" s="778"/>
      <c r="G11" s="778"/>
    </row>
    <row r="12" spans="2:28" ht="23.45" customHeight="1" x14ac:dyDescent="0.25">
      <c r="B12" s="840" t="s">
        <v>1488</v>
      </c>
      <c r="C12" s="837"/>
      <c r="D12" s="837"/>
      <c r="E12" s="837"/>
      <c r="F12" s="837"/>
      <c r="G12" s="837"/>
      <c r="H12" s="234"/>
      <c r="I12" s="234"/>
      <c r="J12" s="234"/>
      <c r="K12" s="234"/>
      <c r="L12" s="234"/>
      <c r="M12" s="234"/>
      <c r="N12" s="234"/>
      <c r="O12" s="234"/>
      <c r="P12" s="234"/>
      <c r="Q12" s="234"/>
      <c r="R12" s="234"/>
      <c r="S12" s="235"/>
      <c r="T12" s="235"/>
      <c r="U12" s="235"/>
      <c r="V12" s="235"/>
      <c r="W12" s="235"/>
      <c r="X12" s="235"/>
      <c r="Y12" s="235"/>
      <c r="Z12" s="235"/>
      <c r="AA12" s="235"/>
      <c r="AB12" s="235"/>
    </row>
    <row r="13" spans="2:28" ht="23.45" customHeight="1" x14ac:dyDescent="0.25">
      <c r="B13" s="840" t="s">
        <v>1487</v>
      </c>
      <c r="C13" s="837"/>
      <c r="D13" s="837"/>
      <c r="E13" s="837"/>
      <c r="F13" s="837"/>
      <c r="G13" s="837"/>
      <c r="H13" s="234"/>
      <c r="I13" s="234"/>
      <c r="J13" s="234"/>
      <c r="K13" s="234"/>
      <c r="L13" s="234"/>
      <c r="M13" s="234"/>
      <c r="N13" s="234"/>
      <c r="O13" s="234"/>
      <c r="P13" s="234"/>
      <c r="Q13" s="234"/>
      <c r="R13" s="234"/>
      <c r="S13" s="235"/>
      <c r="T13" s="235"/>
      <c r="U13" s="235"/>
      <c r="V13" s="235"/>
      <c r="W13" s="235"/>
      <c r="X13" s="235"/>
      <c r="Y13" s="235"/>
      <c r="Z13" s="235"/>
      <c r="AA13" s="235"/>
      <c r="AB13" s="235"/>
    </row>
    <row r="14" spans="2:28" s="864" customFormat="1" ht="21" customHeight="1" x14ac:dyDescent="0.25">
      <c r="B14" s="840" t="s">
        <v>1486</v>
      </c>
      <c r="C14" s="862"/>
      <c r="D14" s="862"/>
      <c r="E14" s="862"/>
      <c r="F14" s="862"/>
      <c r="G14" s="862"/>
      <c r="H14" s="771"/>
      <c r="I14" s="771"/>
      <c r="J14" s="771"/>
      <c r="K14" s="771"/>
      <c r="L14" s="771"/>
      <c r="M14" s="771"/>
      <c r="N14" s="771"/>
      <c r="O14" s="771"/>
      <c r="P14" s="771"/>
      <c r="Q14" s="771"/>
      <c r="R14" s="771"/>
      <c r="S14" s="863"/>
      <c r="T14" s="863"/>
      <c r="U14" s="863"/>
      <c r="V14" s="863"/>
      <c r="W14" s="863"/>
      <c r="X14" s="863"/>
      <c r="Y14" s="863"/>
      <c r="Z14" s="863"/>
      <c r="AA14" s="863"/>
      <c r="AB14" s="863"/>
    </row>
    <row r="15" spans="2:28" ht="23.45" customHeight="1" x14ac:dyDescent="0.25">
      <c r="B15" s="840" t="s">
        <v>1485</v>
      </c>
      <c r="C15" s="840"/>
      <c r="D15" s="837"/>
      <c r="E15" s="837"/>
      <c r="F15" s="837"/>
      <c r="G15" s="837"/>
      <c r="H15" s="234"/>
      <c r="I15" s="234"/>
      <c r="J15" s="234"/>
      <c r="K15" s="234"/>
      <c r="L15" s="234"/>
      <c r="M15" s="234"/>
      <c r="N15" s="234"/>
      <c r="O15" s="234"/>
      <c r="P15" s="234"/>
      <c r="Q15" s="234"/>
      <c r="R15" s="234"/>
      <c r="S15" s="235"/>
      <c r="T15" s="235"/>
      <c r="U15" s="235"/>
      <c r="V15" s="235"/>
      <c r="W15" s="235"/>
      <c r="X15" s="235"/>
      <c r="Y15" s="235"/>
      <c r="Z15" s="235"/>
      <c r="AA15" s="235"/>
      <c r="AB15" s="235"/>
    </row>
    <row r="16" spans="2:28" ht="12.75" customHeight="1" x14ac:dyDescent="0.25">
      <c r="I16" s="234"/>
      <c r="J16" s="234"/>
      <c r="K16" s="234"/>
      <c r="L16" s="234"/>
      <c r="M16" s="234"/>
      <c r="N16" s="234"/>
      <c r="O16" s="234"/>
      <c r="P16" s="234"/>
      <c r="Q16" s="234"/>
      <c r="R16" s="234"/>
      <c r="S16" s="235"/>
      <c r="T16" s="235"/>
      <c r="U16" s="235"/>
      <c r="V16" s="235"/>
      <c r="W16" s="235"/>
      <c r="X16" s="235"/>
      <c r="Y16" s="235"/>
      <c r="Z16" s="235"/>
      <c r="AA16" s="235"/>
      <c r="AB16" s="235"/>
    </row>
    <row r="17" spans="1:30" ht="16.5" customHeight="1" x14ac:dyDescent="0.25">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row>
    <row r="18" spans="1:30" s="332" customFormat="1" ht="30" customHeight="1" x14ac:dyDescent="0.25">
      <c r="B18" s="231" t="s">
        <v>1237</v>
      </c>
    </row>
    <row r="19" spans="1:30" x14ac:dyDescent="0.25"/>
    <row r="20" spans="1:30" ht="21" customHeight="1" outlineLevel="1" x14ac:dyDescent="0.25">
      <c r="B20" s="841" t="s">
        <v>0</v>
      </c>
      <c r="C20" s="865"/>
      <c r="D20" s="865"/>
      <c r="E20" s="865"/>
      <c r="F20" s="865"/>
      <c r="G20" s="865"/>
      <c r="H20" s="239"/>
      <c r="I20" s="239"/>
      <c r="J20" s="239"/>
      <c r="K20" s="239"/>
      <c r="L20" s="239"/>
      <c r="M20" s="239"/>
      <c r="N20" s="239"/>
      <c r="O20" s="239"/>
      <c r="P20" s="239"/>
      <c r="Q20" s="239"/>
      <c r="R20" s="239"/>
      <c r="S20" s="239"/>
      <c r="T20" s="239"/>
      <c r="U20" s="239"/>
      <c r="V20" s="239"/>
      <c r="W20" s="239"/>
      <c r="X20" s="239"/>
      <c r="Y20" s="239"/>
      <c r="Z20" s="239"/>
      <c r="AA20" s="239"/>
      <c r="AB20" s="239"/>
    </row>
    <row r="21" spans="1:30" ht="21" customHeight="1" outlineLevel="1" x14ac:dyDescent="0.25">
      <c r="B21" s="843" t="s">
        <v>1481</v>
      </c>
      <c r="C21" s="778"/>
      <c r="D21" s="778"/>
      <c r="E21" s="778"/>
      <c r="F21" s="778"/>
      <c r="G21" s="778"/>
    </row>
    <row r="22" spans="1:30" ht="21" customHeight="1" outlineLevel="1" x14ac:dyDescent="0.25">
      <c r="B22" s="843" t="s">
        <v>1231</v>
      </c>
      <c r="C22" s="778"/>
      <c r="D22" s="778"/>
      <c r="E22" s="778"/>
      <c r="F22" s="778"/>
      <c r="G22" s="778"/>
    </row>
    <row r="23" spans="1:30" ht="21" customHeight="1" outlineLevel="1" x14ac:dyDescent="0.25">
      <c r="B23" s="1266" t="s">
        <v>1232</v>
      </c>
      <c r="C23" s="1266"/>
      <c r="D23" s="1266"/>
      <c r="E23" s="1266"/>
      <c r="F23" s="1266"/>
      <c r="G23" s="865"/>
      <c r="H23" s="239"/>
      <c r="I23" s="239"/>
      <c r="J23" s="239"/>
      <c r="K23" s="239"/>
      <c r="L23" s="239"/>
      <c r="M23" s="239"/>
      <c r="N23" s="239"/>
      <c r="O23" s="239"/>
      <c r="P23" s="239"/>
      <c r="Q23" s="239"/>
      <c r="R23" s="239"/>
      <c r="S23" s="239"/>
      <c r="T23" s="239"/>
      <c r="U23" s="239"/>
      <c r="V23" s="239"/>
      <c r="W23" s="239"/>
      <c r="X23" s="239"/>
      <c r="Y23" s="239"/>
      <c r="Z23" s="239"/>
      <c r="AA23" s="239"/>
      <c r="AB23" s="239"/>
    </row>
    <row r="24" spans="1:30" ht="21" customHeight="1" outlineLevel="1" x14ac:dyDescent="0.25">
      <c r="B24" s="1268" t="s">
        <v>1233</v>
      </c>
      <c r="C24" s="1268"/>
      <c r="D24" s="1268"/>
      <c r="E24" s="1268"/>
      <c r="F24" s="1268"/>
      <c r="G24" s="778"/>
    </row>
    <row r="25" spans="1:30" ht="21" customHeight="1" outlineLevel="1" x14ac:dyDescent="0.25">
      <c r="B25" s="1268" t="s">
        <v>1489</v>
      </c>
      <c r="C25" s="1268"/>
      <c r="D25" s="1268"/>
      <c r="E25" s="1268"/>
      <c r="F25" s="1268"/>
      <c r="G25" s="1268"/>
    </row>
    <row r="26" spans="1:30" ht="21" customHeight="1" outlineLevel="1" x14ac:dyDescent="0.25">
      <c r="B26" s="843" t="s">
        <v>1490</v>
      </c>
      <c r="C26" s="778"/>
      <c r="D26" s="778"/>
      <c r="E26" s="778"/>
      <c r="F26" s="778"/>
      <c r="G26" s="778"/>
    </row>
    <row r="27" spans="1:30" ht="21" customHeight="1" outlineLevel="1" x14ac:dyDescent="0.25">
      <c r="B27" s="843" t="s">
        <v>1491</v>
      </c>
      <c r="C27" s="778"/>
      <c r="D27" s="778"/>
      <c r="E27" s="778"/>
      <c r="F27" s="778"/>
      <c r="G27" s="778"/>
    </row>
    <row r="28" spans="1:30" outlineLevel="1" x14ac:dyDescent="0.25"/>
    <row r="29" spans="1:30" outlineLevel="1" x14ac:dyDescent="0.25">
      <c r="B29" s="459" t="s">
        <v>839</v>
      </c>
    </row>
    <row r="30" spans="1:30" s="241" customFormat="1" ht="59.25" customHeight="1" outlineLevel="1" x14ac:dyDescent="0.25">
      <c r="A30" s="240"/>
      <c r="B30" s="1184" t="s">
        <v>1461</v>
      </c>
      <c r="C30" s="174" t="s">
        <v>956</v>
      </c>
      <c r="D30" s="1204" t="s">
        <v>1482</v>
      </c>
      <c r="E30" s="1204" t="s">
        <v>1334</v>
      </c>
      <c r="F30" s="1184" t="s">
        <v>1694</v>
      </c>
      <c r="G30" s="1204" t="s">
        <v>1714</v>
      </c>
      <c r="H30" s="1204" t="s">
        <v>1335</v>
      </c>
      <c r="I30" s="172"/>
      <c r="J30" s="172"/>
      <c r="K30" s="172"/>
      <c r="L30" s="172"/>
      <c r="M30" s="172"/>
      <c r="N30" s="172"/>
      <c r="O30" s="172"/>
      <c r="P30" s="172"/>
      <c r="Q30" s="172"/>
      <c r="R30" s="172"/>
      <c r="S30" s="172"/>
      <c r="T30" s="172"/>
      <c r="U30" s="172"/>
      <c r="V30" s="172"/>
      <c r="W30" s="172"/>
      <c r="X30" s="172"/>
      <c r="Y30" s="172"/>
      <c r="Z30" s="172"/>
      <c r="AA30" s="172"/>
      <c r="AB30" s="172"/>
      <c r="AC30" s="172"/>
      <c r="AD30" s="172"/>
    </row>
    <row r="31" spans="1:30" s="241" customFormat="1" ht="32.25" customHeight="1" outlineLevel="1" x14ac:dyDescent="0.25">
      <c r="A31" s="240"/>
      <c r="B31" s="1186"/>
      <c r="C31" s="1076" t="str">
        <f>IF(COUNTIF(I33:I132,"Erro, confira o valor da compra média annual de eletricidade")&gt;0,"Erro: confira of valores desta coluna","")</f>
        <v/>
      </c>
      <c r="D31" s="1206"/>
      <c r="E31" s="1206"/>
      <c r="F31" s="1186"/>
      <c r="G31" s="1206"/>
      <c r="H31" s="1206"/>
      <c r="I31" s="172"/>
      <c r="J31" s="172"/>
      <c r="K31" s="172"/>
      <c r="L31" s="172"/>
      <c r="M31" s="172"/>
      <c r="N31" s="172"/>
      <c r="O31" s="172"/>
      <c r="P31" s="172"/>
      <c r="Q31" s="172"/>
      <c r="R31" s="172"/>
      <c r="S31" s="172"/>
      <c r="T31" s="172"/>
      <c r="U31" s="172"/>
      <c r="V31" s="172"/>
      <c r="W31" s="172"/>
      <c r="X31" s="172"/>
      <c r="Y31" s="172"/>
      <c r="Z31" s="172"/>
      <c r="AA31" s="172"/>
      <c r="AB31" s="172"/>
      <c r="AC31" s="172"/>
      <c r="AD31" s="172"/>
    </row>
    <row r="32" spans="1:30" s="212" customFormat="1" outlineLevel="1" x14ac:dyDescent="0.25">
      <c r="A32" s="242" t="s">
        <v>36</v>
      </c>
      <c r="B32" s="866" t="s">
        <v>958</v>
      </c>
      <c r="C32" s="867">
        <v>10000</v>
      </c>
      <c r="D32" s="868">
        <v>3.2946623166942093E-2</v>
      </c>
      <c r="E32" s="869">
        <v>0.09</v>
      </c>
      <c r="F32" s="869"/>
      <c r="G32" s="868">
        <v>329.46623166942095</v>
      </c>
      <c r="H32" s="868">
        <v>29.700000000000003</v>
      </c>
      <c r="I32" s="234"/>
      <c r="J32" s="234"/>
      <c r="K32" s="234"/>
      <c r="L32" s="234"/>
      <c r="M32" s="234"/>
      <c r="N32" s="234"/>
      <c r="O32" s="234"/>
      <c r="P32" s="234"/>
      <c r="Q32" s="234"/>
      <c r="R32" s="234"/>
      <c r="S32" s="234"/>
      <c r="T32" s="234"/>
      <c r="U32" s="234"/>
      <c r="V32" s="234"/>
      <c r="W32" s="234"/>
      <c r="X32" s="234"/>
      <c r="Y32" s="234"/>
      <c r="Z32" s="234"/>
      <c r="AA32" s="234"/>
      <c r="AB32" s="234"/>
      <c r="AC32" s="234"/>
      <c r="AD32" s="234"/>
    </row>
    <row r="33" spans="2:30" s="240" customFormat="1" outlineLevel="1" x14ac:dyDescent="0.25">
      <c r="B33" s="176"/>
      <c r="C33" s="243"/>
      <c r="D33" s="889"/>
      <c r="E33" s="890"/>
      <c r="F33" s="890"/>
      <c r="G33" s="870" t="str">
        <f t="shared" ref="G33:G64" si="0">IF(OR(C33="",D33=""),"",D33*C33)</f>
        <v/>
      </c>
      <c r="H33" s="870"/>
      <c r="I33" s="1080" t="str">
        <f>IF(C33="","",IFERROR(C33*1,"Erro, confira o valor da compra média annual de eletricidade"))</f>
        <v/>
      </c>
      <c r="J33" s="234"/>
      <c r="K33" s="234"/>
      <c r="L33" s="234"/>
      <c r="M33" s="234"/>
      <c r="N33" s="234"/>
      <c r="O33" s="234"/>
      <c r="P33" s="234"/>
      <c r="Q33" s="234"/>
      <c r="R33" s="234"/>
      <c r="S33" s="234"/>
      <c r="T33" s="234"/>
      <c r="U33" s="234"/>
      <c r="V33" s="234"/>
      <c r="W33" s="234"/>
      <c r="X33" s="234"/>
      <c r="Y33" s="234"/>
      <c r="Z33" s="234"/>
      <c r="AA33" s="234"/>
      <c r="AB33" s="234"/>
      <c r="AC33" s="234"/>
      <c r="AD33" s="234"/>
    </row>
    <row r="34" spans="2:30" s="240" customFormat="1" outlineLevel="1" x14ac:dyDescent="0.25">
      <c r="B34" s="176"/>
      <c r="C34" s="243"/>
      <c r="D34" s="889"/>
      <c r="E34" s="890"/>
      <c r="F34" s="890"/>
      <c r="G34" s="870" t="str">
        <f t="shared" si="0"/>
        <v/>
      </c>
      <c r="H34" s="870"/>
      <c r="I34" s="1080" t="str">
        <f t="shared" ref="I34:I97" si="1">IF(C34="","",IFERROR(C34*1,"Erro, confira o valor da compra média annual de eletricidade"))</f>
        <v/>
      </c>
      <c r="J34" s="234"/>
      <c r="K34" s="234"/>
      <c r="L34" s="234"/>
      <c r="M34" s="234"/>
      <c r="N34" s="234"/>
      <c r="O34" s="234"/>
      <c r="P34" s="234"/>
      <c r="Q34" s="234"/>
      <c r="R34" s="234"/>
      <c r="S34" s="234"/>
      <c r="T34" s="234"/>
      <c r="U34" s="234"/>
      <c r="V34" s="234"/>
      <c r="W34" s="234"/>
      <c r="X34" s="234"/>
      <c r="Y34" s="234"/>
      <c r="Z34" s="234"/>
      <c r="AA34" s="234"/>
      <c r="AB34" s="234"/>
      <c r="AC34" s="234"/>
      <c r="AD34" s="234"/>
    </row>
    <row r="35" spans="2:30" s="240" customFormat="1" outlineLevel="1" x14ac:dyDescent="0.25">
      <c r="B35" s="176"/>
      <c r="C35" s="243"/>
      <c r="D35" s="889"/>
      <c r="E35" s="890"/>
      <c r="F35" s="890"/>
      <c r="G35" s="870" t="str">
        <f t="shared" si="0"/>
        <v/>
      </c>
      <c r="H35" s="870"/>
      <c r="I35" s="1080" t="str">
        <f t="shared" si="1"/>
        <v/>
      </c>
      <c r="J35" s="234"/>
      <c r="K35" s="234"/>
      <c r="L35" s="234"/>
      <c r="M35" s="234"/>
      <c r="N35" s="234"/>
      <c r="O35" s="234"/>
      <c r="P35" s="234"/>
      <c r="Q35" s="234"/>
      <c r="R35" s="234"/>
      <c r="S35" s="234"/>
      <c r="T35" s="234"/>
      <c r="U35" s="234"/>
      <c r="V35" s="234"/>
      <c r="W35" s="234"/>
      <c r="X35" s="234"/>
      <c r="Y35" s="234"/>
      <c r="Z35" s="234"/>
      <c r="AA35" s="234"/>
      <c r="AB35" s="234"/>
      <c r="AC35" s="234"/>
      <c r="AD35" s="234"/>
    </row>
    <row r="36" spans="2:30" s="240" customFormat="1" outlineLevel="1" x14ac:dyDescent="0.25">
      <c r="B36" s="176"/>
      <c r="C36" s="243"/>
      <c r="D36" s="889"/>
      <c r="E36" s="890"/>
      <c r="F36" s="890"/>
      <c r="G36" s="870" t="str">
        <f t="shared" si="0"/>
        <v/>
      </c>
      <c r="H36" s="870"/>
      <c r="I36" s="1080" t="str">
        <f t="shared" si="1"/>
        <v/>
      </c>
      <c r="J36" s="234"/>
      <c r="K36" s="234"/>
      <c r="L36" s="234"/>
      <c r="M36" s="234"/>
      <c r="N36" s="234"/>
      <c r="O36" s="234"/>
      <c r="P36" s="234"/>
      <c r="Q36" s="234"/>
      <c r="R36" s="234"/>
      <c r="S36" s="234"/>
      <c r="T36" s="234"/>
      <c r="U36" s="234"/>
      <c r="V36" s="234"/>
      <c r="W36" s="234"/>
      <c r="X36" s="234"/>
      <c r="Y36" s="234"/>
      <c r="Z36" s="234"/>
      <c r="AA36" s="234"/>
      <c r="AB36" s="234"/>
      <c r="AC36" s="234"/>
      <c r="AD36" s="234"/>
    </row>
    <row r="37" spans="2:30" s="240" customFormat="1" outlineLevel="1" x14ac:dyDescent="0.25">
      <c r="B37" s="176"/>
      <c r="C37" s="243"/>
      <c r="D37" s="889"/>
      <c r="E37" s="890"/>
      <c r="F37" s="890"/>
      <c r="G37" s="870" t="str">
        <f t="shared" si="0"/>
        <v/>
      </c>
      <c r="H37" s="870"/>
      <c r="I37" s="1080" t="str">
        <f t="shared" si="1"/>
        <v/>
      </c>
      <c r="J37" s="234"/>
      <c r="K37" s="234"/>
      <c r="L37" s="234"/>
      <c r="M37" s="234"/>
      <c r="N37" s="234"/>
      <c r="O37" s="234"/>
      <c r="P37" s="234"/>
      <c r="Q37" s="234"/>
      <c r="R37" s="234"/>
      <c r="S37" s="234"/>
      <c r="T37" s="234"/>
      <c r="U37" s="234"/>
      <c r="V37" s="234"/>
      <c r="W37" s="234"/>
      <c r="X37" s="234"/>
      <c r="Y37" s="234"/>
      <c r="Z37" s="234"/>
      <c r="AA37" s="234"/>
      <c r="AB37" s="234"/>
      <c r="AC37" s="234"/>
      <c r="AD37" s="234"/>
    </row>
    <row r="38" spans="2:30" s="240" customFormat="1" outlineLevel="1" x14ac:dyDescent="0.25">
      <c r="B38" s="176"/>
      <c r="C38" s="243"/>
      <c r="D38" s="889"/>
      <c r="E38" s="890"/>
      <c r="F38" s="890"/>
      <c r="G38" s="870" t="str">
        <f t="shared" si="0"/>
        <v/>
      </c>
      <c r="H38" s="870"/>
      <c r="I38" s="1080" t="str">
        <f t="shared" si="1"/>
        <v/>
      </c>
      <c r="J38" s="234"/>
      <c r="K38" s="234"/>
      <c r="L38" s="234"/>
      <c r="M38" s="234"/>
      <c r="N38" s="234"/>
      <c r="O38" s="234"/>
      <c r="P38" s="234"/>
      <c r="Q38" s="234"/>
      <c r="R38" s="234"/>
      <c r="S38" s="234"/>
      <c r="T38" s="234"/>
      <c r="U38" s="234"/>
      <c r="V38" s="234"/>
      <c r="W38" s="234"/>
      <c r="X38" s="234"/>
      <c r="Y38" s="234"/>
      <c r="Z38" s="234"/>
      <c r="AA38" s="234"/>
      <c r="AB38" s="234"/>
      <c r="AC38" s="234"/>
      <c r="AD38" s="234"/>
    </row>
    <row r="39" spans="2:30" s="240" customFormat="1" outlineLevel="1" x14ac:dyDescent="0.25">
      <c r="B39" s="176"/>
      <c r="C39" s="243"/>
      <c r="D39" s="889"/>
      <c r="E39" s="890"/>
      <c r="F39" s="890"/>
      <c r="G39" s="870" t="str">
        <f t="shared" si="0"/>
        <v/>
      </c>
      <c r="H39" s="870"/>
      <c r="I39" s="1080" t="str">
        <f t="shared" si="1"/>
        <v/>
      </c>
      <c r="J39" s="234"/>
      <c r="K39" s="234"/>
      <c r="L39" s="234"/>
      <c r="M39" s="234"/>
      <c r="N39" s="234"/>
      <c r="O39" s="234"/>
      <c r="P39" s="234"/>
      <c r="Q39" s="234"/>
      <c r="R39" s="234"/>
      <c r="S39" s="234"/>
      <c r="T39" s="234"/>
      <c r="U39" s="234"/>
      <c r="V39" s="234"/>
      <c r="W39" s="234"/>
      <c r="X39" s="234"/>
      <c r="Y39" s="234"/>
      <c r="Z39" s="234"/>
      <c r="AA39" s="234"/>
      <c r="AB39" s="234"/>
      <c r="AC39" s="234"/>
      <c r="AD39" s="234"/>
    </row>
    <row r="40" spans="2:30" s="240" customFormat="1" outlineLevel="1" x14ac:dyDescent="0.25">
      <c r="B40" s="176"/>
      <c r="C40" s="243"/>
      <c r="D40" s="889"/>
      <c r="E40" s="890"/>
      <c r="F40" s="890"/>
      <c r="G40" s="870" t="str">
        <f t="shared" si="0"/>
        <v/>
      </c>
      <c r="H40" s="870"/>
      <c r="I40" s="1080" t="str">
        <f t="shared" si="1"/>
        <v/>
      </c>
      <c r="J40" s="234"/>
      <c r="K40" s="234"/>
      <c r="L40" s="234"/>
      <c r="M40" s="234"/>
      <c r="N40" s="234"/>
      <c r="O40" s="234"/>
      <c r="P40" s="234"/>
      <c r="Q40" s="234"/>
      <c r="R40" s="234"/>
      <c r="S40" s="234"/>
      <c r="T40" s="234"/>
      <c r="U40" s="234"/>
      <c r="V40" s="234"/>
      <c r="W40" s="234"/>
      <c r="X40" s="234"/>
      <c r="Y40" s="234"/>
      <c r="Z40" s="234"/>
      <c r="AA40" s="234"/>
      <c r="AB40" s="234"/>
      <c r="AC40" s="234"/>
      <c r="AD40" s="234"/>
    </row>
    <row r="41" spans="2:30" s="240" customFormat="1" outlineLevel="1" x14ac:dyDescent="0.25">
      <c r="B41" s="176"/>
      <c r="C41" s="243"/>
      <c r="D41" s="889"/>
      <c r="E41" s="890"/>
      <c r="F41" s="890"/>
      <c r="G41" s="870" t="str">
        <f t="shared" si="0"/>
        <v/>
      </c>
      <c r="H41" s="870"/>
      <c r="I41" s="1080" t="str">
        <f t="shared" si="1"/>
        <v/>
      </c>
      <c r="J41" s="234"/>
      <c r="K41" s="234"/>
      <c r="L41" s="234"/>
      <c r="M41" s="234"/>
      <c r="N41" s="234"/>
      <c r="O41" s="234"/>
      <c r="P41" s="234"/>
      <c r="Q41" s="234"/>
      <c r="R41" s="234"/>
      <c r="S41" s="234"/>
      <c r="T41" s="234"/>
      <c r="U41" s="234"/>
      <c r="V41" s="234"/>
      <c r="W41" s="234"/>
      <c r="X41" s="234"/>
      <c r="Y41" s="234"/>
      <c r="Z41" s="234"/>
      <c r="AA41" s="234"/>
      <c r="AB41" s="234"/>
      <c r="AC41" s="234"/>
      <c r="AD41" s="234"/>
    </row>
    <row r="42" spans="2:30" s="240" customFormat="1" outlineLevel="1" x14ac:dyDescent="0.25">
      <c r="B42" s="176"/>
      <c r="C42" s="243"/>
      <c r="D42" s="889"/>
      <c r="E42" s="890"/>
      <c r="F42" s="890"/>
      <c r="G42" s="870" t="str">
        <f t="shared" si="0"/>
        <v/>
      </c>
      <c r="H42" s="870"/>
      <c r="I42" s="1080" t="str">
        <f t="shared" si="1"/>
        <v/>
      </c>
      <c r="J42" s="234"/>
      <c r="K42" s="234"/>
      <c r="L42" s="234"/>
      <c r="M42" s="234"/>
      <c r="N42" s="234"/>
      <c r="O42" s="234"/>
      <c r="P42" s="234"/>
      <c r="Q42" s="234"/>
      <c r="R42" s="234"/>
      <c r="S42" s="234"/>
      <c r="T42" s="234"/>
      <c r="U42" s="234"/>
      <c r="V42" s="234"/>
      <c r="W42" s="234"/>
      <c r="X42" s="234"/>
      <c r="Y42" s="234"/>
      <c r="Z42" s="234"/>
      <c r="AA42" s="234"/>
      <c r="AB42" s="234"/>
      <c r="AC42" s="234"/>
      <c r="AD42" s="234"/>
    </row>
    <row r="43" spans="2:30" s="240" customFormat="1" outlineLevel="1" x14ac:dyDescent="0.25">
      <c r="B43" s="176"/>
      <c r="C43" s="243"/>
      <c r="D43" s="889"/>
      <c r="E43" s="890"/>
      <c r="F43" s="890"/>
      <c r="G43" s="870" t="str">
        <f t="shared" si="0"/>
        <v/>
      </c>
      <c r="H43" s="870"/>
      <c r="I43" s="1080" t="str">
        <f t="shared" si="1"/>
        <v/>
      </c>
      <c r="J43" s="234"/>
      <c r="K43" s="234"/>
      <c r="L43" s="234"/>
      <c r="M43" s="234"/>
      <c r="N43" s="234"/>
      <c r="O43" s="234"/>
      <c r="P43" s="234"/>
      <c r="Q43" s="234"/>
      <c r="R43" s="234"/>
      <c r="S43" s="234"/>
      <c r="T43" s="234"/>
      <c r="U43" s="234"/>
      <c r="V43" s="234"/>
      <c r="W43" s="234"/>
      <c r="X43" s="234"/>
      <c r="Y43" s="234"/>
      <c r="Z43" s="234"/>
      <c r="AA43" s="234"/>
      <c r="AB43" s="234"/>
      <c r="AC43" s="234"/>
      <c r="AD43" s="234"/>
    </row>
    <row r="44" spans="2:30" s="240" customFormat="1" hidden="1" outlineLevel="2" x14ac:dyDescent="0.25">
      <c r="B44" s="176"/>
      <c r="C44" s="243"/>
      <c r="D44" s="889"/>
      <c r="E44" s="890"/>
      <c r="F44" s="890"/>
      <c r="G44" s="870" t="str">
        <f t="shared" si="0"/>
        <v/>
      </c>
      <c r="H44" s="870"/>
      <c r="I44" s="1080" t="str">
        <f t="shared" si="1"/>
        <v/>
      </c>
      <c r="J44" s="234"/>
      <c r="K44" s="234"/>
      <c r="L44" s="234"/>
      <c r="M44" s="234"/>
      <c r="N44" s="234"/>
      <c r="O44" s="234"/>
      <c r="P44" s="234"/>
      <c r="Q44" s="234"/>
      <c r="R44" s="234"/>
      <c r="S44" s="234"/>
      <c r="T44" s="234"/>
      <c r="U44" s="234"/>
      <c r="V44" s="234"/>
      <c r="W44" s="234"/>
      <c r="X44" s="234"/>
      <c r="Y44" s="234"/>
      <c r="Z44" s="234"/>
      <c r="AA44" s="234"/>
      <c r="AB44" s="234"/>
      <c r="AC44" s="234"/>
      <c r="AD44" s="234"/>
    </row>
    <row r="45" spans="2:30" s="240" customFormat="1" hidden="1" outlineLevel="2" x14ac:dyDescent="0.25">
      <c r="B45" s="176"/>
      <c r="C45" s="243"/>
      <c r="D45" s="889"/>
      <c r="E45" s="890"/>
      <c r="F45" s="890"/>
      <c r="G45" s="870" t="str">
        <f t="shared" si="0"/>
        <v/>
      </c>
      <c r="H45" s="870"/>
      <c r="I45" s="1080" t="str">
        <f t="shared" si="1"/>
        <v/>
      </c>
      <c r="J45" s="234"/>
      <c r="K45" s="234"/>
      <c r="L45" s="234"/>
      <c r="M45" s="234"/>
      <c r="N45" s="234"/>
      <c r="O45" s="234"/>
      <c r="P45" s="234"/>
      <c r="Q45" s="234"/>
      <c r="R45" s="234"/>
      <c r="S45" s="234"/>
      <c r="T45" s="234"/>
      <c r="U45" s="234"/>
      <c r="V45" s="234"/>
      <c r="W45" s="234"/>
      <c r="X45" s="234"/>
      <c r="Y45" s="234"/>
      <c r="Z45" s="234"/>
      <c r="AA45" s="234"/>
      <c r="AB45" s="234"/>
      <c r="AC45" s="234"/>
      <c r="AD45" s="234"/>
    </row>
    <row r="46" spans="2:30" s="240" customFormat="1" hidden="1" outlineLevel="2" x14ac:dyDescent="0.25">
      <c r="B46" s="176"/>
      <c r="C46" s="243"/>
      <c r="D46" s="889"/>
      <c r="E46" s="890"/>
      <c r="F46" s="890"/>
      <c r="G46" s="870" t="str">
        <f t="shared" si="0"/>
        <v/>
      </c>
      <c r="H46" s="870"/>
      <c r="I46" s="1080" t="str">
        <f t="shared" si="1"/>
        <v/>
      </c>
      <c r="J46" s="234"/>
      <c r="K46" s="234"/>
      <c r="L46" s="234"/>
      <c r="M46" s="234"/>
      <c r="N46" s="234"/>
      <c r="O46" s="234"/>
      <c r="P46" s="234"/>
      <c r="Q46" s="234"/>
      <c r="R46" s="234"/>
      <c r="S46" s="234"/>
      <c r="T46" s="234"/>
      <c r="U46" s="234"/>
      <c r="V46" s="234"/>
      <c r="W46" s="234"/>
      <c r="X46" s="234"/>
      <c r="Y46" s="234"/>
      <c r="Z46" s="234"/>
      <c r="AA46" s="234"/>
      <c r="AB46" s="234"/>
      <c r="AC46" s="234"/>
      <c r="AD46" s="234"/>
    </row>
    <row r="47" spans="2:30" s="240" customFormat="1" hidden="1" outlineLevel="2" x14ac:dyDescent="0.25">
      <c r="B47" s="176"/>
      <c r="C47" s="243"/>
      <c r="D47" s="889"/>
      <c r="E47" s="890"/>
      <c r="F47" s="890"/>
      <c r="G47" s="870" t="str">
        <f t="shared" si="0"/>
        <v/>
      </c>
      <c r="H47" s="870"/>
      <c r="I47" s="1080" t="str">
        <f t="shared" si="1"/>
        <v/>
      </c>
      <c r="J47" s="234"/>
      <c r="K47" s="234"/>
      <c r="L47" s="234"/>
      <c r="M47" s="234"/>
      <c r="N47" s="234"/>
      <c r="O47" s="234"/>
      <c r="P47" s="234"/>
      <c r="Q47" s="234"/>
      <c r="R47" s="234"/>
      <c r="S47" s="234"/>
      <c r="T47" s="234"/>
      <c r="U47" s="234"/>
      <c r="V47" s="234"/>
      <c r="W47" s="234"/>
      <c r="X47" s="234"/>
      <c r="Y47" s="234"/>
      <c r="Z47" s="234"/>
      <c r="AA47" s="234"/>
      <c r="AB47" s="234"/>
      <c r="AC47" s="234"/>
      <c r="AD47" s="234"/>
    </row>
    <row r="48" spans="2:30" s="240" customFormat="1" hidden="1" outlineLevel="2" x14ac:dyDescent="0.25">
      <c r="B48" s="176"/>
      <c r="C48" s="243"/>
      <c r="D48" s="889"/>
      <c r="E48" s="890"/>
      <c r="F48" s="890"/>
      <c r="G48" s="870" t="str">
        <f t="shared" si="0"/>
        <v/>
      </c>
      <c r="H48" s="870"/>
      <c r="I48" s="1080" t="str">
        <f t="shared" si="1"/>
        <v/>
      </c>
      <c r="J48" s="234"/>
      <c r="K48" s="234"/>
      <c r="L48" s="234"/>
      <c r="M48" s="234"/>
      <c r="N48" s="234"/>
      <c r="O48" s="234"/>
      <c r="P48" s="234"/>
      <c r="Q48" s="234"/>
      <c r="R48" s="234"/>
      <c r="S48" s="234"/>
      <c r="T48" s="234"/>
      <c r="U48" s="234"/>
      <c r="V48" s="234"/>
      <c r="W48" s="234"/>
      <c r="X48" s="234"/>
      <c r="Y48" s="234"/>
      <c r="Z48" s="234"/>
      <c r="AA48" s="234"/>
      <c r="AB48" s="234"/>
      <c r="AC48" s="234"/>
      <c r="AD48" s="234"/>
    </row>
    <row r="49" spans="2:30" s="240" customFormat="1" hidden="1" outlineLevel="2" x14ac:dyDescent="0.25">
      <c r="B49" s="176"/>
      <c r="C49" s="243"/>
      <c r="D49" s="889"/>
      <c r="E49" s="890"/>
      <c r="F49" s="890"/>
      <c r="G49" s="870" t="str">
        <f t="shared" si="0"/>
        <v/>
      </c>
      <c r="H49" s="870"/>
      <c r="I49" s="1080" t="str">
        <f t="shared" si="1"/>
        <v/>
      </c>
      <c r="J49" s="234"/>
      <c r="K49" s="234"/>
      <c r="L49" s="234"/>
      <c r="M49" s="234"/>
      <c r="N49" s="234"/>
      <c r="O49" s="234"/>
      <c r="P49" s="234"/>
      <c r="Q49" s="234"/>
      <c r="R49" s="234"/>
      <c r="S49" s="234"/>
      <c r="T49" s="234"/>
      <c r="U49" s="234"/>
      <c r="V49" s="234"/>
      <c r="W49" s="234"/>
      <c r="X49" s="234"/>
      <c r="Y49" s="234"/>
      <c r="Z49" s="234"/>
      <c r="AA49" s="234"/>
      <c r="AB49" s="234"/>
      <c r="AC49" s="234"/>
      <c r="AD49" s="234"/>
    </row>
    <row r="50" spans="2:30" s="240" customFormat="1" hidden="1" outlineLevel="2" x14ac:dyDescent="0.25">
      <c r="B50" s="176"/>
      <c r="C50" s="243"/>
      <c r="D50" s="889"/>
      <c r="E50" s="890"/>
      <c r="F50" s="890"/>
      <c r="G50" s="870" t="str">
        <f t="shared" si="0"/>
        <v/>
      </c>
      <c r="H50" s="870"/>
      <c r="I50" s="1080" t="str">
        <f t="shared" si="1"/>
        <v/>
      </c>
      <c r="J50" s="234"/>
      <c r="K50" s="234"/>
      <c r="L50" s="234"/>
      <c r="M50" s="234"/>
      <c r="N50" s="234"/>
      <c r="O50" s="234"/>
      <c r="P50" s="234"/>
      <c r="Q50" s="234"/>
      <c r="R50" s="234"/>
      <c r="S50" s="234"/>
      <c r="T50" s="234"/>
      <c r="U50" s="234"/>
      <c r="V50" s="234"/>
      <c r="W50" s="234"/>
      <c r="X50" s="234"/>
      <c r="Y50" s="234"/>
      <c r="Z50" s="234"/>
      <c r="AA50" s="234"/>
      <c r="AB50" s="234"/>
      <c r="AC50" s="234"/>
      <c r="AD50" s="234"/>
    </row>
    <row r="51" spans="2:30" s="240" customFormat="1" hidden="1" outlineLevel="2" x14ac:dyDescent="0.25">
      <c r="B51" s="176"/>
      <c r="C51" s="243"/>
      <c r="D51" s="889"/>
      <c r="E51" s="890"/>
      <c r="F51" s="890"/>
      <c r="G51" s="870" t="str">
        <f t="shared" si="0"/>
        <v/>
      </c>
      <c r="H51" s="870"/>
      <c r="I51" s="1080" t="str">
        <f t="shared" si="1"/>
        <v/>
      </c>
      <c r="J51" s="234"/>
      <c r="K51" s="234"/>
      <c r="L51" s="234"/>
      <c r="M51" s="234"/>
      <c r="N51" s="234"/>
      <c r="O51" s="234"/>
      <c r="P51" s="234"/>
      <c r="Q51" s="234"/>
      <c r="R51" s="234"/>
      <c r="S51" s="234"/>
      <c r="T51" s="234"/>
      <c r="U51" s="234"/>
      <c r="V51" s="234"/>
      <c r="W51" s="234"/>
      <c r="X51" s="234"/>
      <c r="Y51" s="234"/>
      <c r="Z51" s="234"/>
      <c r="AA51" s="234"/>
      <c r="AB51" s="234"/>
      <c r="AC51" s="234"/>
      <c r="AD51" s="234"/>
    </row>
    <row r="52" spans="2:30" s="240" customFormat="1" hidden="1" outlineLevel="2" x14ac:dyDescent="0.25">
      <c r="B52" s="176"/>
      <c r="C52" s="243"/>
      <c r="D52" s="889"/>
      <c r="E52" s="890"/>
      <c r="F52" s="890"/>
      <c r="G52" s="870" t="str">
        <f t="shared" si="0"/>
        <v/>
      </c>
      <c r="H52" s="870"/>
      <c r="I52" s="1080" t="str">
        <f t="shared" si="1"/>
        <v/>
      </c>
      <c r="J52" s="234"/>
      <c r="K52" s="234"/>
      <c r="L52" s="234"/>
      <c r="M52" s="234"/>
      <c r="N52" s="234"/>
      <c r="O52" s="234"/>
      <c r="P52" s="234"/>
      <c r="Q52" s="234"/>
      <c r="R52" s="234"/>
      <c r="S52" s="234"/>
      <c r="T52" s="234"/>
      <c r="U52" s="234"/>
      <c r="V52" s="234"/>
      <c r="W52" s="234"/>
      <c r="X52" s="234"/>
      <c r="Y52" s="234"/>
      <c r="Z52" s="234"/>
      <c r="AA52" s="234"/>
      <c r="AB52" s="234"/>
      <c r="AC52" s="234"/>
      <c r="AD52" s="234"/>
    </row>
    <row r="53" spans="2:30" s="240" customFormat="1" hidden="1" outlineLevel="2" x14ac:dyDescent="0.25">
      <c r="B53" s="176"/>
      <c r="C53" s="243"/>
      <c r="D53" s="889"/>
      <c r="E53" s="890"/>
      <c r="F53" s="890"/>
      <c r="G53" s="870" t="str">
        <f t="shared" si="0"/>
        <v/>
      </c>
      <c r="H53" s="870"/>
      <c r="I53" s="1080" t="str">
        <f t="shared" si="1"/>
        <v/>
      </c>
      <c r="J53" s="234"/>
      <c r="K53" s="234"/>
      <c r="L53" s="234"/>
      <c r="M53" s="234"/>
      <c r="N53" s="234"/>
      <c r="O53" s="234"/>
      <c r="P53" s="234"/>
      <c r="Q53" s="234"/>
      <c r="R53" s="234"/>
      <c r="S53" s="234"/>
      <c r="T53" s="234"/>
      <c r="U53" s="234"/>
      <c r="V53" s="234"/>
      <c r="W53" s="234"/>
      <c r="X53" s="234"/>
      <c r="Y53" s="234"/>
      <c r="Z53" s="234"/>
      <c r="AA53" s="234"/>
      <c r="AB53" s="234"/>
      <c r="AC53" s="234"/>
      <c r="AD53" s="234"/>
    </row>
    <row r="54" spans="2:30" s="240" customFormat="1" hidden="1" outlineLevel="2" x14ac:dyDescent="0.25">
      <c r="B54" s="176"/>
      <c r="C54" s="243"/>
      <c r="D54" s="889"/>
      <c r="E54" s="890"/>
      <c r="F54" s="890"/>
      <c r="G54" s="870" t="str">
        <f t="shared" si="0"/>
        <v/>
      </c>
      <c r="H54" s="870"/>
      <c r="I54" s="1080" t="str">
        <f t="shared" si="1"/>
        <v/>
      </c>
      <c r="J54" s="234"/>
      <c r="K54" s="234"/>
      <c r="L54" s="234"/>
      <c r="M54" s="234"/>
      <c r="N54" s="234"/>
      <c r="O54" s="234"/>
      <c r="P54" s="234"/>
      <c r="Q54" s="234"/>
      <c r="R54" s="234"/>
      <c r="S54" s="234"/>
      <c r="T54" s="234"/>
      <c r="U54" s="234"/>
      <c r="V54" s="234"/>
      <c r="W54" s="234"/>
      <c r="X54" s="234"/>
      <c r="Y54" s="234"/>
      <c r="Z54" s="234"/>
      <c r="AA54" s="234"/>
      <c r="AB54" s="234"/>
      <c r="AC54" s="234"/>
      <c r="AD54" s="234"/>
    </row>
    <row r="55" spans="2:30" s="240" customFormat="1" hidden="1" outlineLevel="2" x14ac:dyDescent="0.25">
      <c r="B55" s="176"/>
      <c r="C55" s="243"/>
      <c r="D55" s="889"/>
      <c r="E55" s="890"/>
      <c r="F55" s="890"/>
      <c r="G55" s="870" t="str">
        <f t="shared" si="0"/>
        <v/>
      </c>
      <c r="H55" s="870"/>
      <c r="I55" s="1080" t="str">
        <f t="shared" si="1"/>
        <v/>
      </c>
      <c r="J55" s="234"/>
      <c r="K55" s="234"/>
      <c r="L55" s="234"/>
      <c r="M55" s="234"/>
      <c r="N55" s="234"/>
      <c r="O55" s="234"/>
      <c r="P55" s="234"/>
      <c r="Q55" s="234"/>
      <c r="R55" s="234"/>
      <c r="S55" s="234"/>
      <c r="T55" s="234"/>
      <c r="U55" s="234"/>
      <c r="V55" s="234"/>
      <c r="W55" s="234"/>
      <c r="X55" s="234"/>
      <c r="Y55" s="234"/>
      <c r="Z55" s="234"/>
      <c r="AA55" s="234"/>
      <c r="AB55" s="234"/>
      <c r="AC55" s="234"/>
      <c r="AD55" s="234"/>
    </row>
    <row r="56" spans="2:30" s="240" customFormat="1" hidden="1" outlineLevel="2" x14ac:dyDescent="0.25">
      <c r="B56" s="176"/>
      <c r="C56" s="243"/>
      <c r="D56" s="889"/>
      <c r="E56" s="890"/>
      <c r="F56" s="890"/>
      <c r="G56" s="870" t="str">
        <f t="shared" si="0"/>
        <v/>
      </c>
      <c r="H56" s="870"/>
      <c r="I56" s="1080" t="str">
        <f t="shared" si="1"/>
        <v/>
      </c>
      <c r="J56" s="234"/>
      <c r="K56" s="234"/>
      <c r="L56" s="234"/>
      <c r="M56" s="234"/>
      <c r="N56" s="234"/>
      <c r="O56" s="234"/>
      <c r="P56" s="234"/>
      <c r="Q56" s="234"/>
      <c r="R56" s="234"/>
      <c r="S56" s="234"/>
      <c r="T56" s="234"/>
      <c r="U56" s="234"/>
      <c r="V56" s="234"/>
      <c r="W56" s="234"/>
      <c r="X56" s="234"/>
      <c r="Y56" s="234"/>
      <c r="Z56" s="234"/>
      <c r="AA56" s="234"/>
      <c r="AB56" s="234"/>
      <c r="AC56" s="234"/>
      <c r="AD56" s="234"/>
    </row>
    <row r="57" spans="2:30" s="240" customFormat="1" hidden="1" outlineLevel="2" x14ac:dyDescent="0.25">
      <c r="B57" s="176"/>
      <c r="C57" s="243"/>
      <c r="D57" s="889"/>
      <c r="E57" s="890"/>
      <c r="F57" s="890"/>
      <c r="G57" s="870" t="str">
        <f t="shared" si="0"/>
        <v/>
      </c>
      <c r="H57" s="870"/>
      <c r="I57" s="1080" t="str">
        <f t="shared" si="1"/>
        <v/>
      </c>
      <c r="J57" s="234"/>
      <c r="K57" s="234"/>
      <c r="L57" s="234"/>
      <c r="M57" s="234"/>
      <c r="N57" s="234"/>
      <c r="O57" s="234"/>
      <c r="P57" s="234"/>
      <c r="Q57" s="234"/>
      <c r="R57" s="234"/>
      <c r="S57" s="234"/>
      <c r="T57" s="234"/>
      <c r="U57" s="234"/>
      <c r="V57" s="234"/>
      <c r="W57" s="234"/>
      <c r="X57" s="234"/>
      <c r="Y57" s="234"/>
      <c r="Z57" s="234"/>
      <c r="AA57" s="234"/>
      <c r="AB57" s="234"/>
      <c r="AC57" s="234"/>
      <c r="AD57" s="234"/>
    </row>
    <row r="58" spans="2:30" s="240" customFormat="1" hidden="1" outlineLevel="2" x14ac:dyDescent="0.25">
      <c r="B58" s="176"/>
      <c r="C58" s="243"/>
      <c r="D58" s="889"/>
      <c r="E58" s="890"/>
      <c r="F58" s="890"/>
      <c r="G58" s="870" t="str">
        <f t="shared" si="0"/>
        <v/>
      </c>
      <c r="H58" s="870"/>
      <c r="I58" s="1080" t="str">
        <f t="shared" si="1"/>
        <v/>
      </c>
      <c r="J58" s="234"/>
      <c r="K58" s="234"/>
      <c r="L58" s="234"/>
      <c r="M58" s="234"/>
      <c r="N58" s="234"/>
      <c r="O58" s="234"/>
      <c r="P58" s="234"/>
      <c r="Q58" s="234"/>
      <c r="R58" s="234"/>
      <c r="S58" s="234"/>
      <c r="T58" s="234"/>
      <c r="U58" s="234"/>
      <c r="V58" s="234"/>
      <c r="W58" s="234"/>
      <c r="X58" s="234"/>
      <c r="Y58" s="234"/>
      <c r="Z58" s="234"/>
      <c r="AA58" s="234"/>
      <c r="AB58" s="234"/>
      <c r="AC58" s="234"/>
      <c r="AD58" s="234"/>
    </row>
    <row r="59" spans="2:30" s="240" customFormat="1" hidden="1" outlineLevel="2" x14ac:dyDescent="0.25">
      <c r="B59" s="176"/>
      <c r="C59" s="243"/>
      <c r="D59" s="889"/>
      <c r="E59" s="890"/>
      <c r="F59" s="890"/>
      <c r="G59" s="870" t="str">
        <f t="shared" si="0"/>
        <v/>
      </c>
      <c r="H59" s="870"/>
      <c r="I59" s="1080" t="str">
        <f t="shared" si="1"/>
        <v/>
      </c>
      <c r="J59" s="234"/>
      <c r="K59" s="234"/>
      <c r="L59" s="234"/>
      <c r="M59" s="234"/>
      <c r="N59" s="234"/>
      <c r="O59" s="234"/>
      <c r="P59" s="234"/>
      <c r="Q59" s="234"/>
      <c r="R59" s="234"/>
      <c r="S59" s="234"/>
      <c r="T59" s="234"/>
      <c r="U59" s="234"/>
      <c r="V59" s="234"/>
      <c r="W59" s="234"/>
      <c r="X59" s="234"/>
      <c r="Y59" s="234"/>
      <c r="Z59" s="234"/>
      <c r="AA59" s="234"/>
      <c r="AB59" s="234"/>
      <c r="AC59" s="234"/>
      <c r="AD59" s="234"/>
    </row>
    <row r="60" spans="2:30" s="240" customFormat="1" hidden="1" outlineLevel="2" x14ac:dyDescent="0.25">
      <c r="B60" s="176"/>
      <c r="C60" s="243"/>
      <c r="D60" s="889"/>
      <c r="E60" s="890"/>
      <c r="F60" s="890"/>
      <c r="G60" s="870" t="str">
        <f t="shared" si="0"/>
        <v/>
      </c>
      <c r="H60" s="870"/>
      <c r="I60" s="1080" t="str">
        <f t="shared" si="1"/>
        <v/>
      </c>
      <c r="J60" s="234"/>
      <c r="K60" s="234"/>
      <c r="L60" s="234"/>
      <c r="M60" s="234"/>
      <c r="N60" s="234"/>
      <c r="O60" s="234"/>
      <c r="P60" s="234"/>
      <c r="Q60" s="234"/>
      <c r="R60" s="234"/>
      <c r="S60" s="234"/>
      <c r="T60" s="234"/>
      <c r="U60" s="234"/>
      <c r="V60" s="234"/>
      <c r="W60" s="234"/>
      <c r="X60" s="234"/>
      <c r="Y60" s="234"/>
      <c r="Z60" s="234"/>
      <c r="AA60" s="234"/>
      <c r="AB60" s="234"/>
      <c r="AC60" s="234"/>
      <c r="AD60" s="234"/>
    </row>
    <row r="61" spans="2:30" s="240" customFormat="1" hidden="1" outlineLevel="2" x14ac:dyDescent="0.25">
      <c r="B61" s="176"/>
      <c r="C61" s="243"/>
      <c r="D61" s="889"/>
      <c r="E61" s="890"/>
      <c r="F61" s="890"/>
      <c r="G61" s="870" t="str">
        <f t="shared" si="0"/>
        <v/>
      </c>
      <c r="H61" s="870"/>
      <c r="I61" s="1080" t="str">
        <f t="shared" si="1"/>
        <v/>
      </c>
      <c r="J61" s="234"/>
      <c r="K61" s="234"/>
      <c r="L61" s="234"/>
      <c r="M61" s="234"/>
      <c r="N61" s="234"/>
      <c r="O61" s="234"/>
      <c r="P61" s="234"/>
      <c r="Q61" s="234"/>
      <c r="R61" s="234"/>
      <c r="S61" s="234"/>
      <c r="T61" s="234"/>
      <c r="U61" s="234"/>
      <c r="V61" s="234"/>
      <c r="W61" s="234"/>
      <c r="X61" s="234"/>
      <c r="Y61" s="234"/>
      <c r="Z61" s="234"/>
      <c r="AA61" s="234"/>
      <c r="AB61" s="234"/>
      <c r="AC61" s="234"/>
      <c r="AD61" s="234"/>
    </row>
    <row r="62" spans="2:30" s="240" customFormat="1" hidden="1" outlineLevel="2" x14ac:dyDescent="0.25">
      <c r="B62" s="176"/>
      <c r="C62" s="243"/>
      <c r="D62" s="889"/>
      <c r="E62" s="890"/>
      <c r="F62" s="890"/>
      <c r="G62" s="870" t="str">
        <f t="shared" si="0"/>
        <v/>
      </c>
      <c r="H62" s="870"/>
      <c r="I62" s="1080" t="str">
        <f t="shared" si="1"/>
        <v/>
      </c>
      <c r="J62" s="234"/>
      <c r="K62" s="234"/>
      <c r="L62" s="234"/>
      <c r="M62" s="234"/>
      <c r="N62" s="234"/>
      <c r="O62" s="234"/>
      <c r="P62" s="234"/>
      <c r="Q62" s="234"/>
      <c r="R62" s="234"/>
      <c r="S62" s="234"/>
      <c r="T62" s="234"/>
      <c r="U62" s="234"/>
      <c r="V62" s="234"/>
      <c r="W62" s="234"/>
      <c r="X62" s="234"/>
      <c r="Y62" s="234"/>
      <c r="Z62" s="234"/>
      <c r="AA62" s="234"/>
      <c r="AB62" s="234"/>
      <c r="AC62" s="234"/>
      <c r="AD62" s="234"/>
    </row>
    <row r="63" spans="2:30" s="240" customFormat="1" hidden="1" outlineLevel="2" x14ac:dyDescent="0.25">
      <c r="B63" s="176"/>
      <c r="C63" s="243"/>
      <c r="D63" s="889"/>
      <c r="E63" s="890"/>
      <c r="F63" s="890"/>
      <c r="G63" s="870" t="str">
        <f t="shared" si="0"/>
        <v/>
      </c>
      <c r="H63" s="870"/>
      <c r="I63" s="1080" t="str">
        <f t="shared" si="1"/>
        <v/>
      </c>
      <c r="J63" s="234"/>
      <c r="K63" s="234"/>
      <c r="L63" s="234"/>
      <c r="M63" s="234"/>
      <c r="N63" s="234"/>
      <c r="O63" s="234"/>
      <c r="P63" s="234"/>
      <c r="Q63" s="234"/>
      <c r="R63" s="234"/>
      <c r="S63" s="234"/>
      <c r="T63" s="234"/>
      <c r="U63" s="234"/>
      <c r="V63" s="234"/>
      <c r="W63" s="234"/>
      <c r="X63" s="234"/>
      <c r="Y63" s="234"/>
      <c r="Z63" s="234"/>
      <c r="AA63" s="234"/>
      <c r="AB63" s="234"/>
      <c r="AC63" s="234"/>
      <c r="AD63" s="234"/>
    </row>
    <row r="64" spans="2:30" s="240" customFormat="1" hidden="1" outlineLevel="2" x14ac:dyDescent="0.25">
      <c r="B64" s="176"/>
      <c r="C64" s="243"/>
      <c r="D64" s="889"/>
      <c r="E64" s="890"/>
      <c r="F64" s="890"/>
      <c r="G64" s="870" t="str">
        <f t="shared" si="0"/>
        <v/>
      </c>
      <c r="H64" s="870"/>
      <c r="I64" s="1080" t="str">
        <f t="shared" si="1"/>
        <v/>
      </c>
      <c r="J64" s="234"/>
      <c r="K64" s="234"/>
      <c r="L64" s="234"/>
      <c r="M64" s="234"/>
      <c r="N64" s="234"/>
      <c r="O64" s="234"/>
      <c r="P64" s="234"/>
      <c r="Q64" s="234"/>
      <c r="R64" s="234"/>
      <c r="S64" s="234"/>
      <c r="T64" s="234"/>
      <c r="U64" s="234"/>
      <c r="V64" s="234"/>
      <c r="W64" s="234"/>
      <c r="X64" s="234"/>
      <c r="Y64" s="234"/>
      <c r="Z64" s="234"/>
      <c r="AA64" s="234"/>
      <c r="AB64" s="234"/>
      <c r="AC64" s="234"/>
      <c r="AD64" s="234"/>
    </row>
    <row r="65" spans="2:30" s="240" customFormat="1" hidden="1" outlineLevel="2" x14ac:dyDescent="0.25">
      <c r="B65" s="176"/>
      <c r="C65" s="243"/>
      <c r="D65" s="889"/>
      <c r="E65" s="890"/>
      <c r="F65" s="890"/>
      <c r="G65" s="870" t="str">
        <f t="shared" ref="G65:G96" si="2">IF(OR(C65="",D65=""),"",D65*C65)</f>
        <v/>
      </c>
      <c r="H65" s="870"/>
      <c r="I65" s="1080" t="str">
        <f t="shared" si="1"/>
        <v/>
      </c>
      <c r="J65" s="234"/>
      <c r="K65" s="234"/>
      <c r="L65" s="234"/>
      <c r="M65" s="234"/>
      <c r="N65" s="234"/>
      <c r="O65" s="234"/>
      <c r="P65" s="234"/>
      <c r="Q65" s="234"/>
      <c r="R65" s="234"/>
      <c r="S65" s="234"/>
      <c r="T65" s="234"/>
      <c r="U65" s="234"/>
      <c r="V65" s="234"/>
      <c r="W65" s="234"/>
      <c r="X65" s="234"/>
      <c r="Y65" s="234"/>
      <c r="Z65" s="234"/>
      <c r="AA65" s="234"/>
      <c r="AB65" s="234"/>
      <c r="AC65" s="234"/>
      <c r="AD65" s="234"/>
    </row>
    <row r="66" spans="2:30" s="240" customFormat="1" hidden="1" outlineLevel="2" x14ac:dyDescent="0.25">
      <c r="B66" s="176"/>
      <c r="C66" s="243"/>
      <c r="D66" s="889"/>
      <c r="E66" s="890"/>
      <c r="F66" s="890"/>
      <c r="G66" s="870" t="str">
        <f t="shared" si="2"/>
        <v/>
      </c>
      <c r="H66" s="870"/>
      <c r="I66" s="1080" t="str">
        <f t="shared" si="1"/>
        <v/>
      </c>
      <c r="J66" s="234"/>
      <c r="K66" s="234"/>
      <c r="L66" s="234"/>
      <c r="M66" s="234"/>
      <c r="N66" s="234"/>
      <c r="O66" s="234"/>
      <c r="P66" s="234"/>
      <c r="Q66" s="234"/>
      <c r="R66" s="234"/>
      <c r="S66" s="234"/>
      <c r="T66" s="234"/>
      <c r="U66" s="234"/>
      <c r="V66" s="234"/>
      <c r="W66" s="234"/>
      <c r="X66" s="234"/>
      <c r="Y66" s="234"/>
      <c r="Z66" s="234"/>
      <c r="AA66" s="234"/>
      <c r="AB66" s="234"/>
      <c r="AC66" s="234"/>
      <c r="AD66" s="234"/>
    </row>
    <row r="67" spans="2:30" s="240" customFormat="1" hidden="1" outlineLevel="2" x14ac:dyDescent="0.25">
      <c r="B67" s="176"/>
      <c r="C67" s="243"/>
      <c r="D67" s="889"/>
      <c r="E67" s="890"/>
      <c r="F67" s="890"/>
      <c r="G67" s="870" t="str">
        <f t="shared" si="2"/>
        <v/>
      </c>
      <c r="H67" s="870"/>
      <c r="I67" s="1080" t="str">
        <f t="shared" si="1"/>
        <v/>
      </c>
      <c r="J67" s="234"/>
      <c r="K67" s="234"/>
      <c r="L67" s="234"/>
      <c r="M67" s="234"/>
      <c r="N67" s="234"/>
      <c r="O67" s="234"/>
      <c r="P67" s="234"/>
      <c r="Q67" s="234"/>
      <c r="R67" s="234"/>
      <c r="S67" s="234"/>
      <c r="T67" s="234"/>
      <c r="U67" s="234"/>
      <c r="V67" s="234"/>
      <c r="W67" s="234"/>
      <c r="X67" s="234"/>
      <c r="Y67" s="234"/>
      <c r="Z67" s="234"/>
      <c r="AA67" s="234"/>
      <c r="AB67" s="234"/>
      <c r="AC67" s="234"/>
      <c r="AD67" s="234"/>
    </row>
    <row r="68" spans="2:30" s="240" customFormat="1" hidden="1" outlineLevel="2" x14ac:dyDescent="0.25">
      <c r="B68" s="176"/>
      <c r="C68" s="243"/>
      <c r="D68" s="889"/>
      <c r="E68" s="890"/>
      <c r="F68" s="890"/>
      <c r="G68" s="870" t="str">
        <f t="shared" si="2"/>
        <v/>
      </c>
      <c r="H68" s="870"/>
      <c r="I68" s="1080" t="str">
        <f t="shared" si="1"/>
        <v/>
      </c>
      <c r="J68" s="234"/>
      <c r="K68" s="234"/>
      <c r="L68" s="234"/>
      <c r="M68" s="234"/>
      <c r="N68" s="234"/>
      <c r="O68" s="234"/>
      <c r="P68" s="234"/>
      <c r="Q68" s="234"/>
      <c r="R68" s="234"/>
      <c r="S68" s="234"/>
      <c r="T68" s="234"/>
      <c r="U68" s="234"/>
      <c r="V68" s="234"/>
      <c r="W68" s="234"/>
      <c r="X68" s="234"/>
      <c r="Y68" s="234"/>
      <c r="Z68" s="234"/>
      <c r="AA68" s="234"/>
      <c r="AB68" s="234"/>
      <c r="AC68" s="234"/>
      <c r="AD68" s="234"/>
    </row>
    <row r="69" spans="2:30" s="240" customFormat="1" hidden="1" outlineLevel="2" x14ac:dyDescent="0.25">
      <c r="B69" s="176"/>
      <c r="C69" s="243"/>
      <c r="D69" s="889"/>
      <c r="E69" s="890"/>
      <c r="F69" s="890"/>
      <c r="G69" s="870" t="str">
        <f t="shared" si="2"/>
        <v/>
      </c>
      <c r="H69" s="870"/>
      <c r="I69" s="1080" t="str">
        <f t="shared" si="1"/>
        <v/>
      </c>
      <c r="J69" s="234"/>
      <c r="K69" s="234"/>
      <c r="L69" s="234"/>
      <c r="M69" s="234"/>
      <c r="N69" s="234"/>
      <c r="O69" s="234"/>
      <c r="P69" s="234"/>
      <c r="Q69" s="234"/>
      <c r="R69" s="234"/>
      <c r="S69" s="234"/>
      <c r="T69" s="234"/>
      <c r="U69" s="234"/>
      <c r="V69" s="234"/>
      <c r="W69" s="234"/>
      <c r="X69" s="234"/>
      <c r="Y69" s="234"/>
      <c r="Z69" s="234"/>
      <c r="AA69" s="234"/>
      <c r="AB69" s="234"/>
      <c r="AC69" s="234"/>
      <c r="AD69" s="234"/>
    </row>
    <row r="70" spans="2:30" s="240" customFormat="1" hidden="1" outlineLevel="2" x14ac:dyDescent="0.25">
      <c r="B70" s="176"/>
      <c r="C70" s="243"/>
      <c r="D70" s="889"/>
      <c r="E70" s="890"/>
      <c r="F70" s="890"/>
      <c r="G70" s="870" t="str">
        <f t="shared" si="2"/>
        <v/>
      </c>
      <c r="H70" s="870"/>
      <c r="I70" s="1080" t="str">
        <f t="shared" si="1"/>
        <v/>
      </c>
      <c r="J70" s="234"/>
      <c r="K70" s="234"/>
      <c r="L70" s="234"/>
      <c r="M70" s="234"/>
      <c r="N70" s="234"/>
      <c r="O70" s="234"/>
      <c r="P70" s="234"/>
      <c r="Q70" s="234"/>
      <c r="R70" s="234"/>
      <c r="S70" s="234"/>
      <c r="T70" s="234"/>
      <c r="U70" s="234"/>
      <c r="V70" s="234"/>
      <c r="W70" s="234"/>
      <c r="X70" s="234"/>
      <c r="Y70" s="234"/>
      <c r="Z70" s="234"/>
      <c r="AA70" s="234"/>
      <c r="AB70" s="234"/>
      <c r="AC70" s="234"/>
      <c r="AD70" s="234"/>
    </row>
    <row r="71" spans="2:30" s="240" customFormat="1" hidden="1" outlineLevel="2" x14ac:dyDescent="0.25">
      <c r="B71" s="176"/>
      <c r="C71" s="243"/>
      <c r="D71" s="889"/>
      <c r="E71" s="890"/>
      <c r="F71" s="890"/>
      <c r="G71" s="870" t="str">
        <f t="shared" si="2"/>
        <v/>
      </c>
      <c r="H71" s="870"/>
      <c r="I71" s="1080" t="str">
        <f t="shared" si="1"/>
        <v/>
      </c>
      <c r="J71" s="234"/>
      <c r="K71" s="234"/>
      <c r="L71" s="234"/>
      <c r="M71" s="234"/>
      <c r="N71" s="234"/>
      <c r="O71" s="234"/>
      <c r="P71" s="234"/>
      <c r="Q71" s="234"/>
      <c r="R71" s="234"/>
      <c r="S71" s="234"/>
      <c r="T71" s="234"/>
      <c r="U71" s="234"/>
      <c r="V71" s="234"/>
      <c r="W71" s="234"/>
      <c r="X71" s="234"/>
      <c r="Y71" s="234"/>
      <c r="Z71" s="234"/>
      <c r="AA71" s="234"/>
      <c r="AB71" s="234"/>
      <c r="AC71" s="234"/>
      <c r="AD71" s="234"/>
    </row>
    <row r="72" spans="2:30" s="240" customFormat="1" hidden="1" outlineLevel="2" x14ac:dyDescent="0.25">
      <c r="B72" s="176"/>
      <c r="C72" s="243"/>
      <c r="D72" s="889"/>
      <c r="E72" s="890"/>
      <c r="F72" s="890"/>
      <c r="G72" s="870" t="str">
        <f t="shared" si="2"/>
        <v/>
      </c>
      <c r="H72" s="870"/>
      <c r="I72" s="1080" t="str">
        <f t="shared" si="1"/>
        <v/>
      </c>
      <c r="J72" s="234"/>
      <c r="K72" s="234"/>
      <c r="L72" s="234"/>
      <c r="M72" s="234"/>
      <c r="N72" s="234"/>
      <c r="O72" s="234"/>
      <c r="P72" s="234"/>
      <c r="Q72" s="234"/>
      <c r="R72" s="234"/>
      <c r="S72" s="234"/>
      <c r="T72" s="234"/>
      <c r="U72" s="234"/>
      <c r="V72" s="234"/>
      <c r="W72" s="234"/>
      <c r="X72" s="234"/>
      <c r="Y72" s="234"/>
      <c r="Z72" s="234"/>
      <c r="AA72" s="234"/>
      <c r="AB72" s="234"/>
      <c r="AC72" s="234"/>
      <c r="AD72" s="234"/>
    </row>
    <row r="73" spans="2:30" s="240" customFormat="1" hidden="1" outlineLevel="2" x14ac:dyDescent="0.25">
      <c r="B73" s="176"/>
      <c r="C73" s="243"/>
      <c r="D73" s="889"/>
      <c r="E73" s="890"/>
      <c r="F73" s="890"/>
      <c r="G73" s="870" t="str">
        <f t="shared" si="2"/>
        <v/>
      </c>
      <c r="H73" s="870"/>
      <c r="I73" s="1080" t="str">
        <f t="shared" si="1"/>
        <v/>
      </c>
      <c r="J73" s="234"/>
      <c r="K73" s="234"/>
      <c r="L73" s="234"/>
      <c r="M73" s="234"/>
      <c r="N73" s="234"/>
      <c r="O73" s="234"/>
      <c r="P73" s="234"/>
      <c r="Q73" s="234"/>
      <c r="R73" s="234"/>
      <c r="S73" s="234"/>
      <c r="T73" s="234"/>
      <c r="U73" s="234"/>
      <c r="V73" s="234"/>
      <c r="W73" s="234"/>
      <c r="X73" s="234"/>
      <c r="Y73" s="234"/>
      <c r="Z73" s="234"/>
      <c r="AA73" s="234"/>
      <c r="AB73" s="234"/>
      <c r="AC73" s="234"/>
      <c r="AD73" s="234"/>
    </row>
    <row r="74" spans="2:30" s="240" customFormat="1" hidden="1" outlineLevel="2" x14ac:dyDescent="0.25">
      <c r="B74" s="176"/>
      <c r="C74" s="243"/>
      <c r="D74" s="889"/>
      <c r="E74" s="890"/>
      <c r="F74" s="890"/>
      <c r="G74" s="870" t="str">
        <f t="shared" si="2"/>
        <v/>
      </c>
      <c r="H74" s="870"/>
      <c r="I74" s="1080" t="str">
        <f t="shared" si="1"/>
        <v/>
      </c>
      <c r="J74" s="234"/>
      <c r="K74" s="234"/>
      <c r="L74" s="234"/>
      <c r="M74" s="234"/>
      <c r="N74" s="234"/>
      <c r="O74" s="234"/>
      <c r="P74" s="234"/>
      <c r="Q74" s="234"/>
      <c r="R74" s="234"/>
      <c r="S74" s="234"/>
      <c r="T74" s="234"/>
      <c r="U74" s="234"/>
      <c r="V74" s="234"/>
      <c r="W74" s="234"/>
      <c r="X74" s="234"/>
      <c r="Y74" s="234"/>
      <c r="Z74" s="234"/>
      <c r="AA74" s="234"/>
      <c r="AB74" s="234"/>
      <c r="AC74" s="234"/>
      <c r="AD74" s="234"/>
    </row>
    <row r="75" spans="2:30" s="240" customFormat="1" hidden="1" outlineLevel="2" x14ac:dyDescent="0.25">
      <c r="B75" s="176"/>
      <c r="C75" s="243"/>
      <c r="D75" s="889"/>
      <c r="E75" s="890"/>
      <c r="F75" s="890"/>
      <c r="G75" s="870" t="str">
        <f t="shared" si="2"/>
        <v/>
      </c>
      <c r="H75" s="870"/>
      <c r="I75" s="1080" t="str">
        <f t="shared" si="1"/>
        <v/>
      </c>
      <c r="J75" s="234"/>
      <c r="K75" s="234"/>
      <c r="L75" s="234"/>
      <c r="M75" s="234"/>
      <c r="N75" s="234"/>
      <c r="O75" s="234"/>
      <c r="P75" s="234"/>
      <c r="Q75" s="234"/>
      <c r="R75" s="234"/>
      <c r="S75" s="234"/>
      <c r="T75" s="234"/>
      <c r="U75" s="234"/>
      <c r="V75" s="234"/>
      <c r="W75" s="234"/>
      <c r="X75" s="234"/>
      <c r="Y75" s="234"/>
      <c r="Z75" s="234"/>
      <c r="AA75" s="234"/>
      <c r="AB75" s="234"/>
      <c r="AC75" s="234"/>
      <c r="AD75" s="234"/>
    </row>
    <row r="76" spans="2:30" s="240" customFormat="1" hidden="1" outlineLevel="2" x14ac:dyDescent="0.25">
      <c r="B76" s="176"/>
      <c r="C76" s="243"/>
      <c r="D76" s="889"/>
      <c r="E76" s="890"/>
      <c r="F76" s="890"/>
      <c r="G76" s="870" t="str">
        <f t="shared" si="2"/>
        <v/>
      </c>
      <c r="H76" s="870"/>
      <c r="I76" s="1080" t="str">
        <f t="shared" si="1"/>
        <v/>
      </c>
      <c r="J76" s="234"/>
      <c r="K76" s="234"/>
      <c r="L76" s="234"/>
      <c r="M76" s="234"/>
      <c r="N76" s="234"/>
      <c r="O76" s="234"/>
      <c r="P76" s="234"/>
      <c r="Q76" s="234"/>
      <c r="R76" s="234"/>
      <c r="S76" s="234"/>
      <c r="T76" s="234"/>
      <c r="U76" s="234"/>
      <c r="V76" s="234"/>
      <c r="W76" s="234"/>
      <c r="X76" s="234"/>
      <c r="Y76" s="234"/>
      <c r="Z76" s="234"/>
      <c r="AA76" s="234"/>
      <c r="AB76" s="234"/>
      <c r="AC76" s="234"/>
      <c r="AD76" s="234"/>
    </row>
    <row r="77" spans="2:30" s="240" customFormat="1" hidden="1" outlineLevel="2" x14ac:dyDescent="0.25">
      <c r="B77" s="176"/>
      <c r="C77" s="243"/>
      <c r="D77" s="889"/>
      <c r="E77" s="890"/>
      <c r="F77" s="890"/>
      <c r="G77" s="870" t="str">
        <f t="shared" si="2"/>
        <v/>
      </c>
      <c r="H77" s="870"/>
      <c r="I77" s="1080" t="str">
        <f t="shared" si="1"/>
        <v/>
      </c>
      <c r="J77" s="234"/>
      <c r="K77" s="234"/>
      <c r="L77" s="234"/>
      <c r="M77" s="234"/>
      <c r="N77" s="234"/>
      <c r="O77" s="234"/>
      <c r="P77" s="234"/>
      <c r="Q77" s="234"/>
      <c r="R77" s="234"/>
      <c r="S77" s="234"/>
      <c r="T77" s="234"/>
      <c r="U77" s="234"/>
      <c r="V77" s="234"/>
      <c r="W77" s="234"/>
      <c r="X77" s="234"/>
      <c r="Y77" s="234"/>
      <c r="Z77" s="234"/>
      <c r="AA77" s="234"/>
      <c r="AB77" s="234"/>
      <c r="AC77" s="234"/>
      <c r="AD77" s="234"/>
    </row>
    <row r="78" spans="2:30" s="240" customFormat="1" hidden="1" outlineLevel="2" x14ac:dyDescent="0.25">
      <c r="B78" s="176"/>
      <c r="C78" s="243"/>
      <c r="D78" s="889"/>
      <c r="E78" s="890"/>
      <c r="F78" s="890"/>
      <c r="G78" s="870" t="str">
        <f t="shared" si="2"/>
        <v/>
      </c>
      <c r="H78" s="870"/>
      <c r="I78" s="1080" t="str">
        <f t="shared" si="1"/>
        <v/>
      </c>
      <c r="J78" s="234"/>
      <c r="K78" s="234"/>
      <c r="L78" s="234"/>
      <c r="M78" s="234"/>
      <c r="N78" s="234"/>
      <c r="O78" s="234"/>
      <c r="P78" s="234"/>
      <c r="Q78" s="234"/>
      <c r="R78" s="234"/>
      <c r="S78" s="234"/>
      <c r="T78" s="234"/>
      <c r="U78" s="234"/>
      <c r="V78" s="234"/>
      <c r="W78" s="234"/>
      <c r="X78" s="234"/>
      <c r="Y78" s="234"/>
      <c r="Z78" s="234"/>
      <c r="AA78" s="234"/>
      <c r="AB78" s="234"/>
      <c r="AC78" s="234"/>
      <c r="AD78" s="234"/>
    </row>
    <row r="79" spans="2:30" s="240" customFormat="1" hidden="1" outlineLevel="2" x14ac:dyDescent="0.25">
      <c r="B79" s="176"/>
      <c r="C79" s="243"/>
      <c r="D79" s="889"/>
      <c r="E79" s="890"/>
      <c r="F79" s="890"/>
      <c r="G79" s="870" t="str">
        <f t="shared" si="2"/>
        <v/>
      </c>
      <c r="H79" s="870"/>
      <c r="I79" s="1080" t="str">
        <f t="shared" si="1"/>
        <v/>
      </c>
      <c r="J79" s="234"/>
      <c r="K79" s="234"/>
      <c r="L79" s="234"/>
      <c r="M79" s="234"/>
      <c r="N79" s="234"/>
      <c r="O79" s="234"/>
      <c r="P79" s="234"/>
      <c r="Q79" s="234"/>
      <c r="R79" s="234"/>
      <c r="S79" s="234"/>
      <c r="T79" s="234"/>
      <c r="U79" s="234"/>
      <c r="V79" s="234"/>
      <c r="W79" s="234"/>
      <c r="X79" s="234"/>
      <c r="Y79" s="234"/>
      <c r="Z79" s="234"/>
      <c r="AA79" s="234"/>
      <c r="AB79" s="234"/>
      <c r="AC79" s="234"/>
      <c r="AD79" s="234"/>
    </row>
    <row r="80" spans="2:30" s="240" customFormat="1" hidden="1" outlineLevel="2" x14ac:dyDescent="0.25">
      <c r="B80" s="176"/>
      <c r="C80" s="243"/>
      <c r="D80" s="889"/>
      <c r="E80" s="890"/>
      <c r="F80" s="890"/>
      <c r="G80" s="870" t="str">
        <f t="shared" si="2"/>
        <v/>
      </c>
      <c r="H80" s="870"/>
      <c r="I80" s="1080" t="str">
        <f t="shared" si="1"/>
        <v/>
      </c>
      <c r="J80" s="234"/>
      <c r="K80" s="234"/>
      <c r="L80" s="234"/>
      <c r="M80" s="234"/>
      <c r="N80" s="234"/>
      <c r="O80" s="234"/>
      <c r="P80" s="234"/>
      <c r="Q80" s="234"/>
      <c r="R80" s="234"/>
      <c r="S80" s="234"/>
      <c r="T80" s="234"/>
      <c r="U80" s="234"/>
      <c r="V80" s="234"/>
      <c r="W80" s="234"/>
      <c r="X80" s="234"/>
      <c r="Y80" s="234"/>
      <c r="Z80" s="234"/>
      <c r="AA80" s="234"/>
      <c r="AB80" s="234"/>
      <c r="AC80" s="234"/>
      <c r="AD80" s="234"/>
    </row>
    <row r="81" spans="2:30" s="240" customFormat="1" hidden="1" outlineLevel="2" x14ac:dyDescent="0.25">
      <c r="B81" s="176"/>
      <c r="C81" s="243"/>
      <c r="D81" s="889"/>
      <c r="E81" s="890"/>
      <c r="F81" s="890"/>
      <c r="G81" s="870" t="str">
        <f t="shared" si="2"/>
        <v/>
      </c>
      <c r="H81" s="870"/>
      <c r="I81" s="1080" t="str">
        <f t="shared" si="1"/>
        <v/>
      </c>
      <c r="J81" s="234"/>
      <c r="K81" s="234"/>
      <c r="L81" s="234"/>
      <c r="M81" s="234"/>
      <c r="N81" s="234"/>
      <c r="O81" s="234"/>
      <c r="P81" s="234"/>
      <c r="Q81" s="234"/>
      <c r="R81" s="234"/>
      <c r="S81" s="234"/>
      <c r="T81" s="234"/>
      <c r="U81" s="234"/>
      <c r="V81" s="234"/>
      <c r="W81" s="234"/>
      <c r="X81" s="234"/>
      <c r="Y81" s="234"/>
      <c r="Z81" s="234"/>
      <c r="AA81" s="234"/>
      <c r="AB81" s="234"/>
      <c r="AC81" s="234"/>
      <c r="AD81" s="234"/>
    </row>
    <row r="82" spans="2:30" s="240" customFormat="1" hidden="1" outlineLevel="2" x14ac:dyDescent="0.25">
      <c r="B82" s="176"/>
      <c r="C82" s="243"/>
      <c r="D82" s="889"/>
      <c r="E82" s="890"/>
      <c r="F82" s="890"/>
      <c r="G82" s="870" t="str">
        <f t="shared" si="2"/>
        <v/>
      </c>
      <c r="H82" s="870"/>
      <c r="I82" s="1080" t="str">
        <f t="shared" si="1"/>
        <v/>
      </c>
      <c r="J82" s="234"/>
      <c r="K82" s="234"/>
      <c r="L82" s="234"/>
      <c r="M82" s="234"/>
      <c r="N82" s="234"/>
      <c r="O82" s="234"/>
      <c r="P82" s="234"/>
      <c r="Q82" s="234"/>
      <c r="R82" s="234"/>
      <c r="S82" s="234"/>
      <c r="T82" s="234"/>
      <c r="U82" s="234"/>
      <c r="V82" s="234"/>
      <c r="W82" s="234"/>
      <c r="X82" s="234"/>
      <c r="Y82" s="234"/>
      <c r="Z82" s="234"/>
      <c r="AA82" s="234"/>
      <c r="AB82" s="234"/>
      <c r="AC82" s="234"/>
      <c r="AD82" s="234"/>
    </row>
    <row r="83" spans="2:30" s="240" customFormat="1" hidden="1" outlineLevel="2" x14ac:dyDescent="0.25">
      <c r="B83" s="176"/>
      <c r="C83" s="243"/>
      <c r="D83" s="889"/>
      <c r="E83" s="890"/>
      <c r="F83" s="890"/>
      <c r="G83" s="870" t="str">
        <f t="shared" si="2"/>
        <v/>
      </c>
      <c r="H83" s="870"/>
      <c r="I83" s="1080" t="str">
        <f t="shared" si="1"/>
        <v/>
      </c>
      <c r="J83" s="234"/>
      <c r="K83" s="234"/>
      <c r="L83" s="234"/>
      <c r="M83" s="234"/>
      <c r="N83" s="234"/>
      <c r="O83" s="234"/>
      <c r="P83" s="234"/>
      <c r="Q83" s="234"/>
      <c r="R83" s="234"/>
      <c r="S83" s="234"/>
      <c r="T83" s="234"/>
      <c r="U83" s="234"/>
      <c r="V83" s="234"/>
      <c r="W83" s="234"/>
      <c r="X83" s="234"/>
      <c r="Y83" s="234"/>
      <c r="Z83" s="234"/>
      <c r="AA83" s="234"/>
      <c r="AB83" s="234"/>
      <c r="AC83" s="234"/>
      <c r="AD83" s="234"/>
    </row>
    <row r="84" spans="2:30" s="240" customFormat="1" hidden="1" outlineLevel="2" x14ac:dyDescent="0.25">
      <c r="B84" s="176"/>
      <c r="C84" s="243"/>
      <c r="D84" s="889"/>
      <c r="E84" s="890"/>
      <c r="F84" s="890"/>
      <c r="G84" s="870" t="str">
        <f t="shared" si="2"/>
        <v/>
      </c>
      <c r="H84" s="870"/>
      <c r="I84" s="1080" t="str">
        <f t="shared" si="1"/>
        <v/>
      </c>
      <c r="J84" s="234"/>
      <c r="K84" s="234"/>
      <c r="L84" s="234"/>
      <c r="M84" s="234"/>
      <c r="N84" s="234"/>
      <c r="O84" s="234"/>
      <c r="P84" s="234"/>
      <c r="Q84" s="234"/>
      <c r="R84" s="234"/>
      <c r="S84" s="234"/>
      <c r="T84" s="234"/>
      <c r="U84" s="234"/>
      <c r="V84" s="234"/>
      <c r="W84" s="234"/>
      <c r="X84" s="234"/>
      <c r="Y84" s="234"/>
      <c r="Z84" s="234"/>
      <c r="AA84" s="234"/>
      <c r="AB84" s="234"/>
      <c r="AC84" s="234"/>
      <c r="AD84" s="234"/>
    </row>
    <row r="85" spans="2:30" s="240" customFormat="1" hidden="1" outlineLevel="2" x14ac:dyDescent="0.25">
      <c r="B85" s="176"/>
      <c r="C85" s="243"/>
      <c r="D85" s="889"/>
      <c r="E85" s="890"/>
      <c r="F85" s="890"/>
      <c r="G85" s="870" t="str">
        <f t="shared" si="2"/>
        <v/>
      </c>
      <c r="H85" s="870"/>
      <c r="I85" s="1080" t="str">
        <f t="shared" si="1"/>
        <v/>
      </c>
      <c r="J85" s="234"/>
      <c r="K85" s="234"/>
      <c r="L85" s="234"/>
      <c r="M85" s="234"/>
      <c r="N85" s="234"/>
      <c r="O85" s="234"/>
      <c r="P85" s="234"/>
      <c r="Q85" s="234"/>
      <c r="R85" s="234"/>
      <c r="S85" s="234"/>
      <c r="T85" s="234"/>
      <c r="U85" s="234"/>
      <c r="V85" s="234"/>
      <c r="W85" s="234"/>
      <c r="X85" s="234"/>
      <c r="Y85" s="234"/>
      <c r="Z85" s="234"/>
      <c r="AA85" s="234"/>
      <c r="AB85" s="234"/>
      <c r="AC85" s="234"/>
      <c r="AD85" s="234"/>
    </row>
    <row r="86" spans="2:30" s="240" customFormat="1" hidden="1" outlineLevel="2" x14ac:dyDescent="0.25">
      <c r="B86" s="176"/>
      <c r="C86" s="243"/>
      <c r="D86" s="889"/>
      <c r="E86" s="890"/>
      <c r="F86" s="890"/>
      <c r="G86" s="870" t="str">
        <f t="shared" si="2"/>
        <v/>
      </c>
      <c r="H86" s="870"/>
      <c r="I86" s="1080" t="str">
        <f t="shared" si="1"/>
        <v/>
      </c>
      <c r="J86" s="234"/>
      <c r="K86" s="234"/>
      <c r="L86" s="234"/>
      <c r="M86" s="234"/>
      <c r="N86" s="234"/>
      <c r="O86" s="234"/>
      <c r="P86" s="234"/>
      <c r="Q86" s="234"/>
      <c r="R86" s="234"/>
      <c r="S86" s="234"/>
      <c r="T86" s="234"/>
      <c r="U86" s="234"/>
      <c r="V86" s="234"/>
      <c r="W86" s="234"/>
      <c r="X86" s="234"/>
      <c r="Y86" s="234"/>
      <c r="Z86" s="234"/>
      <c r="AA86" s="234"/>
      <c r="AB86" s="234"/>
      <c r="AC86" s="234"/>
      <c r="AD86" s="234"/>
    </row>
    <row r="87" spans="2:30" s="240" customFormat="1" hidden="1" outlineLevel="2" x14ac:dyDescent="0.25">
      <c r="B87" s="176"/>
      <c r="C87" s="243"/>
      <c r="D87" s="889"/>
      <c r="E87" s="890"/>
      <c r="F87" s="890"/>
      <c r="G87" s="870" t="str">
        <f t="shared" si="2"/>
        <v/>
      </c>
      <c r="H87" s="870"/>
      <c r="I87" s="1080" t="str">
        <f t="shared" si="1"/>
        <v/>
      </c>
      <c r="J87" s="234"/>
      <c r="K87" s="234"/>
      <c r="L87" s="234"/>
      <c r="M87" s="234"/>
      <c r="N87" s="234"/>
      <c r="O87" s="234"/>
      <c r="P87" s="234"/>
      <c r="Q87" s="234"/>
      <c r="R87" s="234"/>
      <c r="S87" s="234"/>
      <c r="T87" s="234"/>
      <c r="U87" s="234"/>
      <c r="V87" s="234"/>
      <c r="W87" s="234"/>
      <c r="X87" s="234"/>
      <c r="Y87" s="234"/>
      <c r="Z87" s="234"/>
      <c r="AA87" s="234"/>
      <c r="AB87" s="234"/>
      <c r="AC87" s="234"/>
      <c r="AD87" s="234"/>
    </row>
    <row r="88" spans="2:30" s="240" customFormat="1" hidden="1" outlineLevel="2" x14ac:dyDescent="0.25">
      <c r="B88" s="176"/>
      <c r="C88" s="243"/>
      <c r="D88" s="889"/>
      <c r="E88" s="890"/>
      <c r="F88" s="890"/>
      <c r="G88" s="870" t="str">
        <f t="shared" si="2"/>
        <v/>
      </c>
      <c r="H88" s="870"/>
      <c r="I88" s="1080" t="str">
        <f t="shared" si="1"/>
        <v/>
      </c>
      <c r="J88" s="234"/>
      <c r="K88" s="234"/>
      <c r="L88" s="234"/>
      <c r="M88" s="234"/>
      <c r="N88" s="234"/>
      <c r="O88" s="234"/>
      <c r="P88" s="234"/>
      <c r="Q88" s="234"/>
      <c r="R88" s="234"/>
      <c r="S88" s="234"/>
      <c r="T88" s="234"/>
      <c r="U88" s="234"/>
      <c r="V88" s="234"/>
      <c r="W88" s="234"/>
      <c r="X88" s="234"/>
      <c r="Y88" s="234"/>
      <c r="Z88" s="234"/>
      <c r="AA88" s="234"/>
      <c r="AB88" s="234"/>
      <c r="AC88" s="234"/>
      <c r="AD88" s="234"/>
    </row>
    <row r="89" spans="2:30" s="240" customFormat="1" hidden="1" outlineLevel="2" x14ac:dyDescent="0.25">
      <c r="B89" s="176"/>
      <c r="C89" s="243"/>
      <c r="D89" s="889"/>
      <c r="E89" s="890"/>
      <c r="F89" s="890"/>
      <c r="G89" s="870" t="str">
        <f t="shared" si="2"/>
        <v/>
      </c>
      <c r="H89" s="870"/>
      <c r="I89" s="1080" t="str">
        <f t="shared" si="1"/>
        <v/>
      </c>
      <c r="J89" s="234"/>
      <c r="K89" s="234"/>
      <c r="L89" s="234"/>
      <c r="M89" s="234"/>
      <c r="N89" s="234"/>
      <c r="O89" s="234"/>
      <c r="P89" s="234"/>
      <c r="Q89" s="234"/>
      <c r="R89" s="234"/>
      <c r="S89" s="234"/>
      <c r="T89" s="234"/>
      <c r="U89" s="234"/>
      <c r="V89" s="234"/>
      <c r="W89" s="234"/>
      <c r="X89" s="234"/>
      <c r="Y89" s="234"/>
      <c r="Z89" s="234"/>
      <c r="AA89" s="234"/>
      <c r="AB89" s="234"/>
      <c r="AC89" s="234"/>
      <c r="AD89" s="234"/>
    </row>
    <row r="90" spans="2:30" s="240" customFormat="1" hidden="1" outlineLevel="2" x14ac:dyDescent="0.25">
      <c r="B90" s="176"/>
      <c r="C90" s="243"/>
      <c r="D90" s="889"/>
      <c r="E90" s="890"/>
      <c r="F90" s="890"/>
      <c r="G90" s="870" t="str">
        <f t="shared" si="2"/>
        <v/>
      </c>
      <c r="H90" s="870"/>
      <c r="I90" s="1080" t="str">
        <f t="shared" si="1"/>
        <v/>
      </c>
      <c r="J90" s="234"/>
      <c r="K90" s="234"/>
      <c r="L90" s="234"/>
      <c r="M90" s="234"/>
      <c r="N90" s="234"/>
      <c r="O90" s="234"/>
      <c r="P90" s="234"/>
      <c r="Q90" s="234"/>
      <c r="R90" s="234"/>
      <c r="S90" s="234"/>
      <c r="T90" s="234"/>
      <c r="U90" s="234"/>
      <c r="V90" s="234"/>
      <c r="W90" s="234"/>
      <c r="X90" s="234"/>
      <c r="Y90" s="234"/>
      <c r="Z90" s="234"/>
      <c r="AA90" s="234"/>
      <c r="AB90" s="234"/>
      <c r="AC90" s="234"/>
      <c r="AD90" s="234"/>
    </row>
    <row r="91" spans="2:30" s="240" customFormat="1" hidden="1" outlineLevel="2" x14ac:dyDescent="0.25">
      <c r="B91" s="176"/>
      <c r="C91" s="243"/>
      <c r="D91" s="889"/>
      <c r="E91" s="890"/>
      <c r="F91" s="890"/>
      <c r="G91" s="870" t="str">
        <f t="shared" si="2"/>
        <v/>
      </c>
      <c r="H91" s="870"/>
      <c r="I91" s="1080" t="str">
        <f t="shared" si="1"/>
        <v/>
      </c>
      <c r="J91" s="234"/>
      <c r="K91" s="234"/>
      <c r="L91" s="234"/>
      <c r="M91" s="234"/>
      <c r="N91" s="234"/>
      <c r="O91" s="234"/>
      <c r="P91" s="234"/>
      <c r="Q91" s="234"/>
      <c r="R91" s="234"/>
      <c r="S91" s="234"/>
      <c r="T91" s="234"/>
      <c r="U91" s="234"/>
      <c r="V91" s="234"/>
      <c r="W91" s="234"/>
      <c r="X91" s="234"/>
      <c r="Y91" s="234"/>
      <c r="Z91" s="234"/>
      <c r="AA91" s="234"/>
      <c r="AB91" s="234"/>
      <c r="AC91" s="234"/>
      <c r="AD91" s="234"/>
    </row>
    <row r="92" spans="2:30" s="240" customFormat="1" hidden="1" outlineLevel="2" x14ac:dyDescent="0.25">
      <c r="B92" s="176"/>
      <c r="C92" s="243"/>
      <c r="D92" s="889"/>
      <c r="E92" s="890"/>
      <c r="F92" s="890"/>
      <c r="G92" s="870" t="str">
        <f t="shared" si="2"/>
        <v/>
      </c>
      <c r="H92" s="870"/>
      <c r="I92" s="1080" t="str">
        <f t="shared" si="1"/>
        <v/>
      </c>
      <c r="J92" s="234"/>
      <c r="K92" s="234"/>
      <c r="L92" s="234"/>
      <c r="M92" s="234"/>
      <c r="N92" s="234"/>
      <c r="O92" s="234"/>
      <c r="P92" s="234"/>
      <c r="Q92" s="234"/>
      <c r="R92" s="234"/>
      <c r="S92" s="234"/>
      <c r="T92" s="234"/>
      <c r="U92" s="234"/>
      <c r="V92" s="234"/>
      <c r="W92" s="234"/>
      <c r="X92" s="234"/>
      <c r="Y92" s="234"/>
      <c r="Z92" s="234"/>
      <c r="AA92" s="234"/>
      <c r="AB92" s="234"/>
      <c r="AC92" s="234"/>
      <c r="AD92" s="234"/>
    </row>
    <row r="93" spans="2:30" s="240" customFormat="1" hidden="1" outlineLevel="2" x14ac:dyDescent="0.25">
      <c r="B93" s="176"/>
      <c r="C93" s="243"/>
      <c r="D93" s="889"/>
      <c r="E93" s="890"/>
      <c r="F93" s="890"/>
      <c r="G93" s="870" t="str">
        <f t="shared" si="2"/>
        <v/>
      </c>
      <c r="H93" s="870"/>
      <c r="I93" s="1080" t="str">
        <f t="shared" si="1"/>
        <v/>
      </c>
      <c r="J93" s="234"/>
      <c r="K93" s="234"/>
      <c r="L93" s="234"/>
      <c r="M93" s="234"/>
      <c r="N93" s="234"/>
      <c r="O93" s="234"/>
      <c r="P93" s="234"/>
      <c r="Q93" s="234"/>
      <c r="R93" s="234"/>
      <c r="S93" s="234"/>
      <c r="T93" s="234"/>
      <c r="U93" s="234"/>
      <c r="V93" s="234"/>
      <c r="W93" s="234"/>
      <c r="X93" s="234"/>
      <c r="Y93" s="234"/>
      <c r="Z93" s="234"/>
      <c r="AA93" s="234"/>
      <c r="AB93" s="234"/>
      <c r="AC93" s="234"/>
      <c r="AD93" s="234"/>
    </row>
    <row r="94" spans="2:30" s="240" customFormat="1" hidden="1" outlineLevel="2" x14ac:dyDescent="0.25">
      <c r="B94" s="176"/>
      <c r="C94" s="243"/>
      <c r="D94" s="889"/>
      <c r="E94" s="890"/>
      <c r="F94" s="890"/>
      <c r="G94" s="870" t="str">
        <f t="shared" si="2"/>
        <v/>
      </c>
      <c r="H94" s="870"/>
      <c r="I94" s="1080" t="str">
        <f t="shared" si="1"/>
        <v/>
      </c>
      <c r="J94" s="234"/>
      <c r="K94" s="234"/>
      <c r="L94" s="234"/>
      <c r="M94" s="234"/>
      <c r="N94" s="234"/>
      <c r="O94" s="234"/>
      <c r="P94" s="234"/>
      <c r="Q94" s="234"/>
      <c r="R94" s="234"/>
      <c r="S94" s="234"/>
      <c r="T94" s="234"/>
      <c r="U94" s="234"/>
      <c r="V94" s="234"/>
      <c r="W94" s="234"/>
      <c r="X94" s="234"/>
      <c r="Y94" s="234"/>
      <c r="Z94" s="234"/>
      <c r="AA94" s="234"/>
      <c r="AB94" s="234"/>
      <c r="AC94" s="234"/>
      <c r="AD94" s="234"/>
    </row>
    <row r="95" spans="2:30" s="240" customFormat="1" hidden="1" outlineLevel="2" x14ac:dyDescent="0.25">
      <c r="B95" s="176"/>
      <c r="C95" s="243"/>
      <c r="D95" s="889"/>
      <c r="E95" s="890"/>
      <c r="F95" s="890"/>
      <c r="G95" s="870" t="str">
        <f t="shared" si="2"/>
        <v/>
      </c>
      <c r="H95" s="870"/>
      <c r="I95" s="1080" t="str">
        <f t="shared" si="1"/>
        <v/>
      </c>
      <c r="J95" s="234"/>
      <c r="K95" s="234"/>
      <c r="L95" s="234"/>
      <c r="M95" s="234"/>
      <c r="N95" s="234"/>
      <c r="O95" s="234"/>
      <c r="P95" s="234"/>
      <c r="Q95" s="234"/>
      <c r="R95" s="234"/>
      <c r="S95" s="234"/>
      <c r="T95" s="234"/>
      <c r="U95" s="234"/>
      <c r="V95" s="234"/>
      <c r="W95" s="234"/>
      <c r="X95" s="234"/>
      <c r="Y95" s="234"/>
      <c r="Z95" s="234"/>
      <c r="AA95" s="234"/>
      <c r="AB95" s="234"/>
      <c r="AC95" s="234"/>
      <c r="AD95" s="234"/>
    </row>
    <row r="96" spans="2:30" s="240" customFormat="1" hidden="1" outlineLevel="2" x14ac:dyDescent="0.25">
      <c r="B96" s="176"/>
      <c r="C96" s="243"/>
      <c r="D96" s="889"/>
      <c r="E96" s="890"/>
      <c r="F96" s="890"/>
      <c r="G96" s="870" t="str">
        <f t="shared" si="2"/>
        <v/>
      </c>
      <c r="H96" s="870"/>
      <c r="I96" s="1080" t="str">
        <f t="shared" si="1"/>
        <v/>
      </c>
      <c r="J96" s="234"/>
      <c r="K96" s="234"/>
      <c r="L96" s="234"/>
      <c r="M96" s="234"/>
      <c r="N96" s="234"/>
      <c r="O96" s="234"/>
      <c r="P96" s="234"/>
      <c r="Q96" s="234"/>
      <c r="R96" s="234"/>
      <c r="S96" s="234"/>
      <c r="T96" s="234"/>
      <c r="U96" s="234"/>
      <c r="V96" s="234"/>
      <c r="W96" s="234"/>
      <c r="X96" s="234"/>
      <c r="Y96" s="234"/>
      <c r="Z96" s="234"/>
      <c r="AA96" s="234"/>
      <c r="AB96" s="234"/>
      <c r="AC96" s="234"/>
      <c r="AD96" s="234"/>
    </row>
    <row r="97" spans="2:30" s="240" customFormat="1" hidden="1" outlineLevel="2" x14ac:dyDescent="0.25">
      <c r="B97" s="176"/>
      <c r="C97" s="243"/>
      <c r="D97" s="889"/>
      <c r="E97" s="890"/>
      <c r="F97" s="890"/>
      <c r="G97" s="870" t="str">
        <f t="shared" ref="G97:G132" si="3">IF(OR(C97="",D97=""),"",D97*C97)</f>
        <v/>
      </c>
      <c r="H97" s="870"/>
      <c r="I97" s="1080" t="str">
        <f t="shared" si="1"/>
        <v/>
      </c>
      <c r="J97" s="234"/>
      <c r="K97" s="234"/>
      <c r="L97" s="234"/>
      <c r="M97" s="234"/>
      <c r="N97" s="234"/>
      <c r="O97" s="234"/>
      <c r="P97" s="234"/>
      <c r="Q97" s="234"/>
      <c r="R97" s="234"/>
      <c r="S97" s="234"/>
      <c r="T97" s="234"/>
      <c r="U97" s="234"/>
      <c r="V97" s="234"/>
      <c r="W97" s="234"/>
      <c r="X97" s="234"/>
      <c r="Y97" s="234"/>
      <c r="Z97" s="234"/>
      <c r="AA97" s="234"/>
      <c r="AB97" s="234"/>
      <c r="AC97" s="234"/>
      <c r="AD97" s="234"/>
    </row>
    <row r="98" spans="2:30" s="240" customFormat="1" hidden="1" outlineLevel="2" x14ac:dyDescent="0.25">
      <c r="B98" s="176"/>
      <c r="C98" s="243"/>
      <c r="D98" s="889"/>
      <c r="E98" s="890"/>
      <c r="F98" s="890"/>
      <c r="G98" s="870" t="str">
        <f t="shared" si="3"/>
        <v/>
      </c>
      <c r="H98" s="870"/>
      <c r="I98" s="1080" t="str">
        <f t="shared" ref="I98:I132" si="4">IF(C98="","",IFERROR(C98*1,"Erro, confira o valor da compra média annual de eletricidade"))</f>
        <v/>
      </c>
      <c r="J98" s="234"/>
      <c r="K98" s="234"/>
      <c r="L98" s="234"/>
      <c r="M98" s="234"/>
      <c r="N98" s="234"/>
      <c r="O98" s="234"/>
      <c r="P98" s="234"/>
      <c r="Q98" s="234"/>
      <c r="R98" s="234"/>
      <c r="S98" s="234"/>
      <c r="T98" s="234"/>
      <c r="U98" s="234"/>
      <c r="V98" s="234"/>
      <c r="W98" s="234"/>
      <c r="X98" s="234"/>
      <c r="Y98" s="234"/>
      <c r="Z98" s="234"/>
      <c r="AA98" s="234"/>
      <c r="AB98" s="234"/>
      <c r="AC98" s="234"/>
      <c r="AD98" s="234"/>
    </row>
    <row r="99" spans="2:30" s="240" customFormat="1" hidden="1" outlineLevel="2" x14ac:dyDescent="0.25">
      <c r="B99" s="176"/>
      <c r="C99" s="243"/>
      <c r="D99" s="889"/>
      <c r="E99" s="890"/>
      <c r="F99" s="890"/>
      <c r="G99" s="870" t="str">
        <f t="shared" si="3"/>
        <v/>
      </c>
      <c r="H99" s="870"/>
      <c r="I99" s="1080" t="str">
        <f t="shared" si="4"/>
        <v/>
      </c>
      <c r="J99" s="234"/>
      <c r="K99" s="234"/>
      <c r="L99" s="234"/>
      <c r="M99" s="234"/>
      <c r="N99" s="234"/>
      <c r="O99" s="234"/>
      <c r="P99" s="234"/>
      <c r="Q99" s="234"/>
      <c r="R99" s="234"/>
      <c r="S99" s="234"/>
      <c r="T99" s="234"/>
      <c r="U99" s="234"/>
      <c r="V99" s="234"/>
      <c r="W99" s="234"/>
      <c r="X99" s="234"/>
      <c r="Y99" s="234"/>
      <c r="Z99" s="234"/>
      <c r="AA99" s="234"/>
      <c r="AB99" s="234"/>
      <c r="AC99" s="234"/>
      <c r="AD99" s="234"/>
    </row>
    <row r="100" spans="2:30" s="240" customFormat="1" hidden="1" outlineLevel="2" x14ac:dyDescent="0.25">
      <c r="B100" s="176"/>
      <c r="C100" s="243"/>
      <c r="D100" s="889"/>
      <c r="E100" s="890"/>
      <c r="F100" s="890"/>
      <c r="G100" s="870" t="str">
        <f t="shared" si="3"/>
        <v/>
      </c>
      <c r="H100" s="870"/>
      <c r="I100" s="1080" t="str">
        <f t="shared" si="4"/>
        <v/>
      </c>
      <c r="J100" s="234"/>
      <c r="K100" s="234"/>
      <c r="L100" s="234"/>
      <c r="M100" s="234"/>
      <c r="N100" s="234"/>
      <c r="O100" s="234"/>
      <c r="P100" s="234"/>
      <c r="Q100" s="234"/>
      <c r="R100" s="234"/>
      <c r="S100" s="234"/>
      <c r="T100" s="234"/>
      <c r="U100" s="234"/>
      <c r="V100" s="234"/>
      <c r="W100" s="234"/>
      <c r="X100" s="234"/>
      <c r="Y100" s="234"/>
      <c r="Z100" s="234"/>
      <c r="AA100" s="234"/>
      <c r="AB100" s="234"/>
      <c r="AC100" s="234"/>
      <c r="AD100" s="234"/>
    </row>
    <row r="101" spans="2:30" s="240" customFormat="1" hidden="1" outlineLevel="2" x14ac:dyDescent="0.25">
      <c r="B101" s="176"/>
      <c r="C101" s="243"/>
      <c r="D101" s="889"/>
      <c r="E101" s="890"/>
      <c r="F101" s="890"/>
      <c r="G101" s="870" t="str">
        <f t="shared" si="3"/>
        <v/>
      </c>
      <c r="H101" s="870"/>
      <c r="I101" s="1080" t="str">
        <f t="shared" si="4"/>
        <v/>
      </c>
      <c r="J101" s="234"/>
      <c r="K101" s="234"/>
      <c r="L101" s="234"/>
      <c r="M101" s="234"/>
      <c r="N101" s="234"/>
      <c r="O101" s="234"/>
      <c r="P101" s="234"/>
      <c r="Q101" s="234"/>
      <c r="R101" s="234"/>
      <c r="S101" s="234"/>
      <c r="T101" s="234"/>
      <c r="U101" s="234"/>
      <c r="V101" s="234"/>
      <c r="W101" s="234"/>
      <c r="X101" s="234"/>
      <c r="Y101" s="234"/>
      <c r="Z101" s="234"/>
      <c r="AA101" s="234"/>
      <c r="AB101" s="234"/>
      <c r="AC101" s="234"/>
      <c r="AD101" s="234"/>
    </row>
    <row r="102" spans="2:30" s="240" customFormat="1" hidden="1" outlineLevel="2" x14ac:dyDescent="0.25">
      <c r="B102" s="176"/>
      <c r="C102" s="243"/>
      <c r="D102" s="889"/>
      <c r="E102" s="890"/>
      <c r="F102" s="890"/>
      <c r="G102" s="870" t="str">
        <f t="shared" si="3"/>
        <v/>
      </c>
      <c r="H102" s="870"/>
      <c r="I102" s="1080" t="str">
        <f t="shared" si="4"/>
        <v/>
      </c>
      <c r="J102" s="234"/>
      <c r="K102" s="234"/>
      <c r="L102" s="234"/>
      <c r="M102" s="234"/>
      <c r="N102" s="234"/>
      <c r="O102" s="234"/>
      <c r="P102" s="234"/>
      <c r="Q102" s="234"/>
      <c r="R102" s="234"/>
      <c r="S102" s="234"/>
      <c r="T102" s="234"/>
      <c r="U102" s="234"/>
      <c r="V102" s="234"/>
      <c r="W102" s="234"/>
      <c r="X102" s="234"/>
      <c r="Y102" s="234"/>
      <c r="Z102" s="234"/>
      <c r="AA102" s="234"/>
      <c r="AB102" s="234"/>
      <c r="AC102" s="234"/>
      <c r="AD102" s="234"/>
    </row>
    <row r="103" spans="2:30" s="240" customFormat="1" hidden="1" outlineLevel="2" x14ac:dyDescent="0.25">
      <c r="B103" s="176"/>
      <c r="C103" s="243"/>
      <c r="D103" s="889"/>
      <c r="E103" s="890"/>
      <c r="F103" s="890"/>
      <c r="G103" s="870" t="str">
        <f t="shared" si="3"/>
        <v/>
      </c>
      <c r="H103" s="870"/>
      <c r="I103" s="1080" t="str">
        <f t="shared" si="4"/>
        <v/>
      </c>
      <c r="J103" s="234"/>
      <c r="K103" s="234"/>
      <c r="L103" s="234"/>
      <c r="M103" s="234"/>
      <c r="N103" s="234"/>
      <c r="O103" s="234"/>
      <c r="P103" s="234"/>
      <c r="Q103" s="234"/>
      <c r="R103" s="234"/>
      <c r="S103" s="234"/>
      <c r="T103" s="234"/>
      <c r="U103" s="234"/>
      <c r="V103" s="234"/>
      <c r="W103" s="234"/>
      <c r="X103" s="234"/>
      <c r="Y103" s="234"/>
      <c r="Z103" s="234"/>
      <c r="AA103" s="234"/>
      <c r="AB103" s="234"/>
      <c r="AC103" s="234"/>
      <c r="AD103" s="234"/>
    </row>
    <row r="104" spans="2:30" s="240" customFormat="1" hidden="1" outlineLevel="2" x14ac:dyDescent="0.25">
      <c r="B104" s="176"/>
      <c r="C104" s="243"/>
      <c r="D104" s="889"/>
      <c r="E104" s="890"/>
      <c r="F104" s="890"/>
      <c r="G104" s="870" t="str">
        <f t="shared" si="3"/>
        <v/>
      </c>
      <c r="H104" s="870"/>
      <c r="I104" s="1080" t="str">
        <f t="shared" si="4"/>
        <v/>
      </c>
      <c r="J104" s="234"/>
      <c r="K104" s="234"/>
      <c r="L104" s="234"/>
      <c r="M104" s="234"/>
      <c r="N104" s="234"/>
      <c r="O104" s="234"/>
      <c r="P104" s="234"/>
      <c r="Q104" s="234"/>
      <c r="R104" s="234"/>
      <c r="S104" s="234"/>
      <c r="T104" s="234"/>
      <c r="U104" s="234"/>
      <c r="V104" s="234"/>
      <c r="W104" s="234"/>
      <c r="X104" s="234"/>
      <c r="Y104" s="234"/>
      <c r="Z104" s="234"/>
      <c r="AA104" s="234"/>
      <c r="AB104" s="234"/>
      <c r="AC104" s="234"/>
      <c r="AD104" s="234"/>
    </row>
    <row r="105" spans="2:30" s="240" customFormat="1" hidden="1" outlineLevel="2" x14ac:dyDescent="0.25">
      <c r="B105" s="176"/>
      <c r="C105" s="243"/>
      <c r="D105" s="889"/>
      <c r="E105" s="890"/>
      <c r="F105" s="890"/>
      <c r="G105" s="870" t="str">
        <f t="shared" si="3"/>
        <v/>
      </c>
      <c r="H105" s="870"/>
      <c r="I105" s="1080" t="str">
        <f t="shared" si="4"/>
        <v/>
      </c>
      <c r="J105" s="234"/>
      <c r="K105" s="234"/>
      <c r="L105" s="234"/>
      <c r="M105" s="234"/>
      <c r="N105" s="234"/>
      <c r="O105" s="234"/>
      <c r="P105" s="234"/>
      <c r="Q105" s="234"/>
      <c r="R105" s="234"/>
      <c r="S105" s="234"/>
      <c r="T105" s="234"/>
      <c r="U105" s="234"/>
      <c r="V105" s="234"/>
      <c r="W105" s="234"/>
      <c r="X105" s="234"/>
      <c r="Y105" s="234"/>
      <c r="Z105" s="234"/>
      <c r="AA105" s="234"/>
      <c r="AB105" s="234"/>
      <c r="AC105" s="234"/>
      <c r="AD105" s="234"/>
    </row>
    <row r="106" spans="2:30" s="240" customFormat="1" hidden="1" outlineLevel="2" x14ac:dyDescent="0.25">
      <c r="B106" s="176"/>
      <c r="C106" s="243"/>
      <c r="D106" s="889"/>
      <c r="E106" s="890"/>
      <c r="F106" s="890"/>
      <c r="G106" s="870" t="str">
        <f t="shared" si="3"/>
        <v/>
      </c>
      <c r="H106" s="870"/>
      <c r="I106" s="1080" t="str">
        <f t="shared" si="4"/>
        <v/>
      </c>
      <c r="J106" s="234"/>
      <c r="K106" s="234"/>
      <c r="L106" s="234"/>
      <c r="M106" s="234"/>
      <c r="N106" s="234"/>
      <c r="O106" s="234"/>
      <c r="P106" s="234"/>
      <c r="Q106" s="234"/>
      <c r="R106" s="234"/>
      <c r="S106" s="234"/>
      <c r="T106" s="234"/>
      <c r="U106" s="234"/>
      <c r="V106" s="234"/>
      <c r="W106" s="234"/>
      <c r="X106" s="234"/>
      <c r="Y106" s="234"/>
      <c r="Z106" s="234"/>
      <c r="AA106" s="234"/>
      <c r="AB106" s="234"/>
      <c r="AC106" s="234"/>
      <c r="AD106" s="234"/>
    </row>
    <row r="107" spans="2:30" s="240" customFormat="1" hidden="1" outlineLevel="2" x14ac:dyDescent="0.25">
      <c r="B107" s="176"/>
      <c r="C107" s="243"/>
      <c r="D107" s="889"/>
      <c r="E107" s="890"/>
      <c r="F107" s="890"/>
      <c r="G107" s="870" t="str">
        <f t="shared" si="3"/>
        <v/>
      </c>
      <c r="H107" s="870"/>
      <c r="I107" s="1080" t="str">
        <f t="shared" si="4"/>
        <v/>
      </c>
      <c r="J107" s="234"/>
      <c r="K107" s="234"/>
      <c r="L107" s="234"/>
      <c r="M107" s="234"/>
      <c r="N107" s="234"/>
      <c r="O107" s="234"/>
      <c r="P107" s="234"/>
      <c r="Q107" s="234"/>
      <c r="R107" s="234"/>
      <c r="S107" s="234"/>
      <c r="T107" s="234"/>
      <c r="U107" s="234"/>
      <c r="V107" s="234"/>
      <c r="W107" s="234"/>
      <c r="X107" s="234"/>
      <c r="Y107" s="234"/>
      <c r="Z107" s="234"/>
      <c r="AA107" s="234"/>
      <c r="AB107" s="234"/>
      <c r="AC107" s="234"/>
      <c r="AD107" s="234"/>
    </row>
    <row r="108" spans="2:30" s="240" customFormat="1" hidden="1" outlineLevel="2" x14ac:dyDescent="0.25">
      <c r="B108" s="176"/>
      <c r="C108" s="243"/>
      <c r="D108" s="889"/>
      <c r="E108" s="890"/>
      <c r="F108" s="890"/>
      <c r="G108" s="870" t="str">
        <f t="shared" si="3"/>
        <v/>
      </c>
      <c r="H108" s="870"/>
      <c r="I108" s="1080" t="str">
        <f t="shared" si="4"/>
        <v/>
      </c>
      <c r="J108" s="234"/>
      <c r="K108" s="234"/>
      <c r="L108" s="234"/>
      <c r="M108" s="234"/>
      <c r="N108" s="234"/>
      <c r="O108" s="234"/>
      <c r="P108" s="234"/>
      <c r="Q108" s="234"/>
      <c r="R108" s="234"/>
      <c r="S108" s="234"/>
      <c r="T108" s="234"/>
      <c r="U108" s="234"/>
      <c r="V108" s="234"/>
      <c r="W108" s="234"/>
      <c r="X108" s="234"/>
      <c r="Y108" s="234"/>
      <c r="Z108" s="234"/>
      <c r="AA108" s="234"/>
      <c r="AB108" s="234"/>
      <c r="AC108" s="234"/>
      <c r="AD108" s="234"/>
    </row>
    <row r="109" spans="2:30" s="240" customFormat="1" hidden="1" outlineLevel="2" x14ac:dyDescent="0.25">
      <c r="B109" s="176"/>
      <c r="C109" s="243"/>
      <c r="D109" s="889"/>
      <c r="E109" s="890"/>
      <c r="F109" s="890"/>
      <c r="G109" s="870" t="str">
        <f t="shared" si="3"/>
        <v/>
      </c>
      <c r="H109" s="870"/>
      <c r="I109" s="1080" t="str">
        <f t="shared" si="4"/>
        <v/>
      </c>
      <c r="J109" s="234"/>
      <c r="K109" s="234"/>
      <c r="L109" s="234"/>
      <c r="M109" s="234"/>
      <c r="N109" s="234"/>
      <c r="O109" s="234"/>
      <c r="P109" s="234"/>
      <c r="Q109" s="234"/>
      <c r="R109" s="234"/>
      <c r="S109" s="234"/>
      <c r="T109" s="234"/>
      <c r="U109" s="234"/>
      <c r="V109" s="234"/>
      <c r="W109" s="234"/>
      <c r="X109" s="234"/>
      <c r="Y109" s="234"/>
      <c r="Z109" s="234"/>
      <c r="AA109" s="234"/>
      <c r="AB109" s="234"/>
      <c r="AC109" s="234"/>
      <c r="AD109" s="234"/>
    </row>
    <row r="110" spans="2:30" s="240" customFormat="1" hidden="1" outlineLevel="2" x14ac:dyDescent="0.25">
      <c r="B110" s="176"/>
      <c r="C110" s="243"/>
      <c r="D110" s="889"/>
      <c r="E110" s="890"/>
      <c r="F110" s="890"/>
      <c r="G110" s="870" t="str">
        <f t="shared" si="3"/>
        <v/>
      </c>
      <c r="H110" s="870"/>
      <c r="I110" s="1080" t="str">
        <f t="shared" si="4"/>
        <v/>
      </c>
      <c r="J110" s="234"/>
      <c r="K110" s="234"/>
      <c r="L110" s="234"/>
      <c r="M110" s="234"/>
      <c r="N110" s="234"/>
      <c r="O110" s="234"/>
      <c r="P110" s="234"/>
      <c r="Q110" s="234"/>
      <c r="R110" s="234"/>
      <c r="S110" s="234"/>
      <c r="T110" s="234"/>
      <c r="U110" s="234"/>
      <c r="V110" s="234"/>
      <c r="W110" s="234"/>
      <c r="X110" s="234"/>
      <c r="Y110" s="234"/>
      <c r="Z110" s="234"/>
      <c r="AA110" s="234"/>
      <c r="AB110" s="234"/>
      <c r="AC110" s="234"/>
      <c r="AD110" s="234"/>
    </row>
    <row r="111" spans="2:30" s="240" customFormat="1" hidden="1" outlineLevel="2" x14ac:dyDescent="0.25">
      <c r="B111" s="176"/>
      <c r="C111" s="243"/>
      <c r="D111" s="889"/>
      <c r="E111" s="890"/>
      <c r="F111" s="890"/>
      <c r="G111" s="870" t="str">
        <f t="shared" si="3"/>
        <v/>
      </c>
      <c r="H111" s="870"/>
      <c r="I111" s="1080" t="str">
        <f t="shared" si="4"/>
        <v/>
      </c>
      <c r="J111" s="234"/>
      <c r="K111" s="234"/>
      <c r="L111" s="234"/>
      <c r="M111" s="234"/>
      <c r="N111" s="234"/>
      <c r="O111" s="234"/>
      <c r="P111" s="234"/>
      <c r="Q111" s="234"/>
      <c r="R111" s="234"/>
      <c r="S111" s="234"/>
      <c r="T111" s="234"/>
      <c r="U111" s="234"/>
      <c r="V111" s="234"/>
      <c r="W111" s="234"/>
      <c r="X111" s="234"/>
      <c r="Y111" s="234"/>
      <c r="Z111" s="234"/>
      <c r="AA111" s="234"/>
      <c r="AB111" s="234"/>
      <c r="AC111" s="234"/>
      <c r="AD111" s="234"/>
    </row>
    <row r="112" spans="2:30" s="240" customFormat="1" hidden="1" outlineLevel="2" x14ac:dyDescent="0.25">
      <c r="B112" s="176"/>
      <c r="C112" s="243"/>
      <c r="D112" s="889"/>
      <c r="E112" s="890"/>
      <c r="F112" s="890"/>
      <c r="G112" s="870" t="str">
        <f t="shared" si="3"/>
        <v/>
      </c>
      <c r="H112" s="870"/>
      <c r="I112" s="1080" t="str">
        <f t="shared" si="4"/>
        <v/>
      </c>
      <c r="J112" s="234"/>
      <c r="K112" s="234"/>
      <c r="L112" s="234"/>
      <c r="M112" s="234"/>
      <c r="N112" s="234"/>
      <c r="O112" s="234"/>
      <c r="P112" s="234"/>
      <c r="Q112" s="234"/>
      <c r="R112" s="234"/>
      <c r="S112" s="234"/>
      <c r="T112" s="234"/>
      <c r="U112" s="234"/>
      <c r="V112" s="234"/>
      <c r="W112" s="234"/>
      <c r="X112" s="234"/>
      <c r="Y112" s="234"/>
      <c r="Z112" s="234"/>
      <c r="AA112" s="234"/>
      <c r="AB112" s="234"/>
      <c r="AC112" s="234"/>
      <c r="AD112" s="234"/>
    </row>
    <row r="113" spans="2:30" s="240" customFormat="1" hidden="1" outlineLevel="2" x14ac:dyDescent="0.25">
      <c r="B113" s="176"/>
      <c r="C113" s="243"/>
      <c r="D113" s="889"/>
      <c r="E113" s="890"/>
      <c r="F113" s="890"/>
      <c r="G113" s="870" t="str">
        <f t="shared" si="3"/>
        <v/>
      </c>
      <c r="H113" s="870"/>
      <c r="I113" s="1080" t="str">
        <f t="shared" si="4"/>
        <v/>
      </c>
      <c r="J113" s="234"/>
      <c r="K113" s="234"/>
      <c r="L113" s="234"/>
      <c r="M113" s="234"/>
      <c r="N113" s="234"/>
      <c r="O113" s="234"/>
      <c r="P113" s="234"/>
      <c r="Q113" s="234"/>
      <c r="R113" s="234"/>
      <c r="S113" s="234"/>
      <c r="T113" s="234"/>
      <c r="U113" s="234"/>
      <c r="V113" s="234"/>
      <c r="W113" s="234"/>
      <c r="X113" s="234"/>
      <c r="Y113" s="234"/>
      <c r="Z113" s="234"/>
      <c r="AA113" s="234"/>
      <c r="AB113" s="234"/>
      <c r="AC113" s="234"/>
      <c r="AD113" s="234"/>
    </row>
    <row r="114" spans="2:30" s="240" customFormat="1" hidden="1" outlineLevel="2" x14ac:dyDescent="0.25">
      <c r="B114" s="176"/>
      <c r="C114" s="243"/>
      <c r="D114" s="889"/>
      <c r="E114" s="890"/>
      <c r="F114" s="890"/>
      <c r="G114" s="870" t="str">
        <f t="shared" si="3"/>
        <v/>
      </c>
      <c r="H114" s="870"/>
      <c r="I114" s="1080" t="str">
        <f t="shared" si="4"/>
        <v/>
      </c>
      <c r="J114" s="234"/>
      <c r="K114" s="234"/>
      <c r="L114" s="234"/>
      <c r="M114" s="234"/>
      <c r="N114" s="234"/>
      <c r="O114" s="234"/>
      <c r="P114" s="234"/>
      <c r="Q114" s="234"/>
      <c r="R114" s="234"/>
      <c r="S114" s="234"/>
      <c r="T114" s="234"/>
      <c r="U114" s="234"/>
      <c r="V114" s="234"/>
      <c r="W114" s="234"/>
      <c r="X114" s="234"/>
      <c r="Y114" s="234"/>
      <c r="Z114" s="234"/>
      <c r="AA114" s="234"/>
      <c r="AB114" s="234"/>
      <c r="AC114" s="234"/>
      <c r="AD114" s="234"/>
    </row>
    <row r="115" spans="2:30" s="240" customFormat="1" hidden="1" outlineLevel="2" x14ac:dyDescent="0.25">
      <c r="B115" s="176"/>
      <c r="C115" s="243"/>
      <c r="D115" s="889"/>
      <c r="E115" s="890"/>
      <c r="F115" s="890"/>
      <c r="G115" s="870" t="str">
        <f t="shared" si="3"/>
        <v/>
      </c>
      <c r="H115" s="870"/>
      <c r="I115" s="1080" t="str">
        <f t="shared" si="4"/>
        <v/>
      </c>
      <c r="J115" s="234"/>
      <c r="K115" s="234"/>
      <c r="L115" s="234"/>
      <c r="M115" s="234"/>
      <c r="N115" s="234"/>
      <c r="O115" s="234"/>
      <c r="P115" s="234"/>
      <c r="Q115" s="234"/>
      <c r="R115" s="234"/>
      <c r="S115" s="234"/>
      <c r="T115" s="234"/>
      <c r="U115" s="234"/>
      <c r="V115" s="234"/>
      <c r="W115" s="234"/>
      <c r="X115" s="234"/>
      <c r="Y115" s="234"/>
      <c r="Z115" s="234"/>
      <c r="AA115" s="234"/>
      <c r="AB115" s="234"/>
      <c r="AC115" s="234"/>
      <c r="AD115" s="234"/>
    </row>
    <row r="116" spans="2:30" s="240" customFormat="1" hidden="1" outlineLevel="2" x14ac:dyDescent="0.25">
      <c r="B116" s="176"/>
      <c r="C116" s="243"/>
      <c r="D116" s="889"/>
      <c r="E116" s="890"/>
      <c r="F116" s="890"/>
      <c r="G116" s="870" t="str">
        <f t="shared" si="3"/>
        <v/>
      </c>
      <c r="H116" s="870"/>
      <c r="I116" s="1080" t="str">
        <f t="shared" si="4"/>
        <v/>
      </c>
      <c r="J116" s="234"/>
      <c r="K116" s="234"/>
      <c r="L116" s="234"/>
      <c r="M116" s="234"/>
      <c r="N116" s="234"/>
      <c r="O116" s="234"/>
      <c r="P116" s="234"/>
      <c r="Q116" s="234"/>
      <c r="R116" s="234"/>
      <c r="S116" s="234"/>
      <c r="T116" s="234"/>
      <c r="U116" s="234"/>
      <c r="V116" s="234"/>
      <c r="W116" s="234"/>
      <c r="X116" s="234"/>
      <c r="Y116" s="234"/>
      <c r="Z116" s="234"/>
      <c r="AA116" s="234"/>
      <c r="AB116" s="234"/>
      <c r="AC116" s="234"/>
      <c r="AD116" s="234"/>
    </row>
    <row r="117" spans="2:30" s="240" customFormat="1" hidden="1" outlineLevel="2" x14ac:dyDescent="0.25">
      <c r="B117" s="176"/>
      <c r="C117" s="243"/>
      <c r="D117" s="889"/>
      <c r="E117" s="890"/>
      <c r="F117" s="890"/>
      <c r="G117" s="870" t="str">
        <f t="shared" si="3"/>
        <v/>
      </c>
      <c r="H117" s="870"/>
      <c r="I117" s="1080" t="str">
        <f t="shared" si="4"/>
        <v/>
      </c>
      <c r="J117" s="234"/>
      <c r="K117" s="234"/>
      <c r="L117" s="234"/>
      <c r="M117" s="234"/>
      <c r="N117" s="234"/>
      <c r="O117" s="234"/>
      <c r="P117" s="234"/>
      <c r="Q117" s="234"/>
      <c r="R117" s="234"/>
      <c r="S117" s="234"/>
      <c r="T117" s="234"/>
      <c r="U117" s="234"/>
      <c r="V117" s="234"/>
      <c r="W117" s="234"/>
      <c r="X117" s="234"/>
      <c r="Y117" s="234"/>
      <c r="Z117" s="234"/>
      <c r="AA117" s="234"/>
      <c r="AB117" s="234"/>
      <c r="AC117" s="234"/>
      <c r="AD117" s="234"/>
    </row>
    <row r="118" spans="2:30" s="240" customFormat="1" hidden="1" outlineLevel="2" x14ac:dyDescent="0.25">
      <c r="B118" s="176"/>
      <c r="C118" s="243"/>
      <c r="D118" s="889"/>
      <c r="E118" s="890"/>
      <c r="F118" s="890"/>
      <c r="G118" s="870" t="str">
        <f t="shared" si="3"/>
        <v/>
      </c>
      <c r="H118" s="870"/>
      <c r="I118" s="1080" t="str">
        <f t="shared" si="4"/>
        <v/>
      </c>
      <c r="J118" s="234"/>
      <c r="K118" s="234"/>
      <c r="L118" s="234"/>
      <c r="M118" s="234"/>
      <c r="N118" s="234"/>
      <c r="O118" s="234"/>
      <c r="P118" s="234"/>
      <c r="Q118" s="234"/>
      <c r="R118" s="234"/>
      <c r="S118" s="234"/>
      <c r="T118" s="234"/>
      <c r="U118" s="234"/>
      <c r="V118" s="234"/>
      <c r="W118" s="234"/>
      <c r="X118" s="234"/>
      <c r="Y118" s="234"/>
      <c r="Z118" s="234"/>
      <c r="AA118" s="234"/>
      <c r="AB118" s="234"/>
      <c r="AC118" s="234"/>
      <c r="AD118" s="234"/>
    </row>
    <row r="119" spans="2:30" s="240" customFormat="1" hidden="1" outlineLevel="2" x14ac:dyDescent="0.25">
      <c r="B119" s="176"/>
      <c r="C119" s="243"/>
      <c r="D119" s="889"/>
      <c r="E119" s="890"/>
      <c r="F119" s="890"/>
      <c r="G119" s="870" t="str">
        <f t="shared" si="3"/>
        <v/>
      </c>
      <c r="H119" s="870"/>
      <c r="I119" s="1080" t="str">
        <f t="shared" si="4"/>
        <v/>
      </c>
      <c r="J119" s="234"/>
      <c r="K119" s="234"/>
      <c r="L119" s="234"/>
      <c r="M119" s="234"/>
      <c r="N119" s="234"/>
      <c r="O119" s="234"/>
      <c r="P119" s="234"/>
      <c r="Q119" s="234"/>
      <c r="R119" s="234"/>
      <c r="S119" s="234"/>
      <c r="T119" s="234"/>
      <c r="U119" s="234"/>
      <c r="V119" s="234"/>
      <c r="W119" s="234"/>
      <c r="X119" s="234"/>
      <c r="Y119" s="234"/>
      <c r="Z119" s="234"/>
      <c r="AA119" s="234"/>
      <c r="AB119" s="234"/>
      <c r="AC119" s="234"/>
      <c r="AD119" s="234"/>
    </row>
    <row r="120" spans="2:30" s="240" customFormat="1" hidden="1" outlineLevel="2" x14ac:dyDescent="0.25">
      <c r="B120" s="176"/>
      <c r="C120" s="243"/>
      <c r="D120" s="889"/>
      <c r="E120" s="890"/>
      <c r="F120" s="890"/>
      <c r="G120" s="870" t="str">
        <f t="shared" si="3"/>
        <v/>
      </c>
      <c r="H120" s="870"/>
      <c r="I120" s="1080" t="str">
        <f t="shared" si="4"/>
        <v/>
      </c>
      <c r="J120" s="234"/>
      <c r="K120" s="234"/>
      <c r="L120" s="234"/>
      <c r="M120" s="234"/>
      <c r="N120" s="234"/>
      <c r="O120" s="234"/>
      <c r="P120" s="234"/>
      <c r="Q120" s="234"/>
      <c r="R120" s="234"/>
      <c r="S120" s="234"/>
      <c r="T120" s="234"/>
      <c r="U120" s="234"/>
      <c r="V120" s="234"/>
      <c r="W120" s="234"/>
      <c r="X120" s="234"/>
      <c r="Y120" s="234"/>
      <c r="Z120" s="234"/>
      <c r="AA120" s="234"/>
      <c r="AB120" s="234"/>
      <c r="AC120" s="234"/>
      <c r="AD120" s="234"/>
    </row>
    <row r="121" spans="2:30" s="240" customFormat="1" hidden="1" outlineLevel="2" x14ac:dyDescent="0.25">
      <c r="B121" s="176"/>
      <c r="C121" s="243"/>
      <c r="D121" s="889"/>
      <c r="E121" s="890"/>
      <c r="F121" s="890"/>
      <c r="G121" s="870" t="str">
        <f t="shared" si="3"/>
        <v/>
      </c>
      <c r="H121" s="870"/>
      <c r="I121" s="1080" t="str">
        <f t="shared" si="4"/>
        <v/>
      </c>
      <c r="J121" s="234"/>
      <c r="K121" s="234"/>
      <c r="L121" s="234"/>
      <c r="M121" s="234"/>
      <c r="N121" s="234"/>
      <c r="O121" s="234"/>
      <c r="P121" s="234"/>
      <c r="Q121" s="234"/>
      <c r="R121" s="234"/>
      <c r="S121" s="234"/>
      <c r="T121" s="234"/>
      <c r="U121" s="234"/>
      <c r="V121" s="234"/>
      <c r="W121" s="234"/>
      <c r="X121" s="234"/>
      <c r="Y121" s="234"/>
      <c r="Z121" s="234"/>
      <c r="AA121" s="234"/>
      <c r="AB121" s="234"/>
      <c r="AC121" s="234"/>
      <c r="AD121" s="234"/>
    </row>
    <row r="122" spans="2:30" s="240" customFormat="1" hidden="1" outlineLevel="2" x14ac:dyDescent="0.25">
      <c r="B122" s="176"/>
      <c r="C122" s="243"/>
      <c r="D122" s="889"/>
      <c r="E122" s="890"/>
      <c r="F122" s="890"/>
      <c r="G122" s="870" t="str">
        <f t="shared" si="3"/>
        <v/>
      </c>
      <c r="H122" s="870"/>
      <c r="I122" s="1080" t="str">
        <f t="shared" si="4"/>
        <v/>
      </c>
      <c r="J122" s="234"/>
      <c r="K122" s="234"/>
      <c r="L122" s="234"/>
      <c r="M122" s="234"/>
      <c r="N122" s="234"/>
      <c r="O122" s="234"/>
      <c r="P122" s="234"/>
      <c r="Q122" s="234"/>
      <c r="R122" s="234"/>
      <c r="S122" s="234"/>
      <c r="T122" s="234"/>
      <c r="U122" s="234"/>
      <c r="V122" s="234"/>
      <c r="W122" s="234"/>
      <c r="X122" s="234"/>
      <c r="Y122" s="234"/>
      <c r="Z122" s="234"/>
      <c r="AA122" s="234"/>
      <c r="AB122" s="234"/>
      <c r="AC122" s="234"/>
      <c r="AD122" s="234"/>
    </row>
    <row r="123" spans="2:30" s="240" customFormat="1" hidden="1" outlineLevel="2" x14ac:dyDescent="0.25">
      <c r="B123" s="176"/>
      <c r="C123" s="243"/>
      <c r="D123" s="889"/>
      <c r="E123" s="890"/>
      <c r="F123" s="890"/>
      <c r="G123" s="870" t="str">
        <f t="shared" si="3"/>
        <v/>
      </c>
      <c r="H123" s="870"/>
      <c r="I123" s="1080" t="str">
        <f t="shared" si="4"/>
        <v/>
      </c>
      <c r="J123" s="234"/>
      <c r="K123" s="234"/>
      <c r="L123" s="234"/>
      <c r="M123" s="234"/>
      <c r="N123" s="234"/>
      <c r="O123" s="234"/>
      <c r="P123" s="234"/>
      <c r="Q123" s="234"/>
      <c r="R123" s="234"/>
      <c r="S123" s="234"/>
      <c r="T123" s="234"/>
      <c r="U123" s="234"/>
      <c r="V123" s="234"/>
      <c r="W123" s="234"/>
      <c r="X123" s="234"/>
      <c r="Y123" s="234"/>
      <c r="Z123" s="234"/>
      <c r="AA123" s="234"/>
      <c r="AB123" s="234"/>
      <c r="AC123" s="234"/>
      <c r="AD123" s="234"/>
    </row>
    <row r="124" spans="2:30" s="240" customFormat="1" hidden="1" outlineLevel="2" x14ac:dyDescent="0.25">
      <c r="B124" s="176"/>
      <c r="C124" s="243"/>
      <c r="D124" s="889"/>
      <c r="E124" s="890"/>
      <c r="F124" s="890"/>
      <c r="G124" s="870" t="str">
        <f t="shared" si="3"/>
        <v/>
      </c>
      <c r="H124" s="870"/>
      <c r="I124" s="1080" t="str">
        <f t="shared" si="4"/>
        <v/>
      </c>
      <c r="J124" s="234"/>
      <c r="K124" s="234"/>
      <c r="L124" s="234"/>
      <c r="M124" s="234"/>
      <c r="N124" s="234"/>
      <c r="O124" s="234"/>
      <c r="P124" s="234"/>
      <c r="Q124" s="234"/>
      <c r="R124" s="234"/>
      <c r="S124" s="234"/>
      <c r="T124" s="234"/>
      <c r="U124" s="234"/>
      <c r="V124" s="234"/>
      <c r="W124" s="234"/>
      <c r="X124" s="234"/>
      <c r="Y124" s="234"/>
      <c r="Z124" s="234"/>
      <c r="AA124" s="234"/>
      <c r="AB124" s="234"/>
      <c r="AC124" s="234"/>
      <c r="AD124" s="234"/>
    </row>
    <row r="125" spans="2:30" s="240" customFormat="1" hidden="1" outlineLevel="2" x14ac:dyDescent="0.25">
      <c r="B125" s="176"/>
      <c r="C125" s="243"/>
      <c r="D125" s="889"/>
      <c r="E125" s="890"/>
      <c r="F125" s="890"/>
      <c r="G125" s="870" t="str">
        <f t="shared" si="3"/>
        <v/>
      </c>
      <c r="H125" s="870"/>
      <c r="I125" s="1080" t="str">
        <f t="shared" si="4"/>
        <v/>
      </c>
      <c r="J125" s="234"/>
      <c r="K125" s="234"/>
      <c r="L125" s="234"/>
      <c r="M125" s="234"/>
      <c r="N125" s="234"/>
      <c r="O125" s="234"/>
      <c r="P125" s="234"/>
      <c r="Q125" s="234"/>
      <c r="R125" s="234"/>
      <c r="S125" s="234"/>
      <c r="T125" s="234"/>
      <c r="U125" s="234"/>
      <c r="V125" s="234"/>
      <c r="W125" s="234"/>
      <c r="X125" s="234"/>
      <c r="Y125" s="234"/>
      <c r="Z125" s="234"/>
      <c r="AA125" s="234"/>
      <c r="AB125" s="234"/>
      <c r="AC125" s="234"/>
      <c r="AD125" s="234"/>
    </row>
    <row r="126" spans="2:30" s="240" customFormat="1" hidden="1" outlineLevel="2" x14ac:dyDescent="0.25">
      <c r="B126" s="176"/>
      <c r="C126" s="243"/>
      <c r="D126" s="889"/>
      <c r="E126" s="890"/>
      <c r="F126" s="890"/>
      <c r="G126" s="870" t="str">
        <f t="shared" si="3"/>
        <v/>
      </c>
      <c r="H126" s="870"/>
      <c r="I126" s="1080" t="str">
        <f t="shared" si="4"/>
        <v/>
      </c>
      <c r="J126" s="234"/>
      <c r="K126" s="234"/>
      <c r="L126" s="234"/>
      <c r="M126" s="234"/>
      <c r="N126" s="234"/>
      <c r="O126" s="234"/>
      <c r="P126" s="234"/>
      <c r="Q126" s="234"/>
      <c r="R126" s="234"/>
      <c r="S126" s="234"/>
      <c r="T126" s="234"/>
      <c r="U126" s="234"/>
      <c r="V126" s="234"/>
      <c r="W126" s="234"/>
      <c r="X126" s="234"/>
      <c r="Y126" s="234"/>
      <c r="Z126" s="234"/>
      <c r="AA126" s="234"/>
      <c r="AB126" s="234"/>
      <c r="AC126" s="234"/>
      <c r="AD126" s="234"/>
    </row>
    <row r="127" spans="2:30" s="240" customFormat="1" hidden="1" outlineLevel="2" x14ac:dyDescent="0.25">
      <c r="B127" s="176"/>
      <c r="C127" s="243"/>
      <c r="D127" s="889"/>
      <c r="E127" s="890"/>
      <c r="F127" s="890"/>
      <c r="G127" s="870" t="str">
        <f t="shared" si="3"/>
        <v/>
      </c>
      <c r="H127" s="870"/>
      <c r="I127" s="1080" t="str">
        <f t="shared" si="4"/>
        <v/>
      </c>
      <c r="J127" s="234"/>
      <c r="K127" s="234"/>
      <c r="L127" s="234"/>
      <c r="M127" s="234"/>
      <c r="N127" s="234"/>
      <c r="O127" s="234"/>
      <c r="P127" s="234"/>
      <c r="Q127" s="234"/>
      <c r="R127" s="234"/>
      <c r="S127" s="234"/>
      <c r="T127" s="234"/>
      <c r="U127" s="234"/>
      <c r="V127" s="234"/>
      <c r="W127" s="234"/>
      <c r="X127" s="234"/>
      <c r="Y127" s="234"/>
      <c r="Z127" s="234"/>
      <c r="AA127" s="234"/>
      <c r="AB127" s="234"/>
      <c r="AC127" s="234"/>
      <c r="AD127" s="234"/>
    </row>
    <row r="128" spans="2:30" s="240" customFormat="1" hidden="1" outlineLevel="2" x14ac:dyDescent="0.25">
      <c r="B128" s="176"/>
      <c r="C128" s="243"/>
      <c r="D128" s="889"/>
      <c r="E128" s="890"/>
      <c r="F128" s="890"/>
      <c r="G128" s="870" t="str">
        <f t="shared" si="3"/>
        <v/>
      </c>
      <c r="H128" s="870"/>
      <c r="I128" s="1080" t="str">
        <f t="shared" si="4"/>
        <v/>
      </c>
      <c r="J128" s="234"/>
      <c r="K128" s="234"/>
      <c r="L128" s="234"/>
      <c r="M128" s="234"/>
      <c r="N128" s="234"/>
      <c r="O128" s="234"/>
      <c r="P128" s="234"/>
      <c r="Q128" s="234"/>
      <c r="R128" s="234"/>
      <c r="S128" s="234"/>
      <c r="T128" s="234"/>
      <c r="U128" s="234"/>
      <c r="V128" s="234"/>
      <c r="W128" s="234"/>
      <c r="X128" s="234"/>
      <c r="Y128" s="234"/>
      <c r="Z128" s="234"/>
      <c r="AA128" s="234"/>
      <c r="AB128" s="234"/>
      <c r="AC128" s="234"/>
      <c r="AD128" s="234"/>
    </row>
    <row r="129" spans="2:30" s="240" customFormat="1" hidden="1" outlineLevel="2" x14ac:dyDescent="0.25">
      <c r="B129" s="176"/>
      <c r="C129" s="243"/>
      <c r="D129" s="889"/>
      <c r="E129" s="890"/>
      <c r="F129" s="890"/>
      <c r="G129" s="870" t="str">
        <f t="shared" si="3"/>
        <v/>
      </c>
      <c r="H129" s="870"/>
      <c r="I129" s="1080" t="str">
        <f t="shared" si="4"/>
        <v/>
      </c>
      <c r="J129" s="234"/>
      <c r="K129" s="234"/>
      <c r="L129" s="234"/>
      <c r="M129" s="234"/>
      <c r="N129" s="234"/>
      <c r="O129" s="234"/>
      <c r="P129" s="234"/>
      <c r="Q129" s="234"/>
      <c r="R129" s="234"/>
      <c r="S129" s="234"/>
      <c r="T129" s="234"/>
      <c r="U129" s="234"/>
      <c r="V129" s="234"/>
      <c r="W129" s="234"/>
      <c r="X129" s="234"/>
      <c r="Y129" s="234"/>
      <c r="Z129" s="234"/>
      <c r="AA129" s="234"/>
      <c r="AB129" s="234"/>
      <c r="AC129" s="234"/>
      <c r="AD129" s="234"/>
    </row>
    <row r="130" spans="2:30" s="240" customFormat="1" hidden="1" outlineLevel="2" x14ac:dyDescent="0.25">
      <c r="B130" s="176"/>
      <c r="C130" s="243"/>
      <c r="D130" s="889"/>
      <c r="E130" s="890"/>
      <c r="F130" s="890"/>
      <c r="G130" s="870" t="str">
        <f t="shared" si="3"/>
        <v/>
      </c>
      <c r="H130" s="870"/>
      <c r="I130" s="1080" t="str">
        <f t="shared" si="4"/>
        <v/>
      </c>
      <c r="J130" s="234"/>
      <c r="K130" s="234"/>
      <c r="L130" s="234"/>
      <c r="M130" s="234"/>
      <c r="N130" s="234"/>
      <c r="O130" s="234"/>
      <c r="P130" s="234"/>
      <c r="Q130" s="234"/>
      <c r="R130" s="234"/>
      <c r="S130" s="234"/>
      <c r="T130" s="234"/>
      <c r="U130" s="234"/>
      <c r="V130" s="234"/>
      <c r="W130" s="234"/>
      <c r="X130" s="234"/>
      <c r="Y130" s="234"/>
      <c r="Z130" s="234"/>
      <c r="AA130" s="234"/>
      <c r="AB130" s="234"/>
      <c r="AC130" s="234"/>
      <c r="AD130" s="234"/>
    </row>
    <row r="131" spans="2:30" s="240" customFormat="1" hidden="1" outlineLevel="2" x14ac:dyDescent="0.25">
      <c r="B131" s="176"/>
      <c r="C131" s="243"/>
      <c r="D131" s="889"/>
      <c r="E131" s="890"/>
      <c r="F131" s="890"/>
      <c r="G131" s="870" t="str">
        <f t="shared" si="3"/>
        <v/>
      </c>
      <c r="H131" s="870"/>
      <c r="I131" s="1080" t="str">
        <f t="shared" si="4"/>
        <v/>
      </c>
      <c r="J131" s="234"/>
      <c r="K131" s="234"/>
      <c r="L131" s="234"/>
      <c r="M131" s="234"/>
      <c r="N131" s="234"/>
      <c r="O131" s="234"/>
      <c r="P131" s="234"/>
      <c r="Q131" s="234"/>
      <c r="R131" s="234"/>
      <c r="S131" s="234"/>
      <c r="T131" s="234"/>
      <c r="U131" s="234"/>
      <c r="V131" s="234"/>
      <c r="W131" s="234"/>
      <c r="X131" s="234"/>
      <c r="Y131" s="234"/>
      <c r="Z131" s="234"/>
      <c r="AA131" s="234"/>
      <c r="AB131" s="234"/>
      <c r="AC131" s="234"/>
      <c r="AD131" s="234"/>
    </row>
    <row r="132" spans="2:30" s="240" customFormat="1" hidden="1" outlineLevel="2" x14ac:dyDescent="0.25">
      <c r="B132" s="176"/>
      <c r="C132" s="243"/>
      <c r="D132" s="889"/>
      <c r="E132" s="890"/>
      <c r="F132" s="890"/>
      <c r="G132" s="870" t="str">
        <f t="shared" si="3"/>
        <v/>
      </c>
      <c r="H132" s="870"/>
      <c r="I132" s="1080" t="str">
        <f t="shared" si="4"/>
        <v/>
      </c>
      <c r="J132" s="234"/>
      <c r="K132" s="234"/>
      <c r="L132" s="234"/>
      <c r="M132" s="234"/>
      <c r="N132" s="234"/>
      <c r="O132" s="234"/>
      <c r="P132" s="234"/>
      <c r="Q132" s="234"/>
      <c r="R132" s="234"/>
      <c r="S132" s="234"/>
      <c r="T132" s="234"/>
      <c r="U132" s="234"/>
      <c r="V132" s="234"/>
      <c r="W132" s="234"/>
      <c r="X132" s="234"/>
      <c r="Y132" s="234"/>
      <c r="Z132" s="234"/>
      <c r="AA132" s="234"/>
      <c r="AB132" s="234"/>
      <c r="AC132" s="234"/>
      <c r="AD132" s="234"/>
    </row>
    <row r="133" spans="2:30" s="240" customFormat="1" outlineLevel="1" collapsed="1" x14ac:dyDescent="0.25">
      <c r="B133" s="871" t="s">
        <v>37</v>
      </c>
      <c r="C133" s="872">
        <f>SUM(C33:C132)</f>
        <v>0</v>
      </c>
      <c r="D133" s="873"/>
      <c r="E133" s="873"/>
      <c r="F133" s="873"/>
      <c r="G133" s="874">
        <f>SUM(G33:G132)</f>
        <v>0</v>
      </c>
      <c r="H133" s="874">
        <f>SUM(H33:H132)</f>
        <v>0</v>
      </c>
      <c r="I133" s="234"/>
      <c r="J133" s="234"/>
      <c r="K133" s="234"/>
      <c r="L133" s="234"/>
      <c r="M133" s="234"/>
      <c r="N133" s="234"/>
      <c r="O133" s="234"/>
      <c r="P133" s="234"/>
      <c r="Q133" s="234"/>
      <c r="R133" s="234"/>
      <c r="S133" s="234"/>
      <c r="T133" s="234"/>
      <c r="U133" s="234"/>
      <c r="V133" s="234"/>
      <c r="W133" s="234"/>
      <c r="X133" s="234"/>
      <c r="Y133" s="234"/>
      <c r="Z133" s="234"/>
      <c r="AA133" s="234"/>
      <c r="AB133" s="234"/>
      <c r="AC133" s="234"/>
      <c r="AD133" s="234"/>
    </row>
    <row r="134" spans="2:30" s="240" customFormat="1" x14ac:dyDescent="0.25"/>
    <row r="135" spans="2:30" s="240" customFormat="1" x14ac:dyDescent="0.25"/>
    <row r="136" spans="2:30" s="332" customFormat="1" ht="30" customHeight="1" x14ac:dyDescent="0.25">
      <c r="B136" s="231" t="s">
        <v>1492</v>
      </c>
    </row>
    <row r="137" spans="2:30" ht="21" customHeight="1" outlineLevel="1" x14ac:dyDescent="0.25"/>
    <row r="138" spans="2:30" ht="21" customHeight="1" outlineLevel="1" x14ac:dyDescent="0.25"/>
    <row r="139" spans="2:30" ht="21" customHeight="1" outlineLevel="1" x14ac:dyDescent="0.25">
      <c r="B139" s="841" t="s">
        <v>0</v>
      </c>
      <c r="C139" s="778"/>
      <c r="D139" s="778"/>
      <c r="E139" s="778"/>
      <c r="F139" s="778"/>
      <c r="G139" s="168"/>
    </row>
    <row r="140" spans="2:30" ht="21" customHeight="1" outlineLevel="1" x14ac:dyDescent="0.25">
      <c r="B140" s="1269" t="s">
        <v>1493</v>
      </c>
      <c r="C140" s="1269"/>
      <c r="D140" s="1269"/>
      <c r="E140" s="1269"/>
      <c r="F140" s="1269"/>
      <c r="G140" s="168"/>
    </row>
    <row r="141" spans="2:30" ht="21" customHeight="1" outlineLevel="1" x14ac:dyDescent="0.25">
      <c r="B141" s="875" t="s">
        <v>1494</v>
      </c>
      <c r="C141" s="876"/>
      <c r="D141" s="876"/>
      <c r="E141" s="876"/>
      <c r="F141" s="876"/>
      <c r="G141" s="168"/>
    </row>
    <row r="142" spans="2:30" ht="21" customHeight="1" outlineLevel="1" x14ac:dyDescent="0.25">
      <c r="B142" s="875" t="s">
        <v>1715</v>
      </c>
      <c r="C142" s="876"/>
      <c r="D142" s="876"/>
      <c r="E142" s="876"/>
      <c r="F142" s="876"/>
      <c r="G142" s="168"/>
    </row>
    <row r="143" spans="2:30" ht="21" customHeight="1" outlineLevel="1" x14ac:dyDescent="0.25">
      <c r="B143" s="877" t="s">
        <v>1495</v>
      </c>
      <c r="C143" s="876"/>
      <c r="D143" s="876"/>
      <c r="E143" s="876"/>
      <c r="F143" s="876"/>
      <c r="G143" s="168"/>
    </row>
    <row r="144" spans="2:30" ht="21" customHeight="1" outlineLevel="1" x14ac:dyDescent="0.25">
      <c r="B144" s="1265" t="s">
        <v>1496</v>
      </c>
      <c r="C144" s="1265"/>
      <c r="D144" s="1265"/>
      <c r="E144" s="1265"/>
      <c r="F144" s="1265"/>
      <c r="G144" s="878"/>
      <c r="H144" s="239"/>
      <c r="I144" s="239"/>
      <c r="J144" s="239"/>
      <c r="K144" s="239"/>
      <c r="L144" s="239"/>
      <c r="M144" s="239"/>
      <c r="N144" s="239"/>
      <c r="O144" s="239"/>
      <c r="P144" s="239"/>
      <c r="Q144" s="239"/>
      <c r="R144" s="239"/>
      <c r="S144" s="239"/>
      <c r="T144" s="239"/>
      <c r="U144" s="239"/>
      <c r="V144" s="239"/>
      <c r="W144" s="239"/>
      <c r="X144" s="239"/>
      <c r="Y144" s="239"/>
      <c r="Z144" s="239"/>
      <c r="AA144" s="239"/>
      <c r="AB144" s="239"/>
    </row>
    <row r="145" spans="1:33" ht="21" customHeight="1" outlineLevel="1" x14ac:dyDescent="0.25">
      <c r="B145" s="1265" t="s">
        <v>1490</v>
      </c>
      <c r="C145" s="1265"/>
      <c r="D145" s="1265"/>
      <c r="E145" s="1265"/>
      <c r="F145" s="1265"/>
      <c r="G145" s="878"/>
      <c r="H145" s="239"/>
      <c r="I145" s="239"/>
      <c r="J145" s="239"/>
      <c r="K145" s="239"/>
      <c r="L145" s="239"/>
      <c r="M145" s="239"/>
      <c r="N145" s="239"/>
      <c r="O145" s="239"/>
      <c r="P145" s="239"/>
      <c r="Q145" s="239"/>
      <c r="R145" s="239"/>
      <c r="S145" s="239"/>
      <c r="T145" s="239"/>
      <c r="U145" s="239"/>
      <c r="V145" s="239"/>
      <c r="W145" s="239"/>
      <c r="X145" s="239"/>
      <c r="Y145" s="239"/>
      <c r="Z145" s="239"/>
      <c r="AA145" s="239"/>
      <c r="AB145" s="239"/>
    </row>
    <row r="146" spans="1:33" ht="21" customHeight="1" outlineLevel="1" x14ac:dyDescent="0.25">
      <c r="B146" s="1265" t="s">
        <v>1491</v>
      </c>
      <c r="C146" s="1265"/>
      <c r="D146" s="1265"/>
      <c r="E146" s="1265"/>
      <c r="F146" s="1265"/>
      <c r="G146" s="878"/>
      <c r="H146" s="239"/>
      <c r="I146" s="239"/>
      <c r="J146" s="239"/>
      <c r="K146" s="239"/>
      <c r="L146" s="239"/>
      <c r="M146" s="239"/>
      <c r="N146" s="239"/>
      <c r="O146" s="239"/>
      <c r="P146" s="239"/>
      <c r="Q146" s="239"/>
      <c r="R146" s="239"/>
      <c r="S146" s="239"/>
      <c r="T146" s="239"/>
      <c r="U146" s="239"/>
      <c r="V146" s="239"/>
      <c r="W146" s="239"/>
      <c r="X146" s="239"/>
      <c r="Y146" s="239"/>
      <c r="Z146" s="239"/>
      <c r="AA146" s="239"/>
      <c r="AB146" s="239"/>
    </row>
    <row r="147" spans="1:33" ht="21" customHeight="1" outlineLevel="1" x14ac:dyDescent="0.25"/>
    <row r="148" spans="1:33" ht="21" customHeight="1" outlineLevel="1" x14ac:dyDescent="0.25">
      <c r="B148" s="765" t="s">
        <v>1235</v>
      </c>
    </row>
    <row r="149" spans="1:33" ht="21" customHeight="1" outlineLevel="1" x14ac:dyDescent="0.25">
      <c r="A149" s="240"/>
      <c r="B149" s="1233" t="s">
        <v>1461</v>
      </c>
      <c r="C149" s="1204" t="s">
        <v>1238</v>
      </c>
      <c r="D149" s="1204" t="s">
        <v>1483</v>
      </c>
      <c r="E149" s="1204" t="s">
        <v>1239</v>
      </c>
      <c r="F149" s="1204" t="s">
        <v>1641</v>
      </c>
      <c r="G149" s="879"/>
      <c r="H149" s="879"/>
      <c r="I149" s="879"/>
      <c r="J149" s="879"/>
      <c r="K149" s="879"/>
      <c r="L149" s="879"/>
      <c r="M149" s="879"/>
      <c r="N149" s="879"/>
      <c r="O149" s="879"/>
      <c r="P149" s="879"/>
      <c r="Q149" s="879"/>
      <c r="R149" s="879"/>
      <c r="S149" s="879"/>
      <c r="T149" s="879"/>
      <c r="U149" s="879"/>
      <c r="V149" s="879"/>
      <c r="W149" s="879"/>
      <c r="X149" s="879"/>
      <c r="Y149" s="879"/>
      <c r="Z149" s="879"/>
      <c r="AA149" s="879"/>
      <c r="AB149" s="879"/>
      <c r="AC149" s="879"/>
      <c r="AD149" s="879"/>
      <c r="AE149" s="879"/>
      <c r="AF149" s="879"/>
      <c r="AG149" s="879"/>
    </row>
    <row r="150" spans="1:33" ht="21" customHeight="1" outlineLevel="1" x14ac:dyDescent="0.25">
      <c r="A150" s="240"/>
      <c r="B150" s="1190"/>
      <c r="C150" s="1205"/>
      <c r="D150" s="1205"/>
      <c r="E150" s="1205"/>
      <c r="F150" s="1205"/>
      <c r="G150" s="879"/>
      <c r="H150" s="879"/>
      <c r="I150" s="879"/>
      <c r="J150" s="879"/>
      <c r="K150" s="879"/>
      <c r="L150" s="879"/>
      <c r="M150" s="879"/>
      <c r="N150" s="879"/>
      <c r="O150" s="879"/>
      <c r="P150" s="879"/>
      <c r="Q150" s="879"/>
      <c r="R150" s="879"/>
      <c r="S150" s="879"/>
      <c r="T150" s="879"/>
      <c r="U150" s="879"/>
      <c r="V150" s="879"/>
      <c r="W150" s="879"/>
      <c r="X150" s="879"/>
      <c r="Y150" s="879"/>
      <c r="Z150" s="879"/>
      <c r="AA150" s="879"/>
      <c r="AB150" s="879"/>
      <c r="AC150" s="879"/>
      <c r="AD150" s="879"/>
      <c r="AE150" s="879"/>
      <c r="AF150" s="879"/>
      <c r="AG150" s="879"/>
    </row>
    <row r="151" spans="1:33" ht="21" customHeight="1" outlineLevel="1" x14ac:dyDescent="0.25">
      <c r="A151" s="240"/>
      <c r="B151" s="1190"/>
      <c r="C151" s="1205"/>
      <c r="D151" s="1205"/>
      <c r="E151" s="1205"/>
      <c r="F151" s="1205"/>
      <c r="G151" s="879"/>
      <c r="H151" s="879"/>
      <c r="I151" s="879"/>
      <c r="J151" s="879"/>
      <c r="K151" s="879"/>
      <c r="L151" s="879"/>
      <c r="M151" s="879"/>
      <c r="N151" s="879"/>
      <c r="O151" s="879"/>
      <c r="P151" s="879"/>
      <c r="Q151" s="879"/>
      <c r="R151" s="879"/>
      <c r="S151" s="879"/>
      <c r="T151" s="879"/>
      <c r="U151" s="879"/>
      <c r="V151" s="879"/>
      <c r="W151" s="879"/>
      <c r="X151" s="879"/>
      <c r="Y151" s="879"/>
      <c r="Z151" s="879"/>
      <c r="AA151" s="879"/>
      <c r="AB151" s="879"/>
      <c r="AC151" s="879"/>
      <c r="AD151" s="879"/>
      <c r="AE151" s="879"/>
      <c r="AF151" s="879"/>
      <c r="AG151" s="879"/>
    </row>
    <row r="152" spans="1:33" ht="21" customHeight="1" outlineLevel="1" x14ac:dyDescent="0.25">
      <c r="A152" s="240"/>
      <c r="B152" s="1191"/>
      <c r="C152" s="1076" t="str">
        <f>IF(COUNTIF(G154:G253,"Erro, confira o valor da energia térmica adquirida")&gt;0,"Erro: confira of valores desta coluna","")</f>
        <v/>
      </c>
      <c r="D152" s="1206"/>
      <c r="E152" s="1206"/>
      <c r="F152" s="1206"/>
      <c r="G152" s="879"/>
      <c r="H152" s="879"/>
      <c r="I152" s="879"/>
      <c r="J152" s="879"/>
      <c r="K152" s="879"/>
      <c r="L152" s="879"/>
      <c r="M152" s="879"/>
      <c r="N152" s="879"/>
      <c r="O152" s="879"/>
      <c r="P152" s="879"/>
      <c r="Q152" s="879"/>
      <c r="R152" s="879"/>
      <c r="S152" s="879"/>
      <c r="T152" s="879"/>
      <c r="U152" s="879"/>
      <c r="V152" s="879"/>
      <c r="W152" s="879"/>
      <c r="X152" s="879"/>
      <c r="Y152" s="879"/>
      <c r="Z152" s="879"/>
      <c r="AA152" s="879"/>
      <c r="AB152" s="879"/>
      <c r="AC152" s="879"/>
      <c r="AD152" s="879"/>
      <c r="AE152" s="879"/>
      <c r="AF152" s="879"/>
      <c r="AG152" s="879"/>
    </row>
    <row r="153" spans="1:33" s="212" customFormat="1" ht="30" customHeight="1" outlineLevel="1" x14ac:dyDescent="0.25">
      <c r="A153" s="242" t="s">
        <v>36</v>
      </c>
      <c r="B153" s="880" t="s">
        <v>247</v>
      </c>
      <c r="C153" s="1099">
        <v>5000</v>
      </c>
      <c r="D153" s="881">
        <v>0.08</v>
      </c>
      <c r="E153" s="880" t="s">
        <v>957</v>
      </c>
      <c r="F153" s="336">
        <v>400</v>
      </c>
      <c r="G153" s="879"/>
      <c r="H153" s="879"/>
      <c r="I153" s="879"/>
      <c r="J153" s="879"/>
      <c r="K153" s="879"/>
      <c r="L153" s="879"/>
      <c r="M153" s="879"/>
      <c r="N153" s="879"/>
      <c r="O153" s="879"/>
      <c r="P153" s="879"/>
      <c r="Q153" s="879"/>
      <c r="R153" s="879"/>
      <c r="S153" s="879"/>
      <c r="T153" s="879"/>
      <c r="U153" s="879"/>
      <c r="V153" s="879"/>
      <c r="W153" s="879"/>
      <c r="X153" s="879"/>
      <c r="Y153" s="879"/>
      <c r="Z153" s="879"/>
      <c r="AA153" s="879"/>
      <c r="AB153" s="879"/>
      <c r="AC153" s="879"/>
      <c r="AD153" s="879"/>
      <c r="AE153" s="879"/>
      <c r="AF153" s="879"/>
      <c r="AG153" s="879"/>
    </row>
    <row r="154" spans="1:33" s="240" customFormat="1" ht="30" customHeight="1" outlineLevel="1" x14ac:dyDescent="0.25">
      <c r="A154" s="267"/>
      <c r="B154" s="635"/>
      <c r="C154" s="243"/>
      <c r="D154" s="889"/>
      <c r="E154" s="635"/>
      <c r="F154" s="337" t="str">
        <f t="shared" ref="F154:F164" si="5">IF(OR(C154="",D154=""),"",(C154*D154))</f>
        <v/>
      </c>
      <c r="G154" s="1080" t="str">
        <f>IF(C154="","",IFERROR(C154*1,"Erro, confira o valor da energia térmica adquirida"))</f>
        <v/>
      </c>
      <c r="H154" s="879"/>
      <c r="I154" s="879"/>
      <c r="J154" s="879"/>
      <c r="K154" s="879"/>
      <c r="L154" s="879"/>
      <c r="M154" s="879"/>
      <c r="N154" s="879"/>
      <c r="O154" s="879"/>
      <c r="P154" s="879"/>
      <c r="Q154" s="879"/>
      <c r="R154" s="879"/>
      <c r="S154" s="879"/>
      <c r="T154" s="879"/>
      <c r="U154" s="879"/>
      <c r="V154" s="879"/>
      <c r="W154" s="879"/>
      <c r="X154" s="879"/>
      <c r="Y154" s="879"/>
      <c r="Z154" s="879"/>
      <c r="AA154" s="879"/>
      <c r="AB154" s="879"/>
      <c r="AC154" s="879"/>
      <c r="AD154" s="879"/>
      <c r="AE154" s="879"/>
      <c r="AF154" s="879"/>
      <c r="AG154" s="879"/>
    </row>
    <row r="155" spans="1:33" s="240" customFormat="1" ht="30" customHeight="1" outlineLevel="1" x14ac:dyDescent="0.25">
      <c r="A155" s="267"/>
      <c r="B155" s="635"/>
      <c r="C155" s="243"/>
      <c r="D155" s="540"/>
      <c r="E155" s="635"/>
      <c r="F155" s="337" t="str">
        <f t="shared" si="5"/>
        <v/>
      </c>
      <c r="G155" s="1080" t="str">
        <f t="shared" ref="G155:G218" si="6">IF(C155="","",IFERROR(C155*1,"Erro, confira o valor da energia térmica adquirida"))</f>
        <v/>
      </c>
      <c r="H155" s="879"/>
      <c r="I155" s="879"/>
      <c r="J155" s="879"/>
      <c r="K155" s="879"/>
      <c r="L155" s="879"/>
      <c r="M155" s="879"/>
      <c r="N155" s="879"/>
      <c r="O155" s="879"/>
      <c r="P155" s="879"/>
      <c r="Q155" s="879"/>
      <c r="R155" s="879"/>
      <c r="S155" s="879"/>
      <c r="T155" s="879"/>
      <c r="U155" s="879"/>
      <c r="V155" s="879"/>
      <c r="W155" s="879"/>
      <c r="X155" s="879"/>
      <c r="Y155" s="879"/>
      <c r="Z155" s="879"/>
      <c r="AA155" s="879"/>
      <c r="AB155" s="879"/>
      <c r="AC155" s="879"/>
      <c r="AD155" s="879"/>
      <c r="AE155" s="879"/>
      <c r="AF155" s="879"/>
      <c r="AG155" s="879"/>
    </row>
    <row r="156" spans="1:33" s="240" customFormat="1" ht="30" customHeight="1" outlineLevel="1" x14ac:dyDescent="0.25">
      <c r="A156" s="267"/>
      <c r="B156" s="635"/>
      <c r="C156" s="243"/>
      <c r="D156" s="540"/>
      <c r="E156" s="635"/>
      <c r="F156" s="337" t="str">
        <f t="shared" si="5"/>
        <v/>
      </c>
      <c r="G156" s="1080" t="str">
        <f t="shared" si="6"/>
        <v/>
      </c>
      <c r="H156" s="879"/>
      <c r="I156" s="879"/>
      <c r="J156" s="879"/>
      <c r="K156" s="879"/>
      <c r="L156" s="879"/>
      <c r="M156" s="879"/>
      <c r="N156" s="879"/>
      <c r="O156" s="879"/>
      <c r="P156" s="879"/>
      <c r="Q156" s="879"/>
      <c r="R156" s="879"/>
      <c r="S156" s="879"/>
      <c r="T156" s="879"/>
      <c r="U156" s="879"/>
      <c r="V156" s="879"/>
      <c r="W156" s="879"/>
      <c r="X156" s="879"/>
      <c r="Y156" s="879"/>
      <c r="Z156" s="879"/>
      <c r="AA156" s="879"/>
      <c r="AB156" s="879"/>
      <c r="AC156" s="879"/>
      <c r="AD156" s="879"/>
      <c r="AE156" s="879"/>
      <c r="AF156" s="879"/>
      <c r="AG156" s="879"/>
    </row>
    <row r="157" spans="1:33" s="240" customFormat="1" ht="30" customHeight="1" outlineLevel="1" x14ac:dyDescent="0.25">
      <c r="A157" s="267"/>
      <c r="B157" s="635"/>
      <c r="C157" s="243"/>
      <c r="D157" s="540"/>
      <c r="E157" s="635"/>
      <c r="F157" s="337" t="str">
        <f t="shared" si="5"/>
        <v/>
      </c>
      <c r="G157" s="1080" t="str">
        <f t="shared" si="6"/>
        <v/>
      </c>
      <c r="H157" s="879"/>
      <c r="I157" s="879"/>
      <c r="J157" s="879"/>
      <c r="K157" s="879"/>
      <c r="L157" s="879"/>
      <c r="M157" s="879"/>
      <c r="N157" s="879"/>
      <c r="O157" s="879"/>
      <c r="P157" s="879"/>
      <c r="Q157" s="879"/>
      <c r="R157" s="879"/>
      <c r="S157" s="879"/>
      <c r="T157" s="879"/>
      <c r="U157" s="879"/>
      <c r="V157" s="879"/>
      <c r="W157" s="879"/>
      <c r="X157" s="879"/>
      <c r="Y157" s="879"/>
      <c r="Z157" s="879"/>
      <c r="AA157" s="879"/>
      <c r="AB157" s="879"/>
      <c r="AC157" s="879"/>
      <c r="AD157" s="879"/>
      <c r="AE157" s="879"/>
      <c r="AF157" s="879"/>
      <c r="AG157" s="879"/>
    </row>
    <row r="158" spans="1:33" s="240" customFormat="1" ht="30" customHeight="1" outlineLevel="1" x14ac:dyDescent="0.25">
      <c r="A158" s="267"/>
      <c r="B158" s="635"/>
      <c r="C158" s="243"/>
      <c r="D158" s="540"/>
      <c r="E158" s="635"/>
      <c r="F158" s="337" t="str">
        <f t="shared" si="5"/>
        <v/>
      </c>
      <c r="G158" s="1080" t="str">
        <f t="shared" si="6"/>
        <v/>
      </c>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row>
    <row r="159" spans="1:33" s="240" customFormat="1" ht="30" customHeight="1" outlineLevel="1" x14ac:dyDescent="0.25">
      <c r="A159" s="267"/>
      <c r="B159" s="635"/>
      <c r="C159" s="243"/>
      <c r="D159" s="540"/>
      <c r="E159" s="635"/>
      <c r="F159" s="337" t="str">
        <f t="shared" si="5"/>
        <v/>
      </c>
      <c r="G159" s="1080" t="str">
        <f t="shared" si="6"/>
        <v/>
      </c>
      <c r="H159" s="879"/>
      <c r="I159" s="879"/>
      <c r="J159" s="879"/>
      <c r="K159" s="879"/>
      <c r="L159" s="879"/>
      <c r="M159" s="879"/>
      <c r="N159" s="879"/>
      <c r="O159" s="879"/>
      <c r="P159" s="879"/>
      <c r="Q159" s="879"/>
      <c r="R159" s="879"/>
      <c r="S159" s="879"/>
      <c r="T159" s="879"/>
      <c r="U159" s="879"/>
      <c r="V159" s="879"/>
      <c r="W159" s="879"/>
      <c r="X159" s="879"/>
      <c r="Y159" s="879"/>
      <c r="Z159" s="879"/>
      <c r="AA159" s="879"/>
      <c r="AB159" s="879"/>
      <c r="AC159" s="879"/>
      <c r="AD159" s="879"/>
      <c r="AE159" s="879"/>
      <c r="AF159" s="879"/>
      <c r="AG159" s="879"/>
    </row>
    <row r="160" spans="1:33" s="240" customFormat="1" ht="30" customHeight="1" outlineLevel="1" x14ac:dyDescent="0.25">
      <c r="A160" s="267"/>
      <c r="B160" s="635"/>
      <c r="C160" s="243"/>
      <c r="D160" s="540"/>
      <c r="E160" s="635"/>
      <c r="F160" s="337" t="str">
        <f t="shared" si="5"/>
        <v/>
      </c>
      <c r="G160" s="1080" t="str">
        <f t="shared" si="6"/>
        <v/>
      </c>
      <c r="H160" s="879"/>
      <c r="I160" s="879"/>
      <c r="J160" s="879"/>
      <c r="K160" s="879"/>
      <c r="L160" s="879"/>
      <c r="M160" s="879"/>
      <c r="N160" s="879"/>
      <c r="O160" s="879"/>
      <c r="P160" s="879"/>
      <c r="Q160" s="879"/>
      <c r="R160" s="879"/>
      <c r="S160" s="879"/>
      <c r="T160" s="879"/>
      <c r="U160" s="879"/>
      <c r="V160" s="879"/>
      <c r="W160" s="879"/>
      <c r="X160" s="879"/>
      <c r="Y160" s="879"/>
      <c r="Z160" s="879"/>
      <c r="AA160" s="879"/>
      <c r="AB160" s="879"/>
      <c r="AC160" s="879"/>
      <c r="AD160" s="879"/>
      <c r="AE160" s="879"/>
      <c r="AF160" s="879"/>
      <c r="AG160" s="879"/>
    </row>
    <row r="161" spans="1:33" s="240" customFormat="1" ht="30" hidden="1" customHeight="1" outlineLevel="2" x14ac:dyDescent="0.25">
      <c r="A161" s="267"/>
      <c r="B161" s="635"/>
      <c r="C161" s="243"/>
      <c r="D161" s="540"/>
      <c r="E161" s="635"/>
      <c r="F161" s="337" t="str">
        <f t="shared" si="5"/>
        <v/>
      </c>
      <c r="G161" s="1080" t="str">
        <f t="shared" si="6"/>
        <v/>
      </c>
      <c r="H161" s="879"/>
      <c r="I161" s="879"/>
      <c r="J161" s="879"/>
      <c r="K161" s="879"/>
      <c r="L161" s="879"/>
      <c r="M161" s="879"/>
      <c r="N161" s="879"/>
      <c r="O161" s="879"/>
      <c r="P161" s="879"/>
      <c r="Q161" s="879"/>
      <c r="R161" s="879"/>
      <c r="S161" s="879"/>
      <c r="T161" s="879"/>
      <c r="U161" s="879"/>
      <c r="V161" s="879"/>
      <c r="W161" s="879"/>
      <c r="X161" s="879"/>
      <c r="Y161" s="879"/>
      <c r="Z161" s="879"/>
      <c r="AA161" s="879"/>
      <c r="AB161" s="879"/>
      <c r="AC161" s="879"/>
      <c r="AD161" s="879"/>
      <c r="AE161" s="879"/>
      <c r="AF161" s="879"/>
      <c r="AG161" s="879"/>
    </row>
    <row r="162" spans="1:33" s="240" customFormat="1" ht="30" hidden="1" customHeight="1" outlineLevel="2" x14ac:dyDescent="0.25">
      <c r="A162" s="267"/>
      <c r="B162" s="635"/>
      <c r="C162" s="243"/>
      <c r="D162" s="540"/>
      <c r="E162" s="635"/>
      <c r="F162" s="337" t="str">
        <f t="shared" si="5"/>
        <v/>
      </c>
      <c r="G162" s="1080" t="str">
        <f t="shared" si="6"/>
        <v/>
      </c>
      <c r="H162" s="879"/>
      <c r="I162" s="879"/>
      <c r="J162" s="879"/>
      <c r="K162" s="879"/>
      <c r="L162" s="879"/>
      <c r="M162" s="879"/>
      <c r="N162" s="879"/>
      <c r="O162" s="879"/>
      <c r="P162" s="879"/>
      <c r="Q162" s="879"/>
      <c r="R162" s="879"/>
      <c r="S162" s="879"/>
      <c r="T162" s="879"/>
      <c r="U162" s="879"/>
      <c r="V162" s="879"/>
      <c r="W162" s="879"/>
      <c r="X162" s="879"/>
      <c r="Y162" s="879"/>
      <c r="Z162" s="879"/>
      <c r="AA162" s="879"/>
      <c r="AB162" s="879"/>
      <c r="AC162" s="879"/>
      <c r="AD162" s="879"/>
      <c r="AE162" s="879"/>
      <c r="AF162" s="879"/>
      <c r="AG162" s="879"/>
    </row>
    <row r="163" spans="1:33" s="240" customFormat="1" ht="30" hidden="1" customHeight="1" outlineLevel="2" x14ac:dyDescent="0.25">
      <c r="A163" s="267"/>
      <c r="B163" s="635"/>
      <c r="C163" s="243"/>
      <c r="D163" s="540"/>
      <c r="E163" s="635"/>
      <c r="F163" s="337" t="str">
        <f t="shared" si="5"/>
        <v/>
      </c>
      <c r="G163" s="1080" t="str">
        <f t="shared" si="6"/>
        <v/>
      </c>
      <c r="H163" s="879"/>
      <c r="I163" s="879"/>
      <c r="J163" s="879"/>
      <c r="K163" s="879"/>
      <c r="L163" s="879"/>
      <c r="M163" s="879"/>
      <c r="N163" s="879"/>
      <c r="O163" s="879"/>
      <c r="P163" s="879"/>
      <c r="Q163" s="879"/>
      <c r="R163" s="879"/>
      <c r="S163" s="879"/>
      <c r="T163" s="879"/>
      <c r="U163" s="879"/>
      <c r="V163" s="879"/>
      <c r="W163" s="879"/>
      <c r="X163" s="879"/>
      <c r="Y163" s="879"/>
      <c r="Z163" s="879"/>
      <c r="AA163" s="879"/>
      <c r="AB163" s="879"/>
      <c r="AC163" s="879"/>
      <c r="AD163" s="879"/>
      <c r="AE163" s="879"/>
      <c r="AF163" s="879"/>
      <c r="AG163" s="879"/>
    </row>
    <row r="164" spans="1:33" s="240" customFormat="1" ht="30" hidden="1" customHeight="1" outlineLevel="2" x14ac:dyDescent="0.25">
      <c r="A164" s="267"/>
      <c r="B164" s="635"/>
      <c r="C164" s="243"/>
      <c r="D164" s="540"/>
      <c r="E164" s="635"/>
      <c r="F164" s="337" t="str">
        <f t="shared" si="5"/>
        <v/>
      </c>
      <c r="G164" s="1080" t="str">
        <f t="shared" si="6"/>
        <v/>
      </c>
      <c r="H164" s="879"/>
      <c r="I164" s="879"/>
      <c r="J164" s="879"/>
      <c r="K164" s="879"/>
      <c r="L164" s="879"/>
      <c r="M164" s="879"/>
      <c r="N164" s="879"/>
      <c r="O164" s="879"/>
      <c r="P164" s="879"/>
      <c r="Q164" s="879"/>
      <c r="R164" s="879"/>
      <c r="S164" s="879"/>
      <c r="T164" s="879"/>
      <c r="U164" s="879"/>
      <c r="V164" s="879"/>
      <c r="W164" s="879"/>
      <c r="X164" s="879"/>
      <c r="Y164" s="879"/>
      <c r="Z164" s="879"/>
      <c r="AA164" s="879"/>
      <c r="AB164" s="879"/>
      <c r="AC164" s="879"/>
      <c r="AD164" s="879"/>
      <c r="AE164" s="879"/>
      <c r="AF164" s="879"/>
      <c r="AG164" s="879"/>
    </row>
    <row r="165" spans="1:33" s="240" customFormat="1" ht="30" hidden="1" customHeight="1" outlineLevel="2" x14ac:dyDescent="0.25">
      <c r="A165" s="267"/>
      <c r="B165" s="635"/>
      <c r="C165" s="243"/>
      <c r="D165" s="889"/>
      <c r="E165" s="635"/>
      <c r="F165" s="337" t="str">
        <f>IF(OR(C165="",D165=""),"",(C165*D165))</f>
        <v/>
      </c>
      <c r="G165" s="1080" t="str">
        <f t="shared" si="6"/>
        <v/>
      </c>
      <c r="H165" s="879"/>
      <c r="I165" s="879"/>
      <c r="J165" s="879"/>
      <c r="K165" s="879"/>
      <c r="L165" s="879"/>
      <c r="M165" s="879"/>
      <c r="N165" s="879"/>
      <c r="O165" s="879"/>
      <c r="P165" s="879"/>
      <c r="Q165" s="879"/>
      <c r="R165" s="879"/>
      <c r="S165" s="879"/>
      <c r="T165" s="879"/>
      <c r="U165" s="879"/>
      <c r="V165" s="879"/>
      <c r="W165" s="879"/>
      <c r="X165" s="879"/>
      <c r="Y165" s="879"/>
      <c r="Z165" s="879"/>
      <c r="AA165" s="879"/>
      <c r="AB165" s="879"/>
      <c r="AC165" s="879"/>
      <c r="AD165" s="879"/>
      <c r="AE165" s="879"/>
      <c r="AF165" s="879"/>
      <c r="AG165" s="879"/>
    </row>
    <row r="166" spans="1:33" s="240" customFormat="1" ht="30" hidden="1" customHeight="1" outlineLevel="2" x14ac:dyDescent="0.25">
      <c r="A166" s="267"/>
      <c r="B166" s="635"/>
      <c r="C166" s="243"/>
      <c r="D166" s="540"/>
      <c r="E166" s="635"/>
      <c r="F166" s="337" t="str">
        <f t="shared" ref="F166:F229" si="7">IF(OR(C166="",D166=""),"",(C166*D166))</f>
        <v/>
      </c>
      <c r="G166" s="1080" t="str">
        <f t="shared" si="6"/>
        <v/>
      </c>
      <c r="H166" s="879"/>
      <c r="I166" s="879"/>
      <c r="J166" s="879"/>
      <c r="K166" s="879"/>
      <c r="L166" s="879"/>
      <c r="M166" s="879"/>
      <c r="N166" s="879"/>
      <c r="O166" s="879"/>
      <c r="P166" s="879"/>
      <c r="Q166" s="879"/>
      <c r="R166" s="879"/>
      <c r="S166" s="879"/>
      <c r="T166" s="879"/>
      <c r="U166" s="879"/>
      <c r="V166" s="879"/>
      <c r="W166" s="879"/>
      <c r="X166" s="879"/>
      <c r="Y166" s="879"/>
      <c r="Z166" s="879"/>
      <c r="AA166" s="879"/>
      <c r="AB166" s="879"/>
      <c r="AC166" s="879"/>
      <c r="AD166" s="879"/>
      <c r="AE166" s="879"/>
      <c r="AF166" s="879"/>
      <c r="AG166" s="879"/>
    </row>
    <row r="167" spans="1:33" s="240" customFormat="1" ht="30" hidden="1" customHeight="1" outlineLevel="2" x14ac:dyDescent="0.25">
      <c r="A167" s="267"/>
      <c r="B167" s="635"/>
      <c r="C167" s="243"/>
      <c r="D167" s="540"/>
      <c r="E167" s="635"/>
      <c r="F167" s="337" t="str">
        <f t="shared" si="7"/>
        <v/>
      </c>
      <c r="G167" s="1080" t="str">
        <f t="shared" si="6"/>
        <v/>
      </c>
      <c r="H167" s="879"/>
      <c r="I167" s="879"/>
      <c r="J167" s="879"/>
      <c r="K167" s="879"/>
      <c r="L167" s="879"/>
      <c r="M167" s="879"/>
      <c r="N167" s="879"/>
      <c r="O167" s="879"/>
      <c r="P167" s="879"/>
      <c r="Q167" s="879"/>
      <c r="R167" s="879"/>
      <c r="S167" s="879"/>
      <c r="T167" s="879"/>
      <c r="U167" s="879"/>
      <c r="V167" s="879"/>
      <c r="W167" s="879"/>
      <c r="X167" s="879"/>
      <c r="Y167" s="879"/>
      <c r="Z167" s="879"/>
      <c r="AA167" s="879"/>
      <c r="AB167" s="879"/>
      <c r="AC167" s="879"/>
      <c r="AD167" s="879"/>
      <c r="AE167" s="879"/>
      <c r="AF167" s="879"/>
      <c r="AG167" s="879"/>
    </row>
    <row r="168" spans="1:33" s="240" customFormat="1" ht="30" hidden="1" customHeight="1" outlineLevel="2" x14ac:dyDescent="0.25">
      <c r="A168" s="267"/>
      <c r="B168" s="635"/>
      <c r="C168" s="243"/>
      <c r="D168" s="540"/>
      <c r="E168" s="635"/>
      <c r="F168" s="337" t="str">
        <f t="shared" si="7"/>
        <v/>
      </c>
      <c r="G168" s="1080" t="str">
        <f t="shared" si="6"/>
        <v/>
      </c>
      <c r="H168" s="879"/>
      <c r="I168" s="879"/>
      <c r="J168" s="879"/>
      <c r="K168" s="879"/>
      <c r="L168" s="879"/>
      <c r="M168" s="879"/>
      <c r="N168" s="879"/>
      <c r="O168" s="879"/>
      <c r="P168" s="879"/>
      <c r="Q168" s="879"/>
      <c r="R168" s="879"/>
      <c r="S168" s="879"/>
      <c r="T168" s="879"/>
      <c r="U168" s="879"/>
      <c r="V168" s="879"/>
      <c r="W168" s="879"/>
      <c r="X168" s="879"/>
      <c r="Y168" s="879"/>
      <c r="Z168" s="879"/>
      <c r="AA168" s="879"/>
      <c r="AB168" s="879"/>
      <c r="AC168" s="879"/>
      <c r="AD168" s="879"/>
      <c r="AE168" s="879"/>
      <c r="AF168" s="879"/>
      <c r="AG168" s="879"/>
    </row>
    <row r="169" spans="1:33" s="240" customFormat="1" ht="30" hidden="1" customHeight="1" outlineLevel="2" x14ac:dyDescent="0.25">
      <c r="A169" s="267"/>
      <c r="B169" s="635"/>
      <c r="C169" s="243"/>
      <c r="D169" s="540"/>
      <c r="E169" s="635"/>
      <c r="F169" s="337" t="str">
        <f t="shared" si="7"/>
        <v/>
      </c>
      <c r="G169" s="1080" t="str">
        <f t="shared" si="6"/>
        <v/>
      </c>
      <c r="H169" s="879"/>
      <c r="I169" s="879"/>
      <c r="J169" s="879"/>
      <c r="K169" s="879"/>
      <c r="L169" s="879"/>
      <c r="M169" s="879"/>
      <c r="N169" s="879"/>
      <c r="O169" s="879"/>
      <c r="P169" s="879"/>
      <c r="Q169" s="879"/>
      <c r="R169" s="879"/>
      <c r="S169" s="879"/>
      <c r="T169" s="879"/>
      <c r="U169" s="879"/>
      <c r="V169" s="879"/>
      <c r="W169" s="879"/>
      <c r="X169" s="879"/>
      <c r="Y169" s="879"/>
      <c r="Z169" s="879"/>
      <c r="AA169" s="879"/>
      <c r="AB169" s="879"/>
      <c r="AC169" s="879"/>
      <c r="AD169" s="879"/>
      <c r="AE169" s="879"/>
      <c r="AF169" s="879"/>
      <c r="AG169" s="879"/>
    </row>
    <row r="170" spans="1:33" s="240" customFormat="1" ht="30" hidden="1" customHeight="1" outlineLevel="2" x14ac:dyDescent="0.25">
      <c r="A170" s="267"/>
      <c r="B170" s="635"/>
      <c r="C170" s="243"/>
      <c r="D170" s="540"/>
      <c r="E170" s="635"/>
      <c r="F170" s="337" t="str">
        <f t="shared" si="7"/>
        <v/>
      </c>
      <c r="G170" s="1080" t="str">
        <f t="shared" si="6"/>
        <v/>
      </c>
      <c r="H170" s="879"/>
      <c r="I170" s="879"/>
      <c r="J170" s="879"/>
      <c r="K170" s="879"/>
      <c r="L170" s="879"/>
      <c r="M170" s="879"/>
      <c r="N170" s="879"/>
      <c r="O170" s="879"/>
      <c r="P170" s="879"/>
      <c r="Q170" s="879"/>
      <c r="R170" s="879"/>
      <c r="S170" s="879"/>
      <c r="T170" s="879"/>
      <c r="U170" s="879"/>
      <c r="V170" s="879"/>
      <c r="W170" s="879"/>
      <c r="X170" s="879"/>
      <c r="Y170" s="879"/>
      <c r="Z170" s="879"/>
      <c r="AA170" s="879"/>
      <c r="AB170" s="879"/>
      <c r="AC170" s="879"/>
      <c r="AD170" s="879"/>
      <c r="AE170" s="879"/>
      <c r="AF170" s="879"/>
      <c r="AG170" s="879"/>
    </row>
    <row r="171" spans="1:33" s="240" customFormat="1" ht="30" hidden="1" customHeight="1" outlineLevel="2" x14ac:dyDescent="0.25">
      <c r="A171" s="267"/>
      <c r="B171" s="635"/>
      <c r="C171" s="243"/>
      <c r="D171" s="540"/>
      <c r="E171" s="635"/>
      <c r="F171" s="337" t="str">
        <f t="shared" si="7"/>
        <v/>
      </c>
      <c r="G171" s="1080" t="str">
        <f t="shared" si="6"/>
        <v/>
      </c>
      <c r="H171" s="879"/>
      <c r="I171" s="879"/>
      <c r="J171" s="879"/>
      <c r="K171" s="879"/>
      <c r="L171" s="879"/>
      <c r="M171" s="879"/>
      <c r="N171" s="879"/>
      <c r="O171" s="879"/>
      <c r="P171" s="879"/>
      <c r="Q171" s="879"/>
      <c r="R171" s="879"/>
      <c r="S171" s="879"/>
      <c r="T171" s="879"/>
      <c r="U171" s="879"/>
      <c r="V171" s="879"/>
      <c r="W171" s="879"/>
      <c r="X171" s="879"/>
      <c r="Y171" s="879"/>
      <c r="Z171" s="879"/>
      <c r="AA171" s="879"/>
      <c r="AB171" s="879"/>
      <c r="AC171" s="879"/>
      <c r="AD171" s="879"/>
      <c r="AE171" s="879"/>
      <c r="AF171" s="879"/>
      <c r="AG171" s="879"/>
    </row>
    <row r="172" spans="1:33" s="240" customFormat="1" ht="30" hidden="1" customHeight="1" outlineLevel="2" x14ac:dyDescent="0.25">
      <c r="A172" s="267"/>
      <c r="B172" s="635"/>
      <c r="C172" s="243"/>
      <c r="D172" s="540"/>
      <c r="E172" s="635"/>
      <c r="F172" s="337" t="str">
        <f t="shared" si="7"/>
        <v/>
      </c>
      <c r="G172" s="1080" t="str">
        <f t="shared" si="6"/>
        <v/>
      </c>
      <c r="H172" s="879"/>
      <c r="I172" s="879"/>
      <c r="J172" s="879"/>
      <c r="K172" s="879"/>
      <c r="L172" s="879"/>
      <c r="M172" s="879"/>
      <c r="N172" s="879"/>
      <c r="O172" s="879"/>
      <c r="P172" s="879"/>
      <c r="Q172" s="879"/>
      <c r="R172" s="879"/>
      <c r="S172" s="879"/>
      <c r="T172" s="879"/>
      <c r="U172" s="879"/>
      <c r="V172" s="879"/>
      <c r="W172" s="879"/>
      <c r="X172" s="879"/>
      <c r="Y172" s="879"/>
      <c r="Z172" s="879"/>
      <c r="AA172" s="879"/>
      <c r="AB172" s="879"/>
      <c r="AC172" s="879"/>
      <c r="AD172" s="879"/>
      <c r="AE172" s="879"/>
      <c r="AF172" s="879"/>
      <c r="AG172" s="879"/>
    </row>
    <row r="173" spans="1:33" s="240" customFormat="1" ht="30" hidden="1" customHeight="1" outlineLevel="2" x14ac:dyDescent="0.25">
      <c r="A173" s="267"/>
      <c r="B173" s="635"/>
      <c r="C173" s="243"/>
      <c r="D173" s="540"/>
      <c r="E173" s="635"/>
      <c r="F173" s="337" t="str">
        <f t="shared" si="7"/>
        <v/>
      </c>
      <c r="G173" s="1080" t="str">
        <f t="shared" si="6"/>
        <v/>
      </c>
      <c r="H173" s="879"/>
      <c r="I173" s="879"/>
      <c r="J173" s="879"/>
      <c r="K173" s="879"/>
      <c r="L173" s="879"/>
      <c r="M173" s="879"/>
      <c r="N173" s="879"/>
      <c r="O173" s="879"/>
      <c r="P173" s="879"/>
      <c r="Q173" s="879"/>
      <c r="R173" s="879"/>
      <c r="S173" s="879"/>
      <c r="T173" s="879"/>
      <c r="U173" s="879"/>
      <c r="V173" s="879"/>
      <c r="W173" s="879"/>
      <c r="X173" s="879"/>
      <c r="Y173" s="879"/>
      <c r="Z173" s="879"/>
      <c r="AA173" s="879"/>
      <c r="AB173" s="879"/>
      <c r="AC173" s="879"/>
      <c r="AD173" s="879"/>
      <c r="AE173" s="879"/>
      <c r="AF173" s="879"/>
      <c r="AG173" s="879"/>
    </row>
    <row r="174" spans="1:33" s="240" customFormat="1" ht="45" hidden="1" customHeight="1" outlineLevel="2" x14ac:dyDescent="0.25">
      <c r="A174" s="267"/>
      <c r="B174" s="635"/>
      <c r="C174" s="243"/>
      <c r="D174" s="540"/>
      <c r="E174" s="635"/>
      <c r="F174" s="337" t="str">
        <f t="shared" si="7"/>
        <v/>
      </c>
      <c r="G174" s="1080" t="str">
        <f t="shared" si="6"/>
        <v/>
      </c>
      <c r="H174" s="879"/>
      <c r="I174" s="879"/>
      <c r="J174" s="879"/>
      <c r="K174" s="879"/>
      <c r="L174" s="879"/>
      <c r="M174" s="879"/>
      <c r="N174" s="879"/>
      <c r="O174" s="879"/>
      <c r="P174" s="879"/>
      <c r="Q174" s="879"/>
      <c r="R174" s="879"/>
      <c r="S174" s="879"/>
      <c r="T174" s="879"/>
      <c r="U174" s="879"/>
      <c r="V174" s="879"/>
      <c r="W174" s="879"/>
      <c r="X174" s="879"/>
      <c r="Y174" s="879"/>
      <c r="Z174" s="879"/>
      <c r="AA174" s="879"/>
      <c r="AB174" s="879"/>
      <c r="AC174" s="879"/>
      <c r="AD174" s="879"/>
      <c r="AE174" s="879"/>
      <c r="AF174" s="879"/>
      <c r="AG174" s="879"/>
    </row>
    <row r="175" spans="1:33" s="240" customFormat="1" ht="45" hidden="1" customHeight="1" outlineLevel="2" x14ac:dyDescent="0.25">
      <c r="A175" s="267"/>
      <c r="B175" s="635"/>
      <c r="C175" s="243"/>
      <c r="D175" s="540"/>
      <c r="E175" s="635"/>
      <c r="F175" s="337" t="str">
        <f t="shared" si="7"/>
        <v/>
      </c>
      <c r="G175" s="1080" t="str">
        <f t="shared" si="6"/>
        <v/>
      </c>
      <c r="H175" s="879"/>
      <c r="I175" s="879"/>
      <c r="J175" s="879"/>
      <c r="K175" s="879"/>
      <c r="L175" s="879"/>
      <c r="M175" s="879"/>
      <c r="N175" s="879"/>
      <c r="O175" s="879"/>
      <c r="P175" s="879"/>
      <c r="Q175" s="879"/>
      <c r="R175" s="879"/>
      <c r="S175" s="879"/>
      <c r="T175" s="879"/>
      <c r="U175" s="879"/>
      <c r="V175" s="879"/>
      <c r="W175" s="879"/>
      <c r="X175" s="879"/>
      <c r="Y175" s="879"/>
      <c r="Z175" s="879"/>
      <c r="AA175" s="879"/>
      <c r="AB175" s="879"/>
      <c r="AC175" s="879"/>
      <c r="AD175" s="879"/>
      <c r="AE175" s="879"/>
      <c r="AF175" s="879"/>
      <c r="AG175" s="879"/>
    </row>
    <row r="176" spans="1:33" s="240" customFormat="1" ht="45" hidden="1" customHeight="1" outlineLevel="2" x14ac:dyDescent="0.25">
      <c r="A176" s="267"/>
      <c r="B176" s="635"/>
      <c r="C176" s="243"/>
      <c r="D176" s="540"/>
      <c r="E176" s="635"/>
      <c r="F176" s="337" t="str">
        <f t="shared" si="7"/>
        <v/>
      </c>
      <c r="G176" s="1080" t="str">
        <f t="shared" si="6"/>
        <v/>
      </c>
      <c r="H176" s="879"/>
      <c r="I176" s="879"/>
      <c r="J176" s="879"/>
      <c r="K176" s="879"/>
      <c r="L176" s="879"/>
      <c r="M176" s="879"/>
      <c r="N176" s="879"/>
      <c r="O176" s="879"/>
      <c r="P176" s="879"/>
      <c r="Q176" s="879"/>
      <c r="R176" s="879"/>
      <c r="S176" s="879"/>
      <c r="T176" s="879"/>
      <c r="U176" s="879"/>
      <c r="V176" s="879"/>
      <c r="W176" s="879"/>
      <c r="X176" s="879"/>
      <c r="Y176" s="879"/>
      <c r="Z176" s="879"/>
      <c r="AA176" s="879"/>
      <c r="AB176" s="879"/>
      <c r="AC176" s="879"/>
      <c r="AD176" s="879"/>
      <c r="AE176" s="879"/>
      <c r="AF176" s="879"/>
      <c r="AG176" s="879"/>
    </row>
    <row r="177" spans="1:33" s="240" customFormat="1" ht="45" hidden="1" customHeight="1" outlineLevel="2" x14ac:dyDescent="0.25">
      <c r="A177" s="267"/>
      <c r="B177" s="635"/>
      <c r="C177" s="243"/>
      <c r="D177" s="540"/>
      <c r="E177" s="635"/>
      <c r="F177" s="337" t="str">
        <f t="shared" si="7"/>
        <v/>
      </c>
      <c r="G177" s="1080" t="str">
        <f t="shared" si="6"/>
        <v/>
      </c>
      <c r="H177" s="879"/>
      <c r="I177" s="879"/>
      <c r="J177" s="879"/>
      <c r="K177" s="879"/>
      <c r="L177" s="879"/>
      <c r="M177" s="879"/>
      <c r="N177" s="879"/>
      <c r="O177" s="879"/>
      <c r="P177" s="879"/>
      <c r="Q177" s="879"/>
      <c r="R177" s="879"/>
      <c r="S177" s="879"/>
      <c r="T177" s="879"/>
      <c r="U177" s="879"/>
      <c r="V177" s="879"/>
      <c r="W177" s="879"/>
      <c r="X177" s="879"/>
      <c r="Y177" s="879"/>
      <c r="Z177" s="879"/>
      <c r="AA177" s="879"/>
      <c r="AB177" s="879"/>
      <c r="AC177" s="879"/>
      <c r="AD177" s="879"/>
      <c r="AE177" s="879"/>
      <c r="AF177" s="879"/>
      <c r="AG177" s="879"/>
    </row>
    <row r="178" spans="1:33" s="240" customFormat="1" ht="45" hidden="1" customHeight="1" outlineLevel="2" x14ac:dyDescent="0.25">
      <c r="A178" s="267"/>
      <c r="B178" s="635"/>
      <c r="C178" s="243"/>
      <c r="D178" s="540"/>
      <c r="E178" s="635"/>
      <c r="F178" s="337" t="str">
        <f t="shared" si="7"/>
        <v/>
      </c>
      <c r="G178" s="1080" t="str">
        <f t="shared" si="6"/>
        <v/>
      </c>
      <c r="H178" s="879"/>
      <c r="I178" s="879"/>
      <c r="J178" s="879"/>
      <c r="K178" s="879"/>
      <c r="L178" s="879"/>
      <c r="M178" s="879"/>
      <c r="N178" s="879"/>
      <c r="O178" s="879"/>
      <c r="P178" s="879"/>
      <c r="Q178" s="879"/>
      <c r="R178" s="879"/>
      <c r="S178" s="879"/>
      <c r="T178" s="879"/>
      <c r="U178" s="879"/>
      <c r="V178" s="879"/>
      <c r="W178" s="879"/>
      <c r="X178" s="879"/>
      <c r="Y178" s="879"/>
      <c r="Z178" s="879"/>
      <c r="AA178" s="879"/>
      <c r="AB178" s="879"/>
      <c r="AC178" s="879"/>
      <c r="AD178" s="879"/>
      <c r="AE178" s="879"/>
      <c r="AF178" s="879"/>
      <c r="AG178" s="879"/>
    </row>
    <row r="179" spans="1:33" s="240" customFormat="1" ht="45" hidden="1" customHeight="1" outlineLevel="2" x14ac:dyDescent="0.25">
      <c r="A179" s="267"/>
      <c r="B179" s="635"/>
      <c r="C179" s="243"/>
      <c r="D179" s="540"/>
      <c r="E179" s="635"/>
      <c r="F179" s="337" t="str">
        <f t="shared" si="7"/>
        <v/>
      </c>
      <c r="G179" s="1080" t="str">
        <f t="shared" si="6"/>
        <v/>
      </c>
      <c r="H179" s="879"/>
      <c r="I179" s="879"/>
      <c r="J179" s="879"/>
      <c r="K179" s="879"/>
      <c r="L179" s="879"/>
      <c r="M179" s="879"/>
      <c r="N179" s="879"/>
      <c r="O179" s="879"/>
      <c r="P179" s="879"/>
      <c r="Q179" s="879"/>
      <c r="R179" s="879"/>
      <c r="S179" s="879"/>
      <c r="T179" s="879"/>
      <c r="U179" s="879"/>
      <c r="V179" s="879"/>
      <c r="W179" s="879"/>
      <c r="X179" s="879"/>
      <c r="Y179" s="879"/>
      <c r="Z179" s="879"/>
      <c r="AA179" s="879"/>
      <c r="AB179" s="879"/>
      <c r="AC179" s="879"/>
      <c r="AD179" s="879"/>
      <c r="AE179" s="879"/>
      <c r="AF179" s="879"/>
      <c r="AG179" s="879"/>
    </row>
    <row r="180" spans="1:33" s="240" customFormat="1" ht="45" hidden="1" customHeight="1" outlineLevel="2" x14ac:dyDescent="0.25">
      <c r="A180" s="267"/>
      <c r="B180" s="635"/>
      <c r="C180" s="243"/>
      <c r="D180" s="540"/>
      <c r="E180" s="635"/>
      <c r="F180" s="337" t="str">
        <f t="shared" si="7"/>
        <v/>
      </c>
      <c r="G180" s="1080" t="str">
        <f t="shared" si="6"/>
        <v/>
      </c>
      <c r="H180" s="879"/>
      <c r="I180" s="879"/>
      <c r="J180" s="879"/>
      <c r="K180" s="879"/>
      <c r="L180" s="879"/>
      <c r="M180" s="879"/>
      <c r="N180" s="879"/>
      <c r="O180" s="879"/>
      <c r="P180" s="879"/>
      <c r="Q180" s="879"/>
      <c r="R180" s="879"/>
      <c r="S180" s="879"/>
      <c r="T180" s="879"/>
      <c r="U180" s="879"/>
      <c r="V180" s="879"/>
      <c r="W180" s="879"/>
      <c r="X180" s="879"/>
      <c r="Y180" s="879"/>
      <c r="Z180" s="879"/>
      <c r="AA180" s="879"/>
      <c r="AB180" s="879"/>
      <c r="AC180" s="879"/>
      <c r="AD180" s="879"/>
      <c r="AE180" s="879"/>
      <c r="AF180" s="879"/>
      <c r="AG180" s="879"/>
    </row>
    <row r="181" spans="1:33" s="240" customFormat="1" ht="45" hidden="1" customHeight="1" outlineLevel="2" x14ac:dyDescent="0.25">
      <c r="A181" s="267"/>
      <c r="B181" s="635"/>
      <c r="C181" s="243"/>
      <c r="D181" s="540"/>
      <c r="E181" s="635"/>
      <c r="F181" s="337" t="str">
        <f t="shared" si="7"/>
        <v/>
      </c>
      <c r="G181" s="1080" t="str">
        <f t="shared" si="6"/>
        <v/>
      </c>
      <c r="H181" s="879"/>
      <c r="I181" s="879"/>
      <c r="J181" s="879"/>
      <c r="K181" s="879"/>
      <c r="L181" s="879"/>
      <c r="M181" s="879"/>
      <c r="N181" s="879"/>
      <c r="O181" s="879"/>
      <c r="P181" s="879"/>
      <c r="Q181" s="879"/>
      <c r="R181" s="879"/>
      <c r="S181" s="879"/>
      <c r="T181" s="879"/>
      <c r="U181" s="879"/>
      <c r="V181" s="879"/>
      <c r="W181" s="879"/>
      <c r="X181" s="879"/>
      <c r="Y181" s="879"/>
      <c r="Z181" s="879"/>
      <c r="AA181" s="879"/>
      <c r="AB181" s="879"/>
      <c r="AC181" s="879"/>
      <c r="AD181" s="879"/>
      <c r="AE181" s="879"/>
      <c r="AF181" s="879"/>
      <c r="AG181" s="879"/>
    </row>
    <row r="182" spans="1:33" s="240" customFormat="1" ht="45" hidden="1" customHeight="1" outlineLevel="2" x14ac:dyDescent="0.25">
      <c r="A182" s="267"/>
      <c r="B182" s="635"/>
      <c r="C182" s="243"/>
      <c r="D182" s="540"/>
      <c r="E182" s="635"/>
      <c r="F182" s="337" t="str">
        <f t="shared" si="7"/>
        <v/>
      </c>
      <c r="G182" s="1080" t="str">
        <f t="shared" si="6"/>
        <v/>
      </c>
      <c r="H182" s="879"/>
      <c r="I182" s="879"/>
      <c r="J182" s="879"/>
      <c r="K182" s="879"/>
      <c r="L182" s="879"/>
      <c r="M182" s="879"/>
      <c r="N182" s="879"/>
      <c r="O182" s="879"/>
      <c r="P182" s="879"/>
      <c r="Q182" s="879"/>
      <c r="R182" s="879"/>
      <c r="S182" s="879"/>
      <c r="T182" s="879"/>
      <c r="U182" s="879"/>
      <c r="V182" s="879"/>
      <c r="W182" s="879"/>
      <c r="X182" s="879"/>
      <c r="Y182" s="879"/>
      <c r="Z182" s="879"/>
      <c r="AA182" s="879"/>
      <c r="AB182" s="879"/>
      <c r="AC182" s="879"/>
      <c r="AD182" s="879"/>
      <c r="AE182" s="879"/>
      <c r="AF182" s="879"/>
      <c r="AG182" s="879"/>
    </row>
    <row r="183" spans="1:33" s="240" customFormat="1" ht="45" hidden="1" customHeight="1" outlineLevel="2" x14ac:dyDescent="0.25">
      <c r="A183" s="267"/>
      <c r="B183" s="635"/>
      <c r="C183" s="243"/>
      <c r="D183" s="540"/>
      <c r="E183" s="635"/>
      <c r="F183" s="337" t="str">
        <f t="shared" si="7"/>
        <v/>
      </c>
      <c r="G183" s="1080" t="str">
        <f t="shared" si="6"/>
        <v/>
      </c>
      <c r="H183" s="879"/>
      <c r="I183" s="879"/>
      <c r="J183" s="879"/>
      <c r="K183" s="879"/>
      <c r="L183" s="879"/>
      <c r="M183" s="879"/>
      <c r="N183" s="879"/>
      <c r="O183" s="879"/>
      <c r="P183" s="879"/>
      <c r="Q183" s="879"/>
      <c r="R183" s="879"/>
      <c r="S183" s="879"/>
      <c r="T183" s="879"/>
      <c r="U183" s="879"/>
      <c r="V183" s="879"/>
      <c r="W183" s="879"/>
      <c r="X183" s="879"/>
      <c r="Y183" s="879"/>
      <c r="Z183" s="879"/>
      <c r="AA183" s="879"/>
      <c r="AB183" s="879"/>
      <c r="AC183" s="879"/>
      <c r="AD183" s="879"/>
      <c r="AE183" s="879"/>
      <c r="AF183" s="879"/>
      <c r="AG183" s="879"/>
    </row>
    <row r="184" spans="1:33" s="240" customFormat="1" ht="45" hidden="1" customHeight="1" outlineLevel="2" x14ac:dyDescent="0.25">
      <c r="A184" s="267"/>
      <c r="B184" s="635"/>
      <c r="C184" s="243"/>
      <c r="D184" s="540"/>
      <c r="E184" s="635"/>
      <c r="F184" s="337" t="str">
        <f t="shared" si="7"/>
        <v/>
      </c>
      <c r="G184" s="1080" t="str">
        <f t="shared" si="6"/>
        <v/>
      </c>
      <c r="H184" s="879"/>
      <c r="I184" s="879"/>
      <c r="J184" s="879"/>
      <c r="K184" s="879"/>
      <c r="L184" s="879"/>
      <c r="M184" s="879"/>
      <c r="N184" s="879"/>
      <c r="O184" s="879"/>
      <c r="P184" s="879"/>
      <c r="Q184" s="879"/>
      <c r="R184" s="879"/>
      <c r="S184" s="879"/>
      <c r="T184" s="879"/>
      <c r="U184" s="879"/>
      <c r="V184" s="879"/>
      <c r="W184" s="879"/>
      <c r="X184" s="879"/>
      <c r="Y184" s="879"/>
      <c r="Z184" s="879"/>
      <c r="AA184" s="879"/>
      <c r="AB184" s="879"/>
      <c r="AC184" s="879"/>
      <c r="AD184" s="879"/>
      <c r="AE184" s="879"/>
      <c r="AF184" s="879"/>
      <c r="AG184" s="879"/>
    </row>
    <row r="185" spans="1:33" s="240" customFormat="1" ht="45" hidden="1" customHeight="1" outlineLevel="2" x14ac:dyDescent="0.25">
      <c r="A185" s="267"/>
      <c r="B185" s="635"/>
      <c r="C185" s="243"/>
      <c r="D185" s="540"/>
      <c r="E185" s="635"/>
      <c r="F185" s="337" t="str">
        <f t="shared" si="7"/>
        <v/>
      </c>
      <c r="G185" s="1080" t="str">
        <f t="shared" si="6"/>
        <v/>
      </c>
      <c r="H185" s="879"/>
      <c r="I185" s="879"/>
      <c r="J185" s="879"/>
      <c r="K185" s="879"/>
      <c r="L185" s="879"/>
      <c r="M185" s="879"/>
      <c r="N185" s="879"/>
      <c r="O185" s="879"/>
      <c r="P185" s="879"/>
      <c r="Q185" s="879"/>
      <c r="R185" s="879"/>
      <c r="S185" s="879"/>
      <c r="T185" s="879"/>
      <c r="U185" s="879"/>
      <c r="V185" s="879"/>
      <c r="W185" s="879"/>
      <c r="X185" s="879"/>
      <c r="Y185" s="879"/>
      <c r="Z185" s="879"/>
      <c r="AA185" s="879"/>
      <c r="AB185" s="879"/>
      <c r="AC185" s="879"/>
      <c r="AD185" s="879"/>
      <c r="AE185" s="879"/>
      <c r="AF185" s="879"/>
      <c r="AG185" s="879"/>
    </row>
    <row r="186" spans="1:33" s="240" customFormat="1" ht="45" hidden="1" customHeight="1" outlineLevel="2" x14ac:dyDescent="0.25">
      <c r="A186" s="267"/>
      <c r="B186" s="635"/>
      <c r="C186" s="243"/>
      <c r="D186" s="540"/>
      <c r="E186" s="635"/>
      <c r="F186" s="337" t="str">
        <f t="shared" si="7"/>
        <v/>
      </c>
      <c r="G186" s="1080" t="str">
        <f t="shared" si="6"/>
        <v/>
      </c>
      <c r="H186" s="879"/>
      <c r="I186" s="879"/>
      <c r="J186" s="879"/>
      <c r="K186" s="879"/>
      <c r="L186" s="879"/>
      <c r="M186" s="879"/>
      <c r="N186" s="879"/>
      <c r="O186" s="879"/>
      <c r="P186" s="879"/>
      <c r="Q186" s="879"/>
      <c r="R186" s="879"/>
      <c r="S186" s="879"/>
      <c r="T186" s="879"/>
      <c r="U186" s="879"/>
      <c r="V186" s="879"/>
      <c r="W186" s="879"/>
      <c r="X186" s="879"/>
      <c r="Y186" s="879"/>
      <c r="Z186" s="879"/>
      <c r="AA186" s="879"/>
      <c r="AB186" s="879"/>
      <c r="AC186" s="879"/>
      <c r="AD186" s="879"/>
      <c r="AE186" s="879"/>
      <c r="AF186" s="879"/>
      <c r="AG186" s="879"/>
    </row>
    <row r="187" spans="1:33" s="240" customFormat="1" ht="45" hidden="1" customHeight="1" outlineLevel="2" x14ac:dyDescent="0.25">
      <c r="A187" s="267"/>
      <c r="B187" s="635"/>
      <c r="C187" s="243"/>
      <c r="D187" s="540"/>
      <c r="E187" s="635"/>
      <c r="F187" s="337" t="str">
        <f t="shared" si="7"/>
        <v/>
      </c>
      <c r="G187" s="1080" t="str">
        <f t="shared" si="6"/>
        <v/>
      </c>
      <c r="H187" s="879"/>
      <c r="I187" s="879"/>
      <c r="J187" s="879"/>
      <c r="K187" s="879"/>
      <c r="L187" s="879"/>
      <c r="M187" s="879"/>
      <c r="N187" s="879"/>
      <c r="O187" s="879"/>
      <c r="P187" s="879"/>
      <c r="Q187" s="879"/>
      <c r="R187" s="879"/>
      <c r="S187" s="879"/>
      <c r="T187" s="879"/>
      <c r="U187" s="879"/>
      <c r="V187" s="879"/>
      <c r="W187" s="879"/>
      <c r="X187" s="879"/>
      <c r="Y187" s="879"/>
      <c r="Z187" s="879"/>
      <c r="AA187" s="879"/>
      <c r="AB187" s="879"/>
      <c r="AC187" s="879"/>
      <c r="AD187" s="879"/>
      <c r="AE187" s="879"/>
      <c r="AF187" s="879"/>
      <c r="AG187" s="879"/>
    </row>
    <row r="188" spans="1:33" s="240" customFormat="1" ht="45" hidden="1" customHeight="1" outlineLevel="2" x14ac:dyDescent="0.25">
      <c r="A188" s="267"/>
      <c r="B188" s="635"/>
      <c r="C188" s="243"/>
      <c r="D188" s="540"/>
      <c r="E188" s="635"/>
      <c r="F188" s="337" t="str">
        <f t="shared" si="7"/>
        <v/>
      </c>
      <c r="G188" s="1080" t="str">
        <f t="shared" si="6"/>
        <v/>
      </c>
      <c r="H188" s="879"/>
      <c r="I188" s="879"/>
      <c r="J188" s="879"/>
      <c r="K188" s="879"/>
      <c r="L188" s="879"/>
      <c r="M188" s="879"/>
      <c r="N188" s="879"/>
      <c r="O188" s="879"/>
      <c r="P188" s="879"/>
      <c r="Q188" s="879"/>
      <c r="R188" s="879"/>
      <c r="S188" s="879"/>
      <c r="T188" s="879"/>
      <c r="U188" s="879"/>
      <c r="V188" s="879"/>
      <c r="W188" s="879"/>
      <c r="X188" s="879"/>
      <c r="Y188" s="879"/>
      <c r="Z188" s="879"/>
      <c r="AA188" s="879"/>
      <c r="AB188" s="879"/>
      <c r="AC188" s="879"/>
      <c r="AD188" s="879"/>
      <c r="AE188" s="879"/>
      <c r="AF188" s="879"/>
      <c r="AG188" s="879"/>
    </row>
    <row r="189" spans="1:33" s="240" customFormat="1" ht="45" hidden="1" customHeight="1" outlineLevel="2" x14ac:dyDescent="0.25">
      <c r="A189" s="267"/>
      <c r="B189" s="635"/>
      <c r="C189" s="243"/>
      <c r="D189" s="540"/>
      <c r="E189" s="635"/>
      <c r="F189" s="337" t="str">
        <f t="shared" si="7"/>
        <v/>
      </c>
      <c r="G189" s="1080" t="str">
        <f t="shared" si="6"/>
        <v/>
      </c>
      <c r="H189" s="879"/>
      <c r="I189" s="879"/>
      <c r="J189" s="879"/>
      <c r="K189" s="879"/>
      <c r="L189" s="879"/>
      <c r="M189" s="879"/>
      <c r="N189" s="879"/>
      <c r="O189" s="879"/>
      <c r="P189" s="879"/>
      <c r="Q189" s="879"/>
      <c r="R189" s="879"/>
      <c r="S189" s="879"/>
      <c r="T189" s="879"/>
      <c r="U189" s="879"/>
      <c r="V189" s="879"/>
      <c r="W189" s="879"/>
      <c r="X189" s="879"/>
      <c r="Y189" s="879"/>
      <c r="Z189" s="879"/>
      <c r="AA189" s="879"/>
      <c r="AB189" s="879"/>
      <c r="AC189" s="879"/>
      <c r="AD189" s="879"/>
      <c r="AE189" s="879"/>
      <c r="AF189" s="879"/>
      <c r="AG189" s="879"/>
    </row>
    <row r="190" spans="1:33" s="240" customFormat="1" ht="45" hidden="1" customHeight="1" outlineLevel="2" x14ac:dyDescent="0.25">
      <c r="A190" s="267"/>
      <c r="B190" s="635"/>
      <c r="C190" s="243"/>
      <c r="D190" s="540"/>
      <c r="E190" s="635"/>
      <c r="F190" s="337" t="str">
        <f t="shared" si="7"/>
        <v/>
      </c>
      <c r="G190" s="1080" t="str">
        <f t="shared" si="6"/>
        <v/>
      </c>
      <c r="H190" s="879"/>
      <c r="I190" s="879"/>
      <c r="J190" s="879"/>
      <c r="K190" s="879"/>
      <c r="L190" s="879"/>
      <c r="M190" s="879"/>
      <c r="N190" s="879"/>
      <c r="O190" s="879"/>
      <c r="P190" s="879"/>
      <c r="Q190" s="879"/>
      <c r="R190" s="879"/>
      <c r="S190" s="879"/>
      <c r="T190" s="879"/>
      <c r="U190" s="879"/>
      <c r="V190" s="879"/>
      <c r="W190" s="879"/>
      <c r="X190" s="879"/>
      <c r="Y190" s="879"/>
      <c r="Z190" s="879"/>
      <c r="AA190" s="879"/>
      <c r="AB190" s="879"/>
      <c r="AC190" s="879"/>
      <c r="AD190" s="879"/>
      <c r="AE190" s="879"/>
      <c r="AF190" s="879"/>
      <c r="AG190" s="879"/>
    </row>
    <row r="191" spans="1:33" s="240" customFormat="1" ht="45" hidden="1" customHeight="1" outlineLevel="2" x14ac:dyDescent="0.25">
      <c r="A191" s="267"/>
      <c r="B191" s="635"/>
      <c r="C191" s="243"/>
      <c r="D191" s="540"/>
      <c r="E191" s="635"/>
      <c r="F191" s="337" t="str">
        <f t="shared" si="7"/>
        <v/>
      </c>
      <c r="G191" s="1080" t="str">
        <f t="shared" si="6"/>
        <v/>
      </c>
      <c r="H191" s="879"/>
      <c r="I191" s="879"/>
      <c r="J191" s="879"/>
      <c r="K191" s="879"/>
      <c r="L191" s="879"/>
      <c r="M191" s="879"/>
      <c r="N191" s="879"/>
      <c r="O191" s="879"/>
      <c r="P191" s="879"/>
      <c r="Q191" s="879"/>
      <c r="R191" s="879"/>
      <c r="S191" s="879"/>
      <c r="T191" s="879"/>
      <c r="U191" s="879"/>
      <c r="V191" s="879"/>
      <c r="W191" s="879"/>
      <c r="X191" s="879"/>
      <c r="Y191" s="879"/>
      <c r="Z191" s="879"/>
      <c r="AA191" s="879"/>
      <c r="AB191" s="879"/>
      <c r="AC191" s="879"/>
      <c r="AD191" s="879"/>
      <c r="AE191" s="879"/>
      <c r="AF191" s="879"/>
      <c r="AG191" s="879"/>
    </row>
    <row r="192" spans="1:33" s="240" customFormat="1" ht="45" hidden="1" customHeight="1" outlineLevel="2" x14ac:dyDescent="0.25">
      <c r="A192" s="267"/>
      <c r="B192" s="635"/>
      <c r="C192" s="243"/>
      <c r="D192" s="540"/>
      <c r="E192" s="635"/>
      <c r="F192" s="337" t="str">
        <f t="shared" si="7"/>
        <v/>
      </c>
      <c r="G192" s="1080" t="str">
        <f t="shared" si="6"/>
        <v/>
      </c>
      <c r="H192" s="879"/>
      <c r="I192" s="879"/>
      <c r="J192" s="879"/>
      <c r="K192" s="879"/>
      <c r="L192" s="879"/>
      <c r="M192" s="879"/>
      <c r="N192" s="879"/>
      <c r="O192" s="879"/>
      <c r="P192" s="879"/>
      <c r="Q192" s="879"/>
      <c r="R192" s="879"/>
      <c r="S192" s="879"/>
      <c r="T192" s="879"/>
      <c r="U192" s="879"/>
      <c r="V192" s="879"/>
      <c r="W192" s="879"/>
      <c r="X192" s="879"/>
      <c r="Y192" s="879"/>
      <c r="Z192" s="879"/>
      <c r="AA192" s="879"/>
      <c r="AB192" s="879"/>
      <c r="AC192" s="879"/>
      <c r="AD192" s="879"/>
      <c r="AE192" s="879"/>
      <c r="AF192" s="879"/>
      <c r="AG192" s="879"/>
    </row>
    <row r="193" spans="1:33" s="240" customFormat="1" ht="45" hidden="1" customHeight="1" outlineLevel="2" x14ac:dyDescent="0.25">
      <c r="A193" s="267"/>
      <c r="B193" s="635"/>
      <c r="C193" s="243"/>
      <c r="D193" s="540"/>
      <c r="E193" s="635"/>
      <c r="F193" s="337" t="str">
        <f t="shared" si="7"/>
        <v/>
      </c>
      <c r="G193" s="1080" t="str">
        <f t="shared" si="6"/>
        <v/>
      </c>
      <c r="H193" s="879"/>
      <c r="I193" s="879"/>
      <c r="J193" s="879"/>
      <c r="K193" s="879"/>
      <c r="L193" s="879"/>
      <c r="M193" s="879"/>
      <c r="N193" s="879"/>
      <c r="O193" s="879"/>
      <c r="P193" s="879"/>
      <c r="Q193" s="879"/>
      <c r="R193" s="879"/>
      <c r="S193" s="879"/>
      <c r="T193" s="879"/>
      <c r="U193" s="879"/>
      <c r="V193" s="879"/>
      <c r="W193" s="879"/>
      <c r="X193" s="879"/>
      <c r="Y193" s="879"/>
      <c r="Z193" s="879"/>
      <c r="AA193" s="879"/>
      <c r="AB193" s="879"/>
      <c r="AC193" s="879"/>
      <c r="AD193" s="879"/>
      <c r="AE193" s="879"/>
      <c r="AF193" s="879"/>
      <c r="AG193" s="879"/>
    </row>
    <row r="194" spans="1:33" s="240" customFormat="1" ht="45" hidden="1" customHeight="1" outlineLevel="2" x14ac:dyDescent="0.25">
      <c r="A194" s="267"/>
      <c r="B194" s="635"/>
      <c r="C194" s="243"/>
      <c r="D194" s="540"/>
      <c r="E194" s="635"/>
      <c r="F194" s="337" t="str">
        <f t="shared" si="7"/>
        <v/>
      </c>
      <c r="G194" s="1080" t="str">
        <f t="shared" si="6"/>
        <v/>
      </c>
      <c r="H194" s="879"/>
      <c r="I194" s="879"/>
      <c r="J194" s="879"/>
      <c r="K194" s="879"/>
      <c r="L194" s="879"/>
      <c r="M194" s="879"/>
      <c r="N194" s="879"/>
      <c r="O194" s="879"/>
      <c r="P194" s="879"/>
      <c r="Q194" s="879"/>
      <c r="R194" s="879"/>
      <c r="S194" s="879"/>
      <c r="T194" s="879"/>
      <c r="U194" s="879"/>
      <c r="V194" s="879"/>
      <c r="W194" s="879"/>
      <c r="X194" s="879"/>
      <c r="Y194" s="879"/>
      <c r="Z194" s="879"/>
      <c r="AA194" s="879"/>
      <c r="AB194" s="879"/>
      <c r="AC194" s="879"/>
      <c r="AD194" s="879"/>
      <c r="AE194" s="879"/>
      <c r="AF194" s="879"/>
      <c r="AG194" s="879"/>
    </row>
    <row r="195" spans="1:33" s="240" customFormat="1" ht="45" hidden="1" customHeight="1" outlineLevel="2" x14ac:dyDescent="0.25">
      <c r="A195" s="267"/>
      <c r="B195" s="635"/>
      <c r="C195" s="243"/>
      <c r="D195" s="540"/>
      <c r="E195" s="635"/>
      <c r="F195" s="337" t="str">
        <f t="shared" si="7"/>
        <v/>
      </c>
      <c r="G195" s="1080" t="str">
        <f t="shared" si="6"/>
        <v/>
      </c>
      <c r="H195" s="879"/>
      <c r="I195" s="879"/>
      <c r="J195" s="879"/>
      <c r="K195" s="879"/>
      <c r="L195" s="879"/>
      <c r="M195" s="879"/>
      <c r="N195" s="879"/>
      <c r="O195" s="879"/>
      <c r="P195" s="879"/>
      <c r="Q195" s="879"/>
      <c r="R195" s="879"/>
      <c r="S195" s="879"/>
      <c r="T195" s="879"/>
      <c r="U195" s="879"/>
      <c r="V195" s="879"/>
      <c r="W195" s="879"/>
      <c r="X195" s="879"/>
      <c r="Y195" s="879"/>
      <c r="Z195" s="879"/>
      <c r="AA195" s="879"/>
      <c r="AB195" s="879"/>
      <c r="AC195" s="879"/>
      <c r="AD195" s="879"/>
      <c r="AE195" s="879"/>
      <c r="AF195" s="879"/>
      <c r="AG195" s="879"/>
    </row>
    <row r="196" spans="1:33" s="240" customFormat="1" ht="45" hidden="1" customHeight="1" outlineLevel="2" x14ac:dyDescent="0.25">
      <c r="A196" s="267"/>
      <c r="B196" s="635"/>
      <c r="C196" s="243"/>
      <c r="D196" s="540"/>
      <c r="E196" s="635"/>
      <c r="F196" s="337" t="str">
        <f t="shared" si="7"/>
        <v/>
      </c>
      <c r="G196" s="1080" t="str">
        <f t="shared" si="6"/>
        <v/>
      </c>
      <c r="H196" s="879"/>
      <c r="I196" s="879"/>
      <c r="J196" s="879"/>
      <c r="K196" s="879"/>
      <c r="L196" s="879"/>
      <c r="M196" s="879"/>
      <c r="N196" s="879"/>
      <c r="O196" s="879"/>
      <c r="P196" s="879"/>
      <c r="Q196" s="879"/>
      <c r="R196" s="879"/>
      <c r="S196" s="879"/>
      <c r="T196" s="879"/>
      <c r="U196" s="879"/>
      <c r="V196" s="879"/>
      <c r="W196" s="879"/>
      <c r="X196" s="879"/>
      <c r="Y196" s="879"/>
      <c r="Z196" s="879"/>
      <c r="AA196" s="879"/>
      <c r="AB196" s="879"/>
      <c r="AC196" s="879"/>
      <c r="AD196" s="879"/>
      <c r="AE196" s="879"/>
      <c r="AF196" s="879"/>
      <c r="AG196" s="879"/>
    </row>
    <row r="197" spans="1:33" s="240" customFormat="1" ht="45" hidden="1" customHeight="1" outlineLevel="2" x14ac:dyDescent="0.25">
      <c r="A197" s="267"/>
      <c r="B197" s="635"/>
      <c r="C197" s="243"/>
      <c r="D197" s="540"/>
      <c r="E197" s="635"/>
      <c r="F197" s="337" t="str">
        <f t="shared" si="7"/>
        <v/>
      </c>
      <c r="G197" s="1080" t="str">
        <f t="shared" si="6"/>
        <v/>
      </c>
      <c r="H197" s="879"/>
      <c r="I197" s="879"/>
      <c r="J197" s="879"/>
      <c r="K197" s="879"/>
      <c r="L197" s="879"/>
      <c r="M197" s="879"/>
      <c r="N197" s="879"/>
      <c r="O197" s="879"/>
      <c r="P197" s="879"/>
      <c r="Q197" s="879"/>
      <c r="R197" s="879"/>
      <c r="S197" s="879"/>
      <c r="T197" s="879"/>
      <c r="U197" s="879"/>
      <c r="V197" s="879"/>
      <c r="W197" s="879"/>
      <c r="X197" s="879"/>
      <c r="Y197" s="879"/>
      <c r="Z197" s="879"/>
      <c r="AA197" s="879"/>
      <c r="AB197" s="879"/>
      <c r="AC197" s="879"/>
      <c r="AD197" s="879"/>
      <c r="AE197" s="879"/>
      <c r="AF197" s="879"/>
      <c r="AG197" s="879"/>
    </row>
    <row r="198" spans="1:33" s="240" customFormat="1" ht="45" hidden="1" customHeight="1" outlineLevel="2" x14ac:dyDescent="0.25">
      <c r="A198" s="267"/>
      <c r="B198" s="635"/>
      <c r="C198" s="243"/>
      <c r="D198" s="540"/>
      <c r="E198" s="635"/>
      <c r="F198" s="337" t="str">
        <f t="shared" si="7"/>
        <v/>
      </c>
      <c r="G198" s="1080" t="str">
        <f t="shared" si="6"/>
        <v/>
      </c>
      <c r="H198" s="879"/>
      <c r="I198" s="879"/>
      <c r="J198" s="879"/>
      <c r="K198" s="879"/>
      <c r="L198" s="879"/>
      <c r="M198" s="879"/>
      <c r="N198" s="879"/>
      <c r="O198" s="879"/>
      <c r="P198" s="879"/>
      <c r="Q198" s="879"/>
      <c r="R198" s="879"/>
      <c r="S198" s="879"/>
      <c r="T198" s="879"/>
      <c r="U198" s="879"/>
      <c r="V198" s="879"/>
      <c r="W198" s="879"/>
      <c r="X198" s="879"/>
      <c r="Y198" s="879"/>
      <c r="Z198" s="879"/>
      <c r="AA198" s="879"/>
      <c r="AB198" s="879"/>
      <c r="AC198" s="879"/>
      <c r="AD198" s="879"/>
      <c r="AE198" s="879"/>
      <c r="AF198" s="879"/>
      <c r="AG198" s="879"/>
    </row>
    <row r="199" spans="1:33" s="240" customFormat="1" ht="45" hidden="1" customHeight="1" outlineLevel="2" x14ac:dyDescent="0.25">
      <c r="A199" s="267"/>
      <c r="B199" s="635"/>
      <c r="C199" s="243"/>
      <c r="D199" s="540"/>
      <c r="E199" s="635"/>
      <c r="F199" s="337" t="str">
        <f t="shared" si="7"/>
        <v/>
      </c>
      <c r="G199" s="1080" t="str">
        <f t="shared" si="6"/>
        <v/>
      </c>
      <c r="H199" s="879"/>
      <c r="I199" s="879"/>
      <c r="J199" s="879"/>
      <c r="K199" s="879"/>
      <c r="L199" s="879"/>
      <c r="M199" s="879"/>
      <c r="N199" s="879"/>
      <c r="O199" s="879"/>
      <c r="P199" s="879"/>
      <c r="Q199" s="879"/>
      <c r="R199" s="879"/>
      <c r="S199" s="879"/>
      <c r="T199" s="879"/>
      <c r="U199" s="879"/>
      <c r="V199" s="879"/>
      <c r="W199" s="879"/>
      <c r="X199" s="879"/>
      <c r="Y199" s="879"/>
      <c r="Z199" s="879"/>
      <c r="AA199" s="879"/>
      <c r="AB199" s="879"/>
      <c r="AC199" s="879"/>
      <c r="AD199" s="879"/>
      <c r="AE199" s="879"/>
      <c r="AF199" s="879"/>
      <c r="AG199" s="879"/>
    </row>
    <row r="200" spans="1:33" s="240" customFormat="1" ht="45" hidden="1" customHeight="1" outlineLevel="2" x14ac:dyDescent="0.25">
      <c r="A200" s="267"/>
      <c r="B200" s="635"/>
      <c r="C200" s="243"/>
      <c r="D200" s="540"/>
      <c r="E200" s="635"/>
      <c r="F200" s="337" t="str">
        <f t="shared" si="7"/>
        <v/>
      </c>
      <c r="G200" s="1080" t="str">
        <f t="shared" si="6"/>
        <v/>
      </c>
      <c r="H200" s="879"/>
      <c r="I200" s="879"/>
      <c r="J200" s="879"/>
      <c r="K200" s="879"/>
      <c r="L200" s="879"/>
      <c r="M200" s="879"/>
      <c r="N200" s="879"/>
      <c r="O200" s="879"/>
      <c r="P200" s="879"/>
      <c r="Q200" s="879"/>
      <c r="R200" s="879"/>
      <c r="S200" s="879"/>
      <c r="T200" s="879"/>
      <c r="U200" s="879"/>
      <c r="V200" s="879"/>
      <c r="W200" s="879"/>
      <c r="X200" s="879"/>
      <c r="Y200" s="879"/>
      <c r="Z200" s="879"/>
      <c r="AA200" s="879"/>
      <c r="AB200" s="879"/>
      <c r="AC200" s="879"/>
      <c r="AD200" s="879"/>
      <c r="AE200" s="879"/>
      <c r="AF200" s="879"/>
      <c r="AG200" s="879"/>
    </row>
    <row r="201" spans="1:33" s="240" customFormat="1" ht="45" hidden="1" customHeight="1" outlineLevel="2" x14ac:dyDescent="0.25">
      <c r="A201" s="267"/>
      <c r="B201" s="635"/>
      <c r="C201" s="243"/>
      <c r="D201" s="540"/>
      <c r="E201" s="635"/>
      <c r="F201" s="337" t="str">
        <f t="shared" si="7"/>
        <v/>
      </c>
      <c r="G201" s="1080" t="str">
        <f t="shared" si="6"/>
        <v/>
      </c>
      <c r="H201" s="879"/>
      <c r="I201" s="879"/>
      <c r="J201" s="879"/>
      <c r="K201" s="879"/>
      <c r="L201" s="879"/>
      <c r="M201" s="879"/>
      <c r="N201" s="879"/>
      <c r="O201" s="879"/>
      <c r="P201" s="879"/>
      <c r="Q201" s="879"/>
      <c r="R201" s="879"/>
      <c r="S201" s="879"/>
      <c r="T201" s="879"/>
      <c r="U201" s="879"/>
      <c r="V201" s="879"/>
      <c r="W201" s="879"/>
      <c r="X201" s="879"/>
      <c r="Y201" s="879"/>
      <c r="Z201" s="879"/>
      <c r="AA201" s="879"/>
      <c r="AB201" s="879"/>
      <c r="AC201" s="879"/>
      <c r="AD201" s="879"/>
      <c r="AE201" s="879"/>
      <c r="AF201" s="879"/>
      <c r="AG201" s="879"/>
    </row>
    <row r="202" spans="1:33" s="240" customFormat="1" ht="45" hidden="1" customHeight="1" outlineLevel="2" x14ac:dyDescent="0.25">
      <c r="A202" s="267"/>
      <c r="B202" s="635"/>
      <c r="C202" s="243"/>
      <c r="D202" s="540"/>
      <c r="E202" s="635"/>
      <c r="F202" s="337" t="str">
        <f t="shared" si="7"/>
        <v/>
      </c>
      <c r="G202" s="1080" t="str">
        <f t="shared" si="6"/>
        <v/>
      </c>
      <c r="H202" s="879"/>
      <c r="I202" s="879"/>
      <c r="J202" s="879"/>
      <c r="K202" s="879"/>
      <c r="L202" s="879"/>
      <c r="M202" s="879"/>
      <c r="N202" s="879"/>
      <c r="O202" s="879"/>
      <c r="P202" s="879"/>
      <c r="Q202" s="879"/>
      <c r="R202" s="879"/>
      <c r="S202" s="879"/>
      <c r="T202" s="879"/>
      <c r="U202" s="879"/>
      <c r="V202" s="879"/>
      <c r="W202" s="879"/>
      <c r="X202" s="879"/>
      <c r="Y202" s="879"/>
      <c r="Z202" s="879"/>
      <c r="AA202" s="879"/>
      <c r="AB202" s="879"/>
      <c r="AC202" s="879"/>
      <c r="AD202" s="879"/>
      <c r="AE202" s="879"/>
      <c r="AF202" s="879"/>
      <c r="AG202" s="879"/>
    </row>
    <row r="203" spans="1:33" s="240" customFormat="1" ht="45" hidden="1" customHeight="1" outlineLevel="2" x14ac:dyDescent="0.25">
      <c r="A203" s="267"/>
      <c r="B203" s="635"/>
      <c r="C203" s="243"/>
      <c r="D203" s="540"/>
      <c r="E203" s="635"/>
      <c r="F203" s="337" t="str">
        <f t="shared" si="7"/>
        <v/>
      </c>
      <c r="G203" s="1080" t="str">
        <f t="shared" si="6"/>
        <v/>
      </c>
      <c r="H203" s="879"/>
      <c r="I203" s="879"/>
      <c r="J203" s="879"/>
      <c r="K203" s="879"/>
      <c r="L203" s="879"/>
      <c r="M203" s="879"/>
      <c r="N203" s="879"/>
      <c r="O203" s="879"/>
      <c r="P203" s="879"/>
      <c r="Q203" s="879"/>
      <c r="R203" s="879"/>
      <c r="S203" s="879"/>
      <c r="T203" s="879"/>
      <c r="U203" s="879"/>
      <c r="V203" s="879"/>
      <c r="W203" s="879"/>
      <c r="X203" s="879"/>
      <c r="Y203" s="879"/>
      <c r="Z203" s="879"/>
      <c r="AA203" s="879"/>
      <c r="AB203" s="879"/>
      <c r="AC203" s="879"/>
      <c r="AD203" s="879"/>
      <c r="AE203" s="879"/>
      <c r="AF203" s="879"/>
      <c r="AG203" s="879"/>
    </row>
    <row r="204" spans="1:33" s="240" customFormat="1" ht="45" hidden="1" customHeight="1" outlineLevel="2" x14ac:dyDescent="0.25">
      <c r="A204" s="267"/>
      <c r="B204" s="635"/>
      <c r="C204" s="243"/>
      <c r="D204" s="540"/>
      <c r="E204" s="635"/>
      <c r="F204" s="337" t="str">
        <f t="shared" si="7"/>
        <v/>
      </c>
      <c r="G204" s="1080" t="str">
        <f t="shared" si="6"/>
        <v/>
      </c>
      <c r="H204" s="879"/>
      <c r="I204" s="879"/>
      <c r="J204" s="879"/>
      <c r="K204" s="879"/>
      <c r="L204" s="879"/>
      <c r="M204" s="879"/>
      <c r="N204" s="879"/>
      <c r="O204" s="879"/>
      <c r="P204" s="879"/>
      <c r="Q204" s="879"/>
      <c r="R204" s="879"/>
      <c r="S204" s="879"/>
      <c r="T204" s="879"/>
      <c r="U204" s="879"/>
      <c r="V204" s="879"/>
      <c r="W204" s="879"/>
      <c r="X204" s="879"/>
      <c r="Y204" s="879"/>
      <c r="Z204" s="879"/>
      <c r="AA204" s="879"/>
      <c r="AB204" s="879"/>
      <c r="AC204" s="879"/>
      <c r="AD204" s="879"/>
      <c r="AE204" s="879"/>
      <c r="AF204" s="879"/>
      <c r="AG204" s="879"/>
    </row>
    <row r="205" spans="1:33" s="240" customFormat="1" ht="45" hidden="1" customHeight="1" outlineLevel="2" x14ac:dyDescent="0.25">
      <c r="A205" s="267"/>
      <c r="B205" s="635"/>
      <c r="C205" s="243"/>
      <c r="D205" s="540"/>
      <c r="E205" s="635"/>
      <c r="F205" s="337" t="str">
        <f t="shared" si="7"/>
        <v/>
      </c>
      <c r="G205" s="1080" t="str">
        <f t="shared" si="6"/>
        <v/>
      </c>
      <c r="H205" s="879"/>
      <c r="I205" s="879"/>
      <c r="J205" s="879"/>
      <c r="K205" s="879"/>
      <c r="L205" s="879"/>
      <c r="M205" s="879"/>
      <c r="N205" s="879"/>
      <c r="O205" s="879"/>
      <c r="P205" s="879"/>
      <c r="Q205" s="879"/>
      <c r="R205" s="879"/>
      <c r="S205" s="879"/>
      <c r="T205" s="879"/>
      <c r="U205" s="879"/>
      <c r="V205" s="879"/>
      <c r="W205" s="879"/>
      <c r="X205" s="879"/>
      <c r="Y205" s="879"/>
      <c r="Z205" s="879"/>
      <c r="AA205" s="879"/>
      <c r="AB205" s="879"/>
      <c r="AC205" s="879"/>
      <c r="AD205" s="879"/>
      <c r="AE205" s="879"/>
      <c r="AF205" s="879"/>
      <c r="AG205" s="879"/>
    </row>
    <row r="206" spans="1:33" s="240" customFormat="1" ht="45" hidden="1" customHeight="1" outlineLevel="2" x14ac:dyDescent="0.25">
      <c r="A206" s="267"/>
      <c r="B206" s="635"/>
      <c r="C206" s="243"/>
      <c r="D206" s="540"/>
      <c r="E206" s="635"/>
      <c r="F206" s="337" t="str">
        <f t="shared" si="7"/>
        <v/>
      </c>
      <c r="G206" s="1080" t="str">
        <f t="shared" si="6"/>
        <v/>
      </c>
      <c r="H206" s="879"/>
      <c r="I206" s="879"/>
      <c r="J206" s="879"/>
      <c r="K206" s="879"/>
      <c r="L206" s="879"/>
      <c r="M206" s="879"/>
      <c r="N206" s="879"/>
      <c r="O206" s="879"/>
      <c r="P206" s="879"/>
      <c r="Q206" s="879"/>
      <c r="R206" s="879"/>
      <c r="S206" s="879"/>
      <c r="T206" s="879"/>
      <c r="U206" s="879"/>
      <c r="V206" s="879"/>
      <c r="W206" s="879"/>
      <c r="X206" s="879"/>
      <c r="Y206" s="879"/>
      <c r="Z206" s="879"/>
      <c r="AA206" s="879"/>
      <c r="AB206" s="879"/>
      <c r="AC206" s="879"/>
      <c r="AD206" s="879"/>
      <c r="AE206" s="879"/>
      <c r="AF206" s="879"/>
      <c r="AG206" s="879"/>
    </row>
    <row r="207" spans="1:33" s="240" customFormat="1" ht="45" hidden="1" customHeight="1" outlineLevel="2" x14ac:dyDescent="0.25">
      <c r="A207" s="267"/>
      <c r="B207" s="635"/>
      <c r="C207" s="243"/>
      <c r="D207" s="540"/>
      <c r="E207" s="635"/>
      <c r="F207" s="337" t="str">
        <f t="shared" si="7"/>
        <v/>
      </c>
      <c r="G207" s="1080" t="str">
        <f t="shared" si="6"/>
        <v/>
      </c>
      <c r="H207" s="879"/>
      <c r="I207" s="879"/>
      <c r="J207" s="879"/>
      <c r="K207" s="879"/>
      <c r="L207" s="879"/>
      <c r="M207" s="879"/>
      <c r="N207" s="879"/>
      <c r="O207" s="879"/>
      <c r="P207" s="879"/>
      <c r="Q207" s="879"/>
      <c r="R207" s="879"/>
      <c r="S207" s="879"/>
      <c r="T207" s="879"/>
      <c r="U207" s="879"/>
      <c r="V207" s="879"/>
      <c r="W207" s="879"/>
      <c r="X207" s="879"/>
      <c r="Y207" s="879"/>
      <c r="Z207" s="879"/>
      <c r="AA207" s="879"/>
      <c r="AB207" s="879"/>
      <c r="AC207" s="879"/>
      <c r="AD207" s="879"/>
      <c r="AE207" s="879"/>
      <c r="AF207" s="879"/>
      <c r="AG207" s="879"/>
    </row>
    <row r="208" spans="1:33" s="240" customFormat="1" ht="45" hidden="1" customHeight="1" outlineLevel="2" x14ac:dyDescent="0.25">
      <c r="A208" s="267"/>
      <c r="B208" s="635"/>
      <c r="C208" s="243"/>
      <c r="D208" s="540"/>
      <c r="E208" s="635"/>
      <c r="F208" s="337" t="str">
        <f t="shared" si="7"/>
        <v/>
      </c>
      <c r="G208" s="1080" t="str">
        <f t="shared" si="6"/>
        <v/>
      </c>
      <c r="H208" s="879"/>
      <c r="I208" s="879"/>
      <c r="J208" s="879"/>
      <c r="K208" s="879"/>
      <c r="L208" s="879"/>
      <c r="M208" s="879"/>
      <c r="N208" s="879"/>
      <c r="O208" s="879"/>
      <c r="P208" s="879"/>
      <c r="Q208" s="879"/>
      <c r="R208" s="879"/>
      <c r="S208" s="879"/>
      <c r="T208" s="879"/>
      <c r="U208" s="879"/>
      <c r="V208" s="879"/>
      <c r="W208" s="879"/>
      <c r="X208" s="879"/>
      <c r="Y208" s="879"/>
      <c r="Z208" s="879"/>
      <c r="AA208" s="879"/>
      <c r="AB208" s="879"/>
      <c r="AC208" s="879"/>
      <c r="AD208" s="879"/>
      <c r="AE208" s="879"/>
      <c r="AF208" s="879"/>
      <c r="AG208" s="879"/>
    </row>
    <row r="209" spans="1:33" s="240" customFormat="1" ht="45" hidden="1" customHeight="1" outlineLevel="2" x14ac:dyDescent="0.25">
      <c r="A209" s="267"/>
      <c r="B209" s="635"/>
      <c r="C209" s="243"/>
      <c r="D209" s="540"/>
      <c r="E209" s="635"/>
      <c r="F209" s="337" t="str">
        <f t="shared" si="7"/>
        <v/>
      </c>
      <c r="G209" s="1080" t="str">
        <f t="shared" si="6"/>
        <v/>
      </c>
      <c r="H209" s="879"/>
      <c r="I209" s="879"/>
      <c r="J209" s="879"/>
      <c r="K209" s="879"/>
      <c r="L209" s="879"/>
      <c r="M209" s="879"/>
      <c r="N209" s="879"/>
      <c r="O209" s="879"/>
      <c r="P209" s="879"/>
      <c r="Q209" s="879"/>
      <c r="R209" s="879"/>
      <c r="S209" s="879"/>
      <c r="T209" s="879"/>
      <c r="U209" s="879"/>
      <c r="V209" s="879"/>
      <c r="W209" s="879"/>
      <c r="X209" s="879"/>
      <c r="Y209" s="879"/>
      <c r="Z209" s="879"/>
      <c r="AA209" s="879"/>
      <c r="AB209" s="879"/>
      <c r="AC209" s="879"/>
      <c r="AD209" s="879"/>
      <c r="AE209" s="879"/>
      <c r="AF209" s="879"/>
      <c r="AG209" s="879"/>
    </row>
    <row r="210" spans="1:33" s="240" customFormat="1" ht="45" hidden="1" customHeight="1" outlineLevel="2" x14ac:dyDescent="0.25">
      <c r="A210" s="267"/>
      <c r="B210" s="635"/>
      <c r="C210" s="243"/>
      <c r="D210" s="540"/>
      <c r="E210" s="635"/>
      <c r="F210" s="337" t="str">
        <f t="shared" si="7"/>
        <v/>
      </c>
      <c r="G210" s="1080" t="str">
        <f t="shared" si="6"/>
        <v/>
      </c>
      <c r="H210" s="879"/>
      <c r="I210" s="879"/>
      <c r="J210" s="879"/>
      <c r="K210" s="879"/>
      <c r="L210" s="879"/>
      <c r="M210" s="879"/>
      <c r="N210" s="879"/>
      <c r="O210" s="879"/>
      <c r="P210" s="879"/>
      <c r="Q210" s="879"/>
      <c r="R210" s="879"/>
      <c r="S210" s="879"/>
      <c r="T210" s="879"/>
      <c r="U210" s="879"/>
      <c r="V210" s="879"/>
      <c r="W210" s="879"/>
      <c r="X210" s="879"/>
      <c r="Y210" s="879"/>
      <c r="Z210" s="879"/>
      <c r="AA210" s="879"/>
      <c r="AB210" s="879"/>
      <c r="AC210" s="879"/>
      <c r="AD210" s="879"/>
      <c r="AE210" s="879"/>
      <c r="AF210" s="879"/>
      <c r="AG210" s="879"/>
    </row>
    <row r="211" spans="1:33" s="240" customFormat="1" ht="45" hidden="1" customHeight="1" outlineLevel="2" x14ac:dyDescent="0.25">
      <c r="A211" s="267"/>
      <c r="B211" s="635"/>
      <c r="C211" s="243"/>
      <c r="D211" s="540"/>
      <c r="E211" s="635"/>
      <c r="F211" s="337" t="str">
        <f t="shared" si="7"/>
        <v/>
      </c>
      <c r="G211" s="1080" t="str">
        <f t="shared" si="6"/>
        <v/>
      </c>
      <c r="H211" s="879"/>
      <c r="I211" s="879"/>
      <c r="J211" s="879"/>
      <c r="K211" s="879"/>
      <c r="L211" s="879"/>
      <c r="M211" s="879"/>
      <c r="N211" s="879"/>
      <c r="O211" s="879"/>
      <c r="P211" s="879"/>
      <c r="Q211" s="879"/>
      <c r="R211" s="879"/>
      <c r="S211" s="879"/>
      <c r="T211" s="879"/>
      <c r="U211" s="879"/>
      <c r="V211" s="879"/>
      <c r="W211" s="879"/>
      <c r="X211" s="879"/>
      <c r="Y211" s="879"/>
      <c r="Z211" s="879"/>
      <c r="AA211" s="879"/>
      <c r="AB211" s="879"/>
      <c r="AC211" s="879"/>
      <c r="AD211" s="879"/>
      <c r="AE211" s="879"/>
      <c r="AF211" s="879"/>
      <c r="AG211" s="879"/>
    </row>
    <row r="212" spans="1:33" s="240" customFormat="1" ht="45" hidden="1" customHeight="1" outlineLevel="2" x14ac:dyDescent="0.25">
      <c r="A212" s="267"/>
      <c r="B212" s="635"/>
      <c r="C212" s="243"/>
      <c r="D212" s="540"/>
      <c r="E212" s="635"/>
      <c r="F212" s="337" t="str">
        <f t="shared" si="7"/>
        <v/>
      </c>
      <c r="G212" s="1080" t="str">
        <f t="shared" si="6"/>
        <v/>
      </c>
      <c r="H212" s="879"/>
      <c r="I212" s="879"/>
      <c r="J212" s="879"/>
      <c r="K212" s="879"/>
      <c r="L212" s="879"/>
      <c r="M212" s="879"/>
      <c r="N212" s="879"/>
      <c r="O212" s="879"/>
      <c r="P212" s="879"/>
      <c r="Q212" s="879"/>
      <c r="R212" s="879"/>
      <c r="S212" s="879"/>
      <c r="T212" s="879"/>
      <c r="U212" s="879"/>
      <c r="V212" s="879"/>
      <c r="W212" s="879"/>
      <c r="X212" s="879"/>
      <c r="Y212" s="879"/>
      <c r="Z212" s="879"/>
      <c r="AA212" s="879"/>
      <c r="AB212" s="879"/>
      <c r="AC212" s="879"/>
      <c r="AD212" s="879"/>
      <c r="AE212" s="879"/>
      <c r="AF212" s="879"/>
      <c r="AG212" s="879"/>
    </row>
    <row r="213" spans="1:33" s="240" customFormat="1" ht="45" hidden="1" customHeight="1" outlineLevel="2" x14ac:dyDescent="0.25">
      <c r="A213" s="267"/>
      <c r="B213" s="635"/>
      <c r="C213" s="243"/>
      <c r="D213" s="540"/>
      <c r="E213" s="635"/>
      <c r="F213" s="337" t="str">
        <f t="shared" si="7"/>
        <v/>
      </c>
      <c r="G213" s="1080" t="str">
        <f t="shared" si="6"/>
        <v/>
      </c>
      <c r="H213" s="879"/>
      <c r="I213" s="879"/>
      <c r="J213" s="879"/>
      <c r="K213" s="879"/>
      <c r="L213" s="879"/>
      <c r="M213" s="879"/>
      <c r="N213" s="879"/>
      <c r="O213" s="879"/>
      <c r="P213" s="879"/>
      <c r="Q213" s="879"/>
      <c r="R213" s="879"/>
      <c r="S213" s="879"/>
      <c r="T213" s="879"/>
      <c r="U213" s="879"/>
      <c r="V213" s="879"/>
      <c r="W213" s="879"/>
      <c r="X213" s="879"/>
      <c r="Y213" s="879"/>
      <c r="Z213" s="879"/>
      <c r="AA213" s="879"/>
      <c r="AB213" s="879"/>
      <c r="AC213" s="879"/>
      <c r="AD213" s="879"/>
      <c r="AE213" s="879"/>
      <c r="AF213" s="879"/>
      <c r="AG213" s="879"/>
    </row>
    <row r="214" spans="1:33" s="240" customFormat="1" ht="45" hidden="1" customHeight="1" outlineLevel="2" x14ac:dyDescent="0.25">
      <c r="A214" s="267"/>
      <c r="B214" s="635"/>
      <c r="C214" s="243"/>
      <c r="D214" s="540"/>
      <c r="E214" s="635"/>
      <c r="F214" s="337" t="str">
        <f t="shared" si="7"/>
        <v/>
      </c>
      <c r="G214" s="1080" t="str">
        <f t="shared" si="6"/>
        <v/>
      </c>
      <c r="H214" s="879"/>
      <c r="I214" s="879"/>
      <c r="J214" s="879"/>
      <c r="K214" s="879"/>
      <c r="L214" s="879"/>
      <c r="M214" s="879"/>
      <c r="N214" s="879"/>
      <c r="O214" s="879"/>
      <c r="P214" s="879"/>
      <c r="Q214" s="879"/>
      <c r="R214" s="879"/>
      <c r="S214" s="879"/>
      <c r="T214" s="879"/>
      <c r="U214" s="879"/>
      <c r="V214" s="879"/>
      <c r="W214" s="879"/>
      <c r="X214" s="879"/>
      <c r="Y214" s="879"/>
      <c r="Z214" s="879"/>
      <c r="AA214" s="879"/>
      <c r="AB214" s="879"/>
      <c r="AC214" s="879"/>
      <c r="AD214" s="879"/>
      <c r="AE214" s="879"/>
      <c r="AF214" s="879"/>
      <c r="AG214" s="879"/>
    </row>
    <row r="215" spans="1:33" s="240" customFormat="1" ht="45" hidden="1" customHeight="1" outlineLevel="2" x14ac:dyDescent="0.25">
      <c r="A215" s="267"/>
      <c r="B215" s="635"/>
      <c r="C215" s="243"/>
      <c r="D215" s="540"/>
      <c r="E215" s="635"/>
      <c r="F215" s="337" t="str">
        <f t="shared" si="7"/>
        <v/>
      </c>
      <c r="G215" s="1080" t="str">
        <f t="shared" si="6"/>
        <v/>
      </c>
      <c r="H215" s="879"/>
      <c r="I215" s="879"/>
      <c r="J215" s="879"/>
      <c r="K215" s="879"/>
      <c r="L215" s="879"/>
      <c r="M215" s="879"/>
      <c r="N215" s="879"/>
      <c r="O215" s="879"/>
      <c r="P215" s="879"/>
      <c r="Q215" s="879"/>
      <c r="R215" s="879"/>
      <c r="S215" s="879"/>
      <c r="T215" s="879"/>
      <c r="U215" s="879"/>
      <c r="V215" s="879"/>
      <c r="W215" s="879"/>
      <c r="X215" s="879"/>
      <c r="Y215" s="879"/>
      <c r="Z215" s="879"/>
      <c r="AA215" s="879"/>
      <c r="AB215" s="879"/>
      <c r="AC215" s="879"/>
      <c r="AD215" s="879"/>
      <c r="AE215" s="879"/>
      <c r="AF215" s="879"/>
      <c r="AG215" s="879"/>
    </row>
    <row r="216" spans="1:33" s="240" customFormat="1" ht="45" hidden="1" customHeight="1" outlineLevel="2" x14ac:dyDescent="0.25">
      <c r="A216" s="267"/>
      <c r="B216" s="635"/>
      <c r="C216" s="243"/>
      <c r="D216" s="540"/>
      <c r="E216" s="635"/>
      <c r="F216" s="337" t="str">
        <f t="shared" si="7"/>
        <v/>
      </c>
      <c r="G216" s="1080" t="str">
        <f t="shared" si="6"/>
        <v/>
      </c>
      <c r="H216" s="879"/>
      <c r="I216" s="879"/>
      <c r="J216" s="879"/>
      <c r="K216" s="879"/>
      <c r="L216" s="879"/>
      <c r="M216" s="879"/>
      <c r="N216" s="879"/>
      <c r="O216" s="879"/>
      <c r="P216" s="879"/>
      <c r="Q216" s="879"/>
      <c r="R216" s="879"/>
      <c r="S216" s="879"/>
      <c r="T216" s="879"/>
      <c r="U216" s="879"/>
      <c r="V216" s="879"/>
      <c r="W216" s="879"/>
      <c r="X216" s="879"/>
      <c r="Y216" s="879"/>
      <c r="Z216" s="879"/>
      <c r="AA216" s="879"/>
      <c r="AB216" s="879"/>
      <c r="AC216" s="879"/>
      <c r="AD216" s="879"/>
      <c r="AE216" s="879"/>
      <c r="AF216" s="879"/>
      <c r="AG216" s="879"/>
    </row>
    <row r="217" spans="1:33" s="240" customFormat="1" ht="45" hidden="1" customHeight="1" outlineLevel="2" x14ac:dyDescent="0.25">
      <c r="A217" s="267"/>
      <c r="B217" s="635"/>
      <c r="C217" s="243"/>
      <c r="D217" s="540"/>
      <c r="E217" s="635"/>
      <c r="F217" s="337" t="str">
        <f t="shared" si="7"/>
        <v/>
      </c>
      <c r="G217" s="1080" t="str">
        <f t="shared" si="6"/>
        <v/>
      </c>
      <c r="H217" s="879"/>
      <c r="I217" s="879"/>
      <c r="J217" s="879"/>
      <c r="K217" s="879"/>
      <c r="L217" s="879"/>
      <c r="M217" s="879"/>
      <c r="N217" s="879"/>
      <c r="O217" s="879"/>
      <c r="P217" s="879"/>
      <c r="Q217" s="879"/>
      <c r="R217" s="879"/>
      <c r="S217" s="879"/>
      <c r="T217" s="879"/>
      <c r="U217" s="879"/>
      <c r="V217" s="879"/>
      <c r="W217" s="879"/>
      <c r="X217" s="879"/>
      <c r="Y217" s="879"/>
      <c r="Z217" s="879"/>
      <c r="AA217" s="879"/>
      <c r="AB217" s="879"/>
      <c r="AC217" s="879"/>
      <c r="AD217" s="879"/>
      <c r="AE217" s="879"/>
      <c r="AF217" s="879"/>
      <c r="AG217" s="879"/>
    </row>
    <row r="218" spans="1:33" s="240" customFormat="1" ht="45" hidden="1" customHeight="1" outlineLevel="2" x14ac:dyDescent="0.25">
      <c r="A218" s="267"/>
      <c r="B218" s="635"/>
      <c r="C218" s="243"/>
      <c r="D218" s="540"/>
      <c r="E218" s="635"/>
      <c r="F218" s="337" t="str">
        <f t="shared" si="7"/>
        <v/>
      </c>
      <c r="G218" s="1080" t="str">
        <f t="shared" si="6"/>
        <v/>
      </c>
      <c r="H218" s="879"/>
      <c r="I218" s="879"/>
      <c r="J218" s="879"/>
      <c r="K218" s="879"/>
      <c r="L218" s="879"/>
      <c r="M218" s="879"/>
      <c r="N218" s="879"/>
      <c r="O218" s="879"/>
      <c r="P218" s="879"/>
      <c r="Q218" s="879"/>
      <c r="R218" s="879"/>
      <c r="S218" s="879"/>
      <c r="T218" s="879"/>
      <c r="U218" s="879"/>
      <c r="V218" s="879"/>
      <c r="W218" s="879"/>
      <c r="X218" s="879"/>
      <c r="Y218" s="879"/>
      <c r="Z218" s="879"/>
      <c r="AA218" s="879"/>
      <c r="AB218" s="879"/>
      <c r="AC218" s="879"/>
      <c r="AD218" s="879"/>
      <c r="AE218" s="879"/>
      <c r="AF218" s="879"/>
      <c r="AG218" s="879"/>
    </row>
    <row r="219" spans="1:33" s="240" customFormat="1" ht="45" hidden="1" customHeight="1" outlineLevel="2" x14ac:dyDescent="0.25">
      <c r="A219" s="267"/>
      <c r="B219" s="635"/>
      <c r="C219" s="243"/>
      <c r="D219" s="540"/>
      <c r="E219" s="635"/>
      <c r="F219" s="337" t="str">
        <f t="shared" si="7"/>
        <v/>
      </c>
      <c r="G219" s="1080" t="str">
        <f t="shared" ref="G219:G253" si="8">IF(C219="","",IFERROR(C219*1,"Erro, confira o valor da energia térmica adquirida"))</f>
        <v/>
      </c>
      <c r="H219" s="879"/>
      <c r="I219" s="879"/>
      <c r="J219" s="879"/>
      <c r="K219" s="879"/>
      <c r="L219" s="879"/>
      <c r="M219" s="879"/>
      <c r="N219" s="879"/>
      <c r="O219" s="879"/>
      <c r="P219" s="879"/>
      <c r="Q219" s="879"/>
      <c r="R219" s="879"/>
      <c r="S219" s="879"/>
      <c r="T219" s="879"/>
      <c r="U219" s="879"/>
      <c r="V219" s="879"/>
      <c r="W219" s="879"/>
      <c r="X219" s="879"/>
      <c r="Y219" s="879"/>
      <c r="Z219" s="879"/>
      <c r="AA219" s="879"/>
      <c r="AB219" s="879"/>
      <c r="AC219" s="879"/>
      <c r="AD219" s="879"/>
      <c r="AE219" s="879"/>
      <c r="AF219" s="879"/>
      <c r="AG219" s="879"/>
    </row>
    <row r="220" spans="1:33" s="240" customFormat="1" ht="45" hidden="1" customHeight="1" outlineLevel="2" x14ac:dyDescent="0.25">
      <c r="A220" s="267"/>
      <c r="B220" s="635"/>
      <c r="C220" s="243"/>
      <c r="D220" s="540"/>
      <c r="E220" s="635"/>
      <c r="F220" s="337" t="str">
        <f t="shared" si="7"/>
        <v/>
      </c>
      <c r="G220" s="1080" t="str">
        <f t="shared" si="8"/>
        <v/>
      </c>
      <c r="H220" s="879"/>
      <c r="I220" s="879"/>
      <c r="J220" s="879"/>
      <c r="K220" s="879"/>
      <c r="L220" s="879"/>
      <c r="M220" s="879"/>
      <c r="N220" s="879"/>
      <c r="O220" s="879"/>
      <c r="P220" s="879"/>
      <c r="Q220" s="879"/>
      <c r="R220" s="879"/>
      <c r="S220" s="879"/>
      <c r="T220" s="879"/>
      <c r="U220" s="879"/>
      <c r="V220" s="879"/>
      <c r="W220" s="879"/>
      <c r="X220" s="879"/>
      <c r="Y220" s="879"/>
      <c r="Z220" s="879"/>
      <c r="AA220" s="879"/>
      <c r="AB220" s="879"/>
      <c r="AC220" s="879"/>
      <c r="AD220" s="879"/>
      <c r="AE220" s="879"/>
      <c r="AF220" s="879"/>
      <c r="AG220" s="879"/>
    </row>
    <row r="221" spans="1:33" s="240" customFormat="1" ht="45" hidden="1" customHeight="1" outlineLevel="2" x14ac:dyDescent="0.25">
      <c r="A221" s="267"/>
      <c r="B221" s="635"/>
      <c r="C221" s="243"/>
      <c r="D221" s="540"/>
      <c r="E221" s="635"/>
      <c r="F221" s="337" t="str">
        <f t="shared" si="7"/>
        <v/>
      </c>
      <c r="G221" s="1080" t="str">
        <f t="shared" si="8"/>
        <v/>
      </c>
      <c r="H221" s="879"/>
      <c r="I221" s="879"/>
      <c r="J221" s="879"/>
      <c r="K221" s="879"/>
      <c r="L221" s="879"/>
      <c r="M221" s="879"/>
      <c r="N221" s="879"/>
      <c r="O221" s="879"/>
      <c r="P221" s="879"/>
      <c r="Q221" s="879"/>
      <c r="R221" s="879"/>
      <c r="S221" s="879"/>
      <c r="T221" s="879"/>
      <c r="U221" s="879"/>
      <c r="V221" s="879"/>
      <c r="W221" s="879"/>
      <c r="X221" s="879"/>
      <c r="Y221" s="879"/>
      <c r="Z221" s="879"/>
      <c r="AA221" s="879"/>
      <c r="AB221" s="879"/>
      <c r="AC221" s="879"/>
      <c r="AD221" s="879"/>
      <c r="AE221" s="879"/>
      <c r="AF221" s="879"/>
      <c r="AG221" s="879"/>
    </row>
    <row r="222" spans="1:33" s="240" customFormat="1" ht="45" hidden="1" customHeight="1" outlineLevel="2" x14ac:dyDescent="0.25">
      <c r="A222" s="267"/>
      <c r="B222" s="635"/>
      <c r="C222" s="243"/>
      <c r="D222" s="540"/>
      <c r="E222" s="635"/>
      <c r="F222" s="337" t="str">
        <f t="shared" si="7"/>
        <v/>
      </c>
      <c r="G222" s="1080" t="str">
        <f t="shared" si="8"/>
        <v/>
      </c>
      <c r="H222" s="879"/>
      <c r="I222" s="879"/>
      <c r="J222" s="879"/>
      <c r="K222" s="879"/>
      <c r="L222" s="879"/>
      <c r="M222" s="879"/>
      <c r="N222" s="879"/>
      <c r="O222" s="879"/>
      <c r="P222" s="879"/>
      <c r="Q222" s="879"/>
      <c r="R222" s="879"/>
      <c r="S222" s="879"/>
      <c r="T222" s="879"/>
      <c r="U222" s="879"/>
      <c r="V222" s="879"/>
      <c r="W222" s="879"/>
      <c r="X222" s="879"/>
      <c r="Y222" s="879"/>
      <c r="Z222" s="879"/>
      <c r="AA222" s="879"/>
      <c r="AB222" s="879"/>
      <c r="AC222" s="879"/>
      <c r="AD222" s="879"/>
      <c r="AE222" s="879"/>
      <c r="AF222" s="879"/>
      <c r="AG222" s="879"/>
    </row>
    <row r="223" spans="1:33" s="240" customFormat="1" ht="45" hidden="1" customHeight="1" outlineLevel="2" x14ac:dyDescent="0.25">
      <c r="A223" s="267"/>
      <c r="B223" s="635"/>
      <c r="C223" s="243"/>
      <c r="D223" s="540"/>
      <c r="E223" s="635"/>
      <c r="F223" s="337" t="str">
        <f t="shared" si="7"/>
        <v/>
      </c>
      <c r="G223" s="1080" t="str">
        <f t="shared" si="8"/>
        <v/>
      </c>
      <c r="H223" s="879"/>
      <c r="I223" s="879"/>
      <c r="J223" s="879"/>
      <c r="K223" s="879"/>
      <c r="L223" s="879"/>
      <c r="M223" s="879"/>
      <c r="N223" s="879"/>
      <c r="O223" s="879"/>
      <c r="P223" s="879"/>
      <c r="Q223" s="879"/>
      <c r="R223" s="879"/>
      <c r="S223" s="879"/>
      <c r="T223" s="879"/>
      <c r="U223" s="879"/>
      <c r="V223" s="879"/>
      <c r="W223" s="879"/>
      <c r="X223" s="879"/>
      <c r="Y223" s="879"/>
      <c r="Z223" s="879"/>
      <c r="AA223" s="879"/>
      <c r="AB223" s="879"/>
      <c r="AC223" s="879"/>
      <c r="AD223" s="879"/>
      <c r="AE223" s="879"/>
      <c r="AF223" s="879"/>
      <c r="AG223" s="879"/>
    </row>
    <row r="224" spans="1:33" s="240" customFormat="1" ht="45" hidden="1" customHeight="1" outlineLevel="2" x14ac:dyDescent="0.25">
      <c r="A224" s="267"/>
      <c r="B224" s="635"/>
      <c r="C224" s="243"/>
      <c r="D224" s="540"/>
      <c r="E224" s="635"/>
      <c r="F224" s="337" t="str">
        <f t="shared" si="7"/>
        <v/>
      </c>
      <c r="G224" s="1080" t="str">
        <f t="shared" si="8"/>
        <v/>
      </c>
      <c r="H224" s="879"/>
      <c r="I224" s="879"/>
      <c r="J224" s="879"/>
      <c r="K224" s="879"/>
      <c r="L224" s="879"/>
      <c r="M224" s="879"/>
      <c r="N224" s="879"/>
      <c r="O224" s="879"/>
      <c r="P224" s="879"/>
      <c r="Q224" s="879"/>
      <c r="R224" s="879"/>
      <c r="S224" s="879"/>
      <c r="T224" s="879"/>
      <c r="U224" s="879"/>
      <c r="V224" s="879"/>
      <c r="W224" s="879"/>
      <c r="X224" s="879"/>
      <c r="Y224" s="879"/>
      <c r="Z224" s="879"/>
      <c r="AA224" s="879"/>
      <c r="AB224" s="879"/>
      <c r="AC224" s="879"/>
      <c r="AD224" s="879"/>
      <c r="AE224" s="879"/>
      <c r="AF224" s="879"/>
      <c r="AG224" s="879"/>
    </row>
    <row r="225" spans="1:33" s="240" customFormat="1" ht="45" hidden="1" customHeight="1" outlineLevel="2" x14ac:dyDescent="0.25">
      <c r="A225" s="267"/>
      <c r="B225" s="635"/>
      <c r="C225" s="243"/>
      <c r="D225" s="540"/>
      <c r="E225" s="635"/>
      <c r="F225" s="337" t="str">
        <f t="shared" si="7"/>
        <v/>
      </c>
      <c r="G225" s="1080" t="str">
        <f t="shared" si="8"/>
        <v/>
      </c>
      <c r="H225" s="879"/>
      <c r="I225" s="879"/>
      <c r="J225" s="879"/>
      <c r="K225" s="879"/>
      <c r="L225" s="879"/>
      <c r="M225" s="879"/>
      <c r="N225" s="879"/>
      <c r="O225" s="879"/>
      <c r="P225" s="879"/>
      <c r="Q225" s="879"/>
      <c r="R225" s="879"/>
      <c r="S225" s="879"/>
      <c r="T225" s="879"/>
      <c r="U225" s="879"/>
      <c r="V225" s="879"/>
      <c r="W225" s="879"/>
      <c r="X225" s="879"/>
      <c r="Y225" s="879"/>
      <c r="Z225" s="879"/>
      <c r="AA225" s="879"/>
      <c r="AB225" s="879"/>
      <c r="AC225" s="879"/>
      <c r="AD225" s="879"/>
      <c r="AE225" s="879"/>
      <c r="AF225" s="879"/>
      <c r="AG225" s="879"/>
    </row>
    <row r="226" spans="1:33" s="240" customFormat="1" ht="45" hidden="1" customHeight="1" outlineLevel="2" x14ac:dyDescent="0.25">
      <c r="A226" s="267"/>
      <c r="B226" s="635"/>
      <c r="C226" s="243"/>
      <c r="D226" s="540"/>
      <c r="E226" s="635"/>
      <c r="F226" s="337" t="str">
        <f t="shared" si="7"/>
        <v/>
      </c>
      <c r="G226" s="1080" t="str">
        <f t="shared" si="8"/>
        <v/>
      </c>
      <c r="H226" s="879"/>
      <c r="I226" s="879"/>
      <c r="J226" s="879"/>
      <c r="K226" s="879"/>
      <c r="L226" s="879"/>
      <c r="M226" s="879"/>
      <c r="N226" s="879"/>
      <c r="O226" s="879"/>
      <c r="P226" s="879"/>
      <c r="Q226" s="879"/>
      <c r="R226" s="879"/>
      <c r="S226" s="879"/>
      <c r="T226" s="879"/>
      <c r="U226" s="879"/>
      <c r="V226" s="879"/>
      <c r="W226" s="879"/>
      <c r="X226" s="879"/>
      <c r="Y226" s="879"/>
      <c r="Z226" s="879"/>
      <c r="AA226" s="879"/>
      <c r="AB226" s="879"/>
      <c r="AC226" s="879"/>
      <c r="AD226" s="879"/>
      <c r="AE226" s="879"/>
      <c r="AF226" s="879"/>
      <c r="AG226" s="879"/>
    </row>
    <row r="227" spans="1:33" s="240" customFormat="1" ht="45" hidden="1" customHeight="1" outlineLevel="2" x14ac:dyDescent="0.25">
      <c r="A227" s="267"/>
      <c r="B227" s="635"/>
      <c r="C227" s="243"/>
      <c r="D227" s="540"/>
      <c r="E227" s="635"/>
      <c r="F227" s="337" t="str">
        <f t="shared" si="7"/>
        <v/>
      </c>
      <c r="G227" s="1080" t="str">
        <f t="shared" si="8"/>
        <v/>
      </c>
      <c r="H227" s="879"/>
      <c r="I227" s="879"/>
      <c r="J227" s="879"/>
      <c r="K227" s="879"/>
      <c r="L227" s="879"/>
      <c r="M227" s="879"/>
      <c r="N227" s="879"/>
      <c r="O227" s="879"/>
      <c r="P227" s="879"/>
      <c r="Q227" s="879"/>
      <c r="R227" s="879"/>
      <c r="S227" s="879"/>
      <c r="T227" s="879"/>
      <c r="U227" s="879"/>
      <c r="V227" s="879"/>
      <c r="W227" s="879"/>
      <c r="X227" s="879"/>
      <c r="Y227" s="879"/>
      <c r="Z227" s="879"/>
      <c r="AA227" s="879"/>
      <c r="AB227" s="879"/>
      <c r="AC227" s="879"/>
      <c r="AD227" s="879"/>
      <c r="AE227" s="879"/>
      <c r="AF227" s="879"/>
      <c r="AG227" s="879"/>
    </row>
    <row r="228" spans="1:33" s="240" customFormat="1" ht="45" hidden="1" customHeight="1" outlineLevel="2" x14ac:dyDescent="0.25">
      <c r="A228" s="267"/>
      <c r="B228" s="635"/>
      <c r="C228" s="243"/>
      <c r="D228" s="540"/>
      <c r="E228" s="635"/>
      <c r="F228" s="337" t="str">
        <f t="shared" si="7"/>
        <v/>
      </c>
      <c r="G228" s="1080" t="str">
        <f t="shared" si="8"/>
        <v/>
      </c>
      <c r="H228" s="879"/>
      <c r="I228" s="879"/>
      <c r="J228" s="879"/>
      <c r="K228" s="879"/>
      <c r="L228" s="879"/>
      <c r="M228" s="879"/>
      <c r="N228" s="879"/>
      <c r="O228" s="879"/>
      <c r="P228" s="879"/>
      <c r="Q228" s="879"/>
      <c r="R228" s="879"/>
      <c r="S228" s="879"/>
      <c r="T228" s="879"/>
      <c r="U228" s="879"/>
      <c r="V228" s="879"/>
      <c r="W228" s="879"/>
      <c r="X228" s="879"/>
      <c r="Y228" s="879"/>
      <c r="Z228" s="879"/>
      <c r="AA228" s="879"/>
      <c r="AB228" s="879"/>
      <c r="AC228" s="879"/>
      <c r="AD228" s="879"/>
      <c r="AE228" s="879"/>
      <c r="AF228" s="879"/>
      <c r="AG228" s="879"/>
    </row>
    <row r="229" spans="1:33" s="240" customFormat="1" ht="45" hidden="1" customHeight="1" outlineLevel="2" x14ac:dyDescent="0.25">
      <c r="A229" s="267"/>
      <c r="B229" s="635"/>
      <c r="C229" s="243"/>
      <c r="D229" s="540"/>
      <c r="E229" s="635"/>
      <c r="F229" s="337" t="str">
        <f t="shared" si="7"/>
        <v/>
      </c>
      <c r="G229" s="1080" t="str">
        <f t="shared" si="8"/>
        <v/>
      </c>
      <c r="H229" s="879"/>
      <c r="I229" s="879"/>
      <c r="J229" s="879"/>
      <c r="K229" s="879"/>
      <c r="L229" s="879"/>
      <c r="M229" s="879"/>
      <c r="N229" s="879"/>
      <c r="O229" s="879"/>
      <c r="P229" s="879"/>
      <c r="Q229" s="879"/>
      <c r="R229" s="879"/>
      <c r="S229" s="879"/>
      <c r="T229" s="879"/>
      <c r="U229" s="879"/>
      <c r="V229" s="879"/>
      <c r="W229" s="879"/>
      <c r="X229" s="879"/>
      <c r="Y229" s="879"/>
      <c r="Z229" s="879"/>
      <c r="AA229" s="879"/>
      <c r="AB229" s="879"/>
      <c r="AC229" s="879"/>
      <c r="AD229" s="879"/>
      <c r="AE229" s="879"/>
      <c r="AF229" s="879"/>
      <c r="AG229" s="879"/>
    </row>
    <row r="230" spans="1:33" s="240" customFormat="1" ht="45" hidden="1" customHeight="1" outlineLevel="2" x14ac:dyDescent="0.25">
      <c r="A230" s="267"/>
      <c r="B230" s="635"/>
      <c r="C230" s="243"/>
      <c r="D230" s="540"/>
      <c r="E230" s="635"/>
      <c r="F230" s="337" t="str">
        <f t="shared" ref="F230:F253" si="9">IF(OR(C230="",D230=""),"",(C230*D230))</f>
        <v/>
      </c>
      <c r="G230" s="1080" t="str">
        <f t="shared" si="8"/>
        <v/>
      </c>
      <c r="H230" s="879"/>
      <c r="I230" s="879"/>
      <c r="J230" s="879"/>
      <c r="K230" s="879"/>
      <c r="L230" s="879"/>
      <c r="M230" s="879"/>
      <c r="N230" s="879"/>
      <c r="O230" s="879"/>
      <c r="P230" s="879"/>
      <c r="Q230" s="879"/>
      <c r="R230" s="879"/>
      <c r="S230" s="879"/>
      <c r="T230" s="879"/>
      <c r="U230" s="879"/>
      <c r="V230" s="879"/>
      <c r="W230" s="879"/>
      <c r="X230" s="879"/>
      <c r="Y230" s="879"/>
      <c r="Z230" s="879"/>
      <c r="AA230" s="879"/>
      <c r="AB230" s="879"/>
      <c r="AC230" s="879"/>
      <c r="AD230" s="879"/>
      <c r="AE230" s="879"/>
      <c r="AF230" s="879"/>
      <c r="AG230" s="879"/>
    </row>
    <row r="231" spans="1:33" s="240" customFormat="1" ht="45" hidden="1" customHeight="1" outlineLevel="2" x14ac:dyDescent="0.25">
      <c r="A231" s="267"/>
      <c r="B231" s="635"/>
      <c r="C231" s="243"/>
      <c r="D231" s="540"/>
      <c r="E231" s="635"/>
      <c r="F231" s="337" t="str">
        <f t="shared" si="9"/>
        <v/>
      </c>
      <c r="G231" s="1080" t="str">
        <f t="shared" si="8"/>
        <v/>
      </c>
      <c r="H231" s="879"/>
      <c r="I231" s="879"/>
      <c r="J231" s="879"/>
      <c r="K231" s="879"/>
      <c r="L231" s="879"/>
      <c r="M231" s="879"/>
      <c r="N231" s="879"/>
      <c r="O231" s="879"/>
      <c r="P231" s="879"/>
      <c r="Q231" s="879"/>
      <c r="R231" s="879"/>
      <c r="S231" s="879"/>
      <c r="T231" s="879"/>
      <c r="U231" s="879"/>
      <c r="V231" s="879"/>
      <c r="W231" s="879"/>
      <c r="X231" s="879"/>
      <c r="Y231" s="879"/>
      <c r="Z231" s="879"/>
      <c r="AA231" s="879"/>
      <c r="AB231" s="879"/>
      <c r="AC231" s="879"/>
      <c r="AD231" s="879"/>
      <c r="AE231" s="879"/>
      <c r="AF231" s="879"/>
      <c r="AG231" s="879"/>
    </row>
    <row r="232" spans="1:33" s="240" customFormat="1" ht="45" hidden="1" customHeight="1" outlineLevel="2" x14ac:dyDescent="0.25">
      <c r="A232" s="267"/>
      <c r="B232" s="635"/>
      <c r="C232" s="243"/>
      <c r="D232" s="540"/>
      <c r="E232" s="635"/>
      <c r="F232" s="337" t="str">
        <f t="shared" si="9"/>
        <v/>
      </c>
      <c r="G232" s="1080" t="str">
        <f t="shared" si="8"/>
        <v/>
      </c>
      <c r="H232" s="879"/>
      <c r="I232" s="879"/>
      <c r="J232" s="879"/>
      <c r="K232" s="879"/>
      <c r="L232" s="879"/>
      <c r="M232" s="879"/>
      <c r="N232" s="879"/>
      <c r="O232" s="879"/>
      <c r="P232" s="879"/>
      <c r="Q232" s="879"/>
      <c r="R232" s="879"/>
      <c r="S232" s="879"/>
      <c r="T232" s="879"/>
      <c r="U232" s="879"/>
      <c r="V232" s="879"/>
      <c r="W232" s="879"/>
      <c r="X232" s="879"/>
      <c r="Y232" s="879"/>
      <c r="Z232" s="879"/>
      <c r="AA232" s="879"/>
      <c r="AB232" s="879"/>
      <c r="AC232" s="879"/>
      <c r="AD232" s="879"/>
      <c r="AE232" s="879"/>
      <c r="AF232" s="879"/>
      <c r="AG232" s="879"/>
    </row>
    <row r="233" spans="1:33" s="240" customFormat="1" ht="45" hidden="1" customHeight="1" outlineLevel="2" x14ac:dyDescent="0.25">
      <c r="A233" s="267"/>
      <c r="B233" s="635"/>
      <c r="C233" s="243"/>
      <c r="D233" s="540"/>
      <c r="E233" s="635"/>
      <c r="F233" s="337" t="str">
        <f t="shared" si="9"/>
        <v/>
      </c>
      <c r="G233" s="1080" t="str">
        <f t="shared" si="8"/>
        <v/>
      </c>
      <c r="H233" s="879"/>
      <c r="I233" s="879"/>
      <c r="J233" s="879"/>
      <c r="K233" s="879"/>
      <c r="L233" s="879"/>
      <c r="M233" s="879"/>
      <c r="N233" s="879"/>
      <c r="O233" s="879"/>
      <c r="P233" s="879"/>
      <c r="Q233" s="879"/>
      <c r="R233" s="879"/>
      <c r="S233" s="879"/>
      <c r="T233" s="879"/>
      <c r="U233" s="879"/>
      <c r="V233" s="879"/>
      <c r="W233" s="879"/>
      <c r="X233" s="879"/>
      <c r="Y233" s="879"/>
      <c r="Z233" s="879"/>
      <c r="AA233" s="879"/>
      <c r="AB233" s="879"/>
      <c r="AC233" s="879"/>
      <c r="AD233" s="879"/>
      <c r="AE233" s="879"/>
      <c r="AF233" s="879"/>
      <c r="AG233" s="879"/>
    </row>
    <row r="234" spans="1:33" s="240" customFormat="1" ht="45" hidden="1" customHeight="1" outlineLevel="2" x14ac:dyDescent="0.25">
      <c r="A234" s="267"/>
      <c r="B234" s="635"/>
      <c r="C234" s="243"/>
      <c r="D234" s="540"/>
      <c r="E234" s="635"/>
      <c r="F234" s="337" t="str">
        <f t="shared" si="9"/>
        <v/>
      </c>
      <c r="G234" s="1080" t="str">
        <f t="shared" si="8"/>
        <v/>
      </c>
      <c r="H234" s="879"/>
      <c r="I234" s="879"/>
      <c r="J234" s="879"/>
      <c r="K234" s="879"/>
      <c r="L234" s="879"/>
      <c r="M234" s="879"/>
      <c r="N234" s="879"/>
      <c r="O234" s="879"/>
      <c r="P234" s="879"/>
      <c r="Q234" s="879"/>
      <c r="R234" s="879"/>
      <c r="S234" s="879"/>
      <c r="T234" s="879"/>
      <c r="U234" s="879"/>
      <c r="V234" s="879"/>
      <c r="W234" s="879"/>
      <c r="X234" s="879"/>
      <c r="Y234" s="879"/>
      <c r="Z234" s="879"/>
      <c r="AA234" s="879"/>
      <c r="AB234" s="879"/>
      <c r="AC234" s="879"/>
      <c r="AD234" s="879"/>
      <c r="AE234" s="879"/>
      <c r="AF234" s="879"/>
      <c r="AG234" s="879"/>
    </row>
    <row r="235" spans="1:33" s="240" customFormat="1" ht="45" hidden="1" customHeight="1" outlineLevel="2" x14ac:dyDescent="0.25">
      <c r="A235" s="267"/>
      <c r="B235" s="635"/>
      <c r="C235" s="243"/>
      <c r="D235" s="540"/>
      <c r="E235" s="635"/>
      <c r="F235" s="337" t="str">
        <f t="shared" si="9"/>
        <v/>
      </c>
      <c r="G235" s="1080" t="str">
        <f t="shared" si="8"/>
        <v/>
      </c>
      <c r="H235" s="879"/>
      <c r="I235" s="879"/>
      <c r="J235" s="879"/>
      <c r="K235" s="879"/>
      <c r="L235" s="879"/>
      <c r="M235" s="879"/>
      <c r="N235" s="879"/>
      <c r="O235" s="879"/>
      <c r="P235" s="879"/>
      <c r="Q235" s="879"/>
      <c r="R235" s="879"/>
      <c r="S235" s="879"/>
      <c r="T235" s="879"/>
      <c r="U235" s="879"/>
      <c r="V235" s="879"/>
      <c r="W235" s="879"/>
      <c r="X235" s="879"/>
      <c r="Y235" s="879"/>
      <c r="Z235" s="879"/>
      <c r="AA235" s="879"/>
      <c r="AB235" s="879"/>
      <c r="AC235" s="879"/>
      <c r="AD235" s="879"/>
      <c r="AE235" s="879"/>
      <c r="AF235" s="879"/>
      <c r="AG235" s="879"/>
    </row>
    <row r="236" spans="1:33" s="240" customFormat="1" ht="45" hidden="1" customHeight="1" outlineLevel="2" x14ac:dyDescent="0.25">
      <c r="A236" s="267"/>
      <c r="B236" s="635"/>
      <c r="C236" s="243"/>
      <c r="D236" s="540"/>
      <c r="E236" s="635"/>
      <c r="F236" s="337" t="str">
        <f t="shared" si="9"/>
        <v/>
      </c>
      <c r="G236" s="1080" t="str">
        <f t="shared" si="8"/>
        <v/>
      </c>
      <c r="H236" s="879"/>
      <c r="I236" s="879"/>
      <c r="J236" s="879"/>
      <c r="K236" s="879"/>
      <c r="L236" s="879"/>
      <c r="M236" s="879"/>
      <c r="N236" s="879"/>
      <c r="O236" s="879"/>
      <c r="P236" s="879"/>
      <c r="Q236" s="879"/>
      <c r="R236" s="879"/>
      <c r="S236" s="879"/>
      <c r="T236" s="879"/>
      <c r="U236" s="879"/>
      <c r="V236" s="879"/>
      <c r="W236" s="879"/>
      <c r="X236" s="879"/>
      <c r="Y236" s="879"/>
      <c r="Z236" s="879"/>
      <c r="AA236" s="879"/>
      <c r="AB236" s="879"/>
      <c r="AC236" s="879"/>
      <c r="AD236" s="879"/>
      <c r="AE236" s="879"/>
      <c r="AF236" s="879"/>
      <c r="AG236" s="879"/>
    </row>
    <row r="237" spans="1:33" s="240" customFormat="1" ht="45" hidden="1" customHeight="1" outlineLevel="2" x14ac:dyDescent="0.25">
      <c r="A237" s="267"/>
      <c r="B237" s="635"/>
      <c r="C237" s="243"/>
      <c r="D237" s="540"/>
      <c r="E237" s="635"/>
      <c r="F237" s="337" t="str">
        <f t="shared" si="9"/>
        <v/>
      </c>
      <c r="G237" s="1080" t="str">
        <f t="shared" si="8"/>
        <v/>
      </c>
      <c r="H237" s="879"/>
      <c r="I237" s="879"/>
      <c r="J237" s="879"/>
      <c r="K237" s="879"/>
      <c r="L237" s="879"/>
      <c r="M237" s="879"/>
      <c r="N237" s="879"/>
      <c r="O237" s="879"/>
      <c r="P237" s="879"/>
      <c r="Q237" s="879"/>
      <c r="R237" s="879"/>
      <c r="S237" s="879"/>
      <c r="T237" s="879"/>
      <c r="U237" s="879"/>
      <c r="V237" s="879"/>
      <c r="W237" s="879"/>
      <c r="X237" s="879"/>
      <c r="Y237" s="879"/>
      <c r="Z237" s="879"/>
      <c r="AA237" s="879"/>
      <c r="AB237" s="879"/>
      <c r="AC237" s="879"/>
      <c r="AD237" s="879"/>
      <c r="AE237" s="879"/>
      <c r="AF237" s="879"/>
      <c r="AG237" s="879"/>
    </row>
    <row r="238" spans="1:33" s="240" customFormat="1" ht="45" hidden="1" customHeight="1" outlineLevel="2" x14ac:dyDescent="0.25">
      <c r="A238" s="267"/>
      <c r="B238" s="635"/>
      <c r="C238" s="243"/>
      <c r="D238" s="540"/>
      <c r="E238" s="635"/>
      <c r="F238" s="337" t="str">
        <f t="shared" si="9"/>
        <v/>
      </c>
      <c r="G238" s="1080" t="str">
        <f t="shared" si="8"/>
        <v/>
      </c>
      <c r="H238" s="879"/>
      <c r="I238" s="879"/>
      <c r="J238" s="879"/>
      <c r="K238" s="879"/>
      <c r="L238" s="879"/>
      <c r="M238" s="879"/>
      <c r="N238" s="879"/>
      <c r="O238" s="879"/>
      <c r="P238" s="879"/>
      <c r="Q238" s="879"/>
      <c r="R238" s="879"/>
      <c r="S238" s="879"/>
      <c r="T238" s="879"/>
      <c r="U238" s="879"/>
      <c r="V238" s="879"/>
      <c r="W238" s="879"/>
      <c r="X238" s="879"/>
      <c r="Y238" s="879"/>
      <c r="Z238" s="879"/>
      <c r="AA238" s="879"/>
      <c r="AB238" s="879"/>
      <c r="AC238" s="879"/>
      <c r="AD238" s="879"/>
      <c r="AE238" s="879"/>
      <c r="AF238" s="879"/>
      <c r="AG238" s="879"/>
    </row>
    <row r="239" spans="1:33" s="240" customFormat="1" ht="45" hidden="1" customHeight="1" outlineLevel="2" x14ac:dyDescent="0.25">
      <c r="A239" s="267"/>
      <c r="B239" s="635"/>
      <c r="C239" s="243"/>
      <c r="D239" s="540"/>
      <c r="E239" s="635"/>
      <c r="F239" s="337" t="str">
        <f t="shared" si="9"/>
        <v/>
      </c>
      <c r="G239" s="1080" t="str">
        <f t="shared" si="8"/>
        <v/>
      </c>
      <c r="H239" s="879"/>
      <c r="I239" s="879"/>
      <c r="J239" s="879"/>
      <c r="K239" s="879"/>
      <c r="L239" s="879"/>
      <c r="M239" s="879"/>
      <c r="N239" s="879"/>
      <c r="O239" s="879"/>
      <c r="P239" s="879"/>
      <c r="Q239" s="879"/>
      <c r="R239" s="879"/>
      <c r="S239" s="879"/>
      <c r="T239" s="879"/>
      <c r="U239" s="879"/>
      <c r="V239" s="879"/>
      <c r="W239" s="879"/>
      <c r="X239" s="879"/>
      <c r="Y239" s="879"/>
      <c r="Z239" s="879"/>
      <c r="AA239" s="879"/>
      <c r="AB239" s="879"/>
      <c r="AC239" s="879"/>
      <c r="AD239" s="879"/>
      <c r="AE239" s="879"/>
      <c r="AF239" s="879"/>
      <c r="AG239" s="879"/>
    </row>
    <row r="240" spans="1:33" s="240" customFormat="1" ht="45" hidden="1" customHeight="1" outlineLevel="2" x14ac:dyDescent="0.25">
      <c r="A240" s="267"/>
      <c r="B240" s="635"/>
      <c r="C240" s="243"/>
      <c r="D240" s="540"/>
      <c r="E240" s="635"/>
      <c r="F240" s="337" t="str">
        <f t="shared" si="9"/>
        <v/>
      </c>
      <c r="G240" s="1080" t="str">
        <f t="shared" si="8"/>
        <v/>
      </c>
      <c r="H240" s="879"/>
      <c r="I240" s="879"/>
      <c r="J240" s="879"/>
      <c r="K240" s="879"/>
      <c r="L240" s="879"/>
      <c r="M240" s="879"/>
      <c r="N240" s="879"/>
      <c r="O240" s="879"/>
      <c r="P240" s="879"/>
      <c r="Q240" s="879"/>
      <c r="R240" s="879"/>
      <c r="S240" s="879"/>
      <c r="T240" s="879"/>
      <c r="U240" s="879"/>
      <c r="V240" s="879"/>
      <c r="W240" s="879"/>
      <c r="X240" s="879"/>
      <c r="Y240" s="879"/>
      <c r="Z240" s="879"/>
      <c r="AA240" s="879"/>
      <c r="AB240" s="879"/>
      <c r="AC240" s="879"/>
      <c r="AD240" s="879"/>
      <c r="AE240" s="879"/>
      <c r="AF240" s="879"/>
      <c r="AG240" s="879"/>
    </row>
    <row r="241" spans="1:33" s="240" customFormat="1" ht="45" hidden="1" customHeight="1" outlineLevel="2" x14ac:dyDescent="0.25">
      <c r="A241" s="267"/>
      <c r="B241" s="635"/>
      <c r="C241" s="243"/>
      <c r="D241" s="540"/>
      <c r="E241" s="635"/>
      <c r="F241" s="337" t="str">
        <f t="shared" si="9"/>
        <v/>
      </c>
      <c r="G241" s="1080" t="str">
        <f t="shared" si="8"/>
        <v/>
      </c>
      <c r="H241" s="879"/>
      <c r="I241" s="879"/>
      <c r="J241" s="879"/>
      <c r="K241" s="879"/>
      <c r="L241" s="879"/>
      <c r="M241" s="879"/>
      <c r="N241" s="879"/>
      <c r="O241" s="879"/>
      <c r="P241" s="879"/>
      <c r="Q241" s="879"/>
      <c r="R241" s="879"/>
      <c r="S241" s="879"/>
      <c r="T241" s="879"/>
      <c r="U241" s="879"/>
      <c r="V241" s="879"/>
      <c r="W241" s="879"/>
      <c r="X241" s="879"/>
      <c r="Y241" s="879"/>
      <c r="Z241" s="879"/>
      <c r="AA241" s="879"/>
      <c r="AB241" s="879"/>
      <c r="AC241" s="879"/>
      <c r="AD241" s="879"/>
      <c r="AE241" s="879"/>
      <c r="AF241" s="879"/>
      <c r="AG241" s="879"/>
    </row>
    <row r="242" spans="1:33" s="240" customFormat="1" ht="45" hidden="1" customHeight="1" outlineLevel="2" x14ac:dyDescent="0.25">
      <c r="A242" s="267"/>
      <c r="B242" s="635"/>
      <c r="C242" s="243"/>
      <c r="D242" s="540"/>
      <c r="E242" s="635"/>
      <c r="F242" s="337" t="str">
        <f t="shared" si="9"/>
        <v/>
      </c>
      <c r="G242" s="1080" t="str">
        <f t="shared" si="8"/>
        <v/>
      </c>
      <c r="H242" s="879"/>
      <c r="I242" s="879"/>
      <c r="J242" s="879"/>
      <c r="K242" s="879"/>
      <c r="L242" s="879"/>
      <c r="M242" s="879"/>
      <c r="N242" s="879"/>
      <c r="O242" s="879"/>
      <c r="P242" s="879"/>
      <c r="Q242" s="879"/>
      <c r="R242" s="879"/>
      <c r="S242" s="879"/>
      <c r="T242" s="879"/>
      <c r="U242" s="879"/>
      <c r="V242" s="879"/>
      <c r="W242" s="879"/>
      <c r="X242" s="879"/>
      <c r="Y242" s="879"/>
      <c r="Z242" s="879"/>
      <c r="AA242" s="879"/>
      <c r="AB242" s="879"/>
      <c r="AC242" s="879"/>
      <c r="AD242" s="879"/>
      <c r="AE242" s="879"/>
      <c r="AF242" s="879"/>
      <c r="AG242" s="879"/>
    </row>
    <row r="243" spans="1:33" s="240" customFormat="1" ht="45" hidden="1" customHeight="1" outlineLevel="2" x14ac:dyDescent="0.25">
      <c r="A243" s="267"/>
      <c r="B243" s="635"/>
      <c r="C243" s="243"/>
      <c r="D243" s="540"/>
      <c r="E243" s="635"/>
      <c r="F243" s="337" t="str">
        <f t="shared" si="9"/>
        <v/>
      </c>
      <c r="G243" s="1080" t="str">
        <f t="shared" si="8"/>
        <v/>
      </c>
      <c r="H243" s="879"/>
      <c r="I243" s="879"/>
      <c r="J243" s="879"/>
      <c r="K243" s="879"/>
      <c r="L243" s="879"/>
      <c r="M243" s="879"/>
      <c r="N243" s="879"/>
      <c r="O243" s="879"/>
      <c r="P243" s="879"/>
      <c r="Q243" s="879"/>
      <c r="R243" s="879"/>
      <c r="S243" s="879"/>
      <c r="T243" s="879"/>
      <c r="U243" s="879"/>
      <c r="V243" s="879"/>
      <c r="W243" s="879"/>
      <c r="X243" s="879"/>
      <c r="Y243" s="879"/>
      <c r="Z243" s="879"/>
      <c r="AA243" s="879"/>
      <c r="AB243" s="879"/>
      <c r="AC243" s="879"/>
      <c r="AD243" s="879"/>
      <c r="AE243" s="879"/>
      <c r="AF243" s="879"/>
      <c r="AG243" s="879"/>
    </row>
    <row r="244" spans="1:33" s="240" customFormat="1" ht="45" hidden="1" customHeight="1" outlineLevel="2" x14ac:dyDescent="0.25">
      <c r="A244" s="267"/>
      <c r="B244" s="635"/>
      <c r="C244" s="243"/>
      <c r="D244" s="540"/>
      <c r="E244" s="635"/>
      <c r="F244" s="337" t="str">
        <f t="shared" si="9"/>
        <v/>
      </c>
      <c r="G244" s="1080" t="str">
        <f t="shared" si="8"/>
        <v/>
      </c>
      <c r="H244" s="879"/>
      <c r="I244" s="879"/>
      <c r="J244" s="879"/>
      <c r="K244" s="879"/>
      <c r="L244" s="879"/>
      <c r="M244" s="879"/>
      <c r="N244" s="879"/>
      <c r="O244" s="879"/>
      <c r="P244" s="879"/>
      <c r="Q244" s="879"/>
      <c r="R244" s="879"/>
      <c r="S244" s="879"/>
      <c r="T244" s="879"/>
      <c r="U244" s="879"/>
      <c r="V244" s="879"/>
      <c r="W244" s="879"/>
      <c r="X244" s="879"/>
      <c r="Y244" s="879"/>
      <c r="Z244" s="879"/>
      <c r="AA244" s="879"/>
      <c r="AB244" s="879"/>
      <c r="AC244" s="879"/>
      <c r="AD244" s="879"/>
      <c r="AE244" s="879"/>
      <c r="AF244" s="879"/>
      <c r="AG244" s="879"/>
    </row>
    <row r="245" spans="1:33" s="240" customFormat="1" ht="45" hidden="1" customHeight="1" outlineLevel="2" x14ac:dyDescent="0.25">
      <c r="A245" s="267"/>
      <c r="B245" s="635"/>
      <c r="C245" s="243"/>
      <c r="D245" s="540"/>
      <c r="E245" s="635"/>
      <c r="F245" s="337" t="str">
        <f t="shared" si="9"/>
        <v/>
      </c>
      <c r="G245" s="1080" t="str">
        <f t="shared" si="8"/>
        <v/>
      </c>
      <c r="H245" s="879"/>
      <c r="I245" s="879"/>
      <c r="J245" s="879"/>
      <c r="K245" s="879"/>
      <c r="L245" s="879"/>
      <c r="M245" s="879"/>
      <c r="N245" s="879"/>
      <c r="O245" s="879"/>
      <c r="P245" s="879"/>
      <c r="Q245" s="879"/>
      <c r="R245" s="879"/>
      <c r="S245" s="879"/>
      <c r="T245" s="879"/>
      <c r="U245" s="879"/>
      <c r="V245" s="879"/>
      <c r="W245" s="879"/>
      <c r="X245" s="879"/>
      <c r="Y245" s="879"/>
      <c r="Z245" s="879"/>
      <c r="AA245" s="879"/>
      <c r="AB245" s="879"/>
      <c r="AC245" s="879"/>
      <c r="AD245" s="879"/>
      <c r="AE245" s="879"/>
      <c r="AF245" s="879"/>
      <c r="AG245" s="879"/>
    </row>
    <row r="246" spans="1:33" s="240" customFormat="1" ht="45" hidden="1" customHeight="1" outlineLevel="2" x14ac:dyDescent="0.25">
      <c r="A246" s="267"/>
      <c r="B246" s="635"/>
      <c r="C246" s="243"/>
      <c r="D246" s="540"/>
      <c r="E246" s="635"/>
      <c r="F246" s="337" t="str">
        <f t="shared" si="9"/>
        <v/>
      </c>
      <c r="G246" s="1080" t="str">
        <f t="shared" si="8"/>
        <v/>
      </c>
      <c r="H246" s="879"/>
      <c r="I246" s="879"/>
      <c r="J246" s="879"/>
      <c r="K246" s="879"/>
      <c r="L246" s="879"/>
      <c r="M246" s="879"/>
      <c r="N246" s="879"/>
      <c r="O246" s="879"/>
      <c r="P246" s="879"/>
      <c r="Q246" s="879"/>
      <c r="R246" s="879"/>
      <c r="S246" s="879"/>
      <c r="T246" s="879"/>
      <c r="U246" s="879"/>
      <c r="V246" s="879"/>
      <c r="W246" s="879"/>
      <c r="X246" s="879"/>
      <c r="Y246" s="879"/>
      <c r="Z246" s="879"/>
      <c r="AA246" s="879"/>
      <c r="AB246" s="879"/>
      <c r="AC246" s="879"/>
      <c r="AD246" s="879"/>
      <c r="AE246" s="879"/>
      <c r="AF246" s="879"/>
      <c r="AG246" s="879"/>
    </row>
    <row r="247" spans="1:33" s="240" customFormat="1" ht="45" hidden="1" customHeight="1" outlineLevel="2" x14ac:dyDescent="0.25">
      <c r="A247" s="267"/>
      <c r="B247" s="635"/>
      <c r="C247" s="243"/>
      <c r="D247" s="540"/>
      <c r="E247" s="635"/>
      <c r="F247" s="337" t="str">
        <f t="shared" si="9"/>
        <v/>
      </c>
      <c r="G247" s="1080" t="str">
        <f t="shared" si="8"/>
        <v/>
      </c>
      <c r="H247" s="879"/>
      <c r="I247" s="879"/>
      <c r="J247" s="879"/>
      <c r="K247" s="879"/>
      <c r="L247" s="879"/>
      <c r="M247" s="879"/>
      <c r="N247" s="879"/>
      <c r="O247" s="879"/>
      <c r="P247" s="879"/>
      <c r="Q247" s="879"/>
      <c r="R247" s="879"/>
      <c r="S247" s="879"/>
      <c r="T247" s="879"/>
      <c r="U247" s="879"/>
      <c r="V247" s="879"/>
      <c r="W247" s="879"/>
      <c r="X247" s="879"/>
      <c r="Y247" s="879"/>
      <c r="Z247" s="879"/>
      <c r="AA247" s="879"/>
      <c r="AB247" s="879"/>
      <c r="AC247" s="879"/>
      <c r="AD247" s="879"/>
      <c r="AE247" s="879"/>
      <c r="AF247" s="879"/>
      <c r="AG247" s="879"/>
    </row>
    <row r="248" spans="1:33" s="240" customFormat="1" ht="45" hidden="1" customHeight="1" outlineLevel="2" x14ac:dyDescent="0.25">
      <c r="A248" s="267"/>
      <c r="B248" s="635"/>
      <c r="C248" s="243"/>
      <c r="D248" s="540"/>
      <c r="E248" s="635"/>
      <c r="F248" s="337" t="str">
        <f t="shared" si="9"/>
        <v/>
      </c>
      <c r="G248" s="1080" t="str">
        <f t="shared" si="8"/>
        <v/>
      </c>
      <c r="H248" s="879"/>
      <c r="I248" s="879"/>
      <c r="J248" s="879"/>
      <c r="K248" s="879"/>
      <c r="L248" s="879"/>
      <c r="M248" s="879"/>
      <c r="N248" s="879"/>
      <c r="O248" s="879"/>
      <c r="P248" s="879"/>
      <c r="Q248" s="879"/>
      <c r="R248" s="879"/>
      <c r="S248" s="879"/>
      <c r="T248" s="879"/>
      <c r="U248" s="879"/>
      <c r="V248" s="879"/>
      <c r="W248" s="879"/>
      <c r="X248" s="879"/>
      <c r="Y248" s="879"/>
      <c r="Z248" s="879"/>
      <c r="AA248" s="879"/>
      <c r="AB248" s="879"/>
      <c r="AC248" s="879"/>
      <c r="AD248" s="879"/>
      <c r="AE248" s="879"/>
      <c r="AF248" s="879"/>
      <c r="AG248" s="879"/>
    </row>
    <row r="249" spans="1:33" s="240" customFormat="1" ht="45" hidden="1" customHeight="1" outlineLevel="2" x14ac:dyDescent="0.25">
      <c r="A249" s="267"/>
      <c r="B249" s="635"/>
      <c r="C249" s="243"/>
      <c r="D249" s="540"/>
      <c r="E249" s="635"/>
      <c r="F249" s="337" t="str">
        <f t="shared" si="9"/>
        <v/>
      </c>
      <c r="G249" s="1080" t="str">
        <f t="shared" si="8"/>
        <v/>
      </c>
      <c r="H249" s="879"/>
      <c r="I249" s="879"/>
      <c r="J249" s="879"/>
      <c r="K249" s="879"/>
      <c r="L249" s="879"/>
      <c r="M249" s="879"/>
      <c r="N249" s="879"/>
      <c r="O249" s="879"/>
      <c r="P249" s="879"/>
      <c r="Q249" s="879"/>
      <c r="R249" s="879"/>
      <c r="S249" s="879"/>
      <c r="T249" s="879"/>
      <c r="U249" s="879"/>
      <c r="V249" s="879"/>
      <c r="W249" s="879"/>
      <c r="X249" s="879"/>
      <c r="Y249" s="879"/>
      <c r="Z249" s="879"/>
      <c r="AA249" s="879"/>
      <c r="AB249" s="879"/>
      <c r="AC249" s="879"/>
      <c r="AD249" s="879"/>
      <c r="AE249" s="879"/>
      <c r="AF249" s="879"/>
      <c r="AG249" s="879"/>
    </row>
    <row r="250" spans="1:33" s="240" customFormat="1" ht="45" hidden="1" customHeight="1" outlineLevel="2" x14ac:dyDescent="0.25">
      <c r="A250" s="267"/>
      <c r="B250" s="635"/>
      <c r="C250" s="243"/>
      <c r="D250" s="540"/>
      <c r="E250" s="635"/>
      <c r="F250" s="337" t="str">
        <f t="shared" si="9"/>
        <v/>
      </c>
      <c r="G250" s="1080" t="str">
        <f t="shared" si="8"/>
        <v/>
      </c>
      <c r="H250" s="879"/>
      <c r="I250" s="879"/>
      <c r="J250" s="879"/>
      <c r="K250" s="879"/>
      <c r="L250" s="879"/>
      <c r="M250" s="879"/>
      <c r="N250" s="879"/>
      <c r="O250" s="879"/>
      <c r="P250" s="879"/>
      <c r="Q250" s="879"/>
      <c r="R250" s="879"/>
      <c r="S250" s="879"/>
      <c r="T250" s="879"/>
      <c r="U250" s="879"/>
      <c r="V250" s="879"/>
      <c r="W250" s="879"/>
      <c r="X250" s="879"/>
      <c r="Y250" s="879"/>
      <c r="Z250" s="879"/>
      <c r="AA250" s="879"/>
      <c r="AB250" s="879"/>
      <c r="AC250" s="879"/>
      <c r="AD250" s="879"/>
      <c r="AE250" s="879"/>
      <c r="AF250" s="879"/>
      <c r="AG250" s="879"/>
    </row>
    <row r="251" spans="1:33" s="240" customFormat="1" ht="45" hidden="1" customHeight="1" outlineLevel="2" x14ac:dyDescent="0.25">
      <c r="A251" s="267"/>
      <c r="B251" s="635"/>
      <c r="C251" s="243"/>
      <c r="D251" s="540"/>
      <c r="E251" s="635"/>
      <c r="F251" s="337" t="str">
        <f t="shared" si="9"/>
        <v/>
      </c>
      <c r="G251" s="1080" t="str">
        <f t="shared" si="8"/>
        <v/>
      </c>
      <c r="H251" s="879"/>
      <c r="I251" s="879"/>
      <c r="J251" s="879"/>
      <c r="K251" s="879"/>
      <c r="L251" s="879"/>
      <c r="M251" s="879"/>
      <c r="N251" s="879"/>
      <c r="O251" s="879"/>
      <c r="P251" s="879"/>
      <c r="Q251" s="879"/>
      <c r="R251" s="879"/>
      <c r="S251" s="879"/>
      <c r="T251" s="879"/>
      <c r="U251" s="879"/>
      <c r="V251" s="879"/>
      <c r="W251" s="879"/>
      <c r="X251" s="879"/>
      <c r="Y251" s="879"/>
      <c r="Z251" s="879"/>
      <c r="AA251" s="879"/>
      <c r="AB251" s="879"/>
      <c r="AC251" s="879"/>
      <c r="AD251" s="879"/>
      <c r="AE251" s="879"/>
      <c r="AF251" s="879"/>
      <c r="AG251" s="879"/>
    </row>
    <row r="252" spans="1:33" s="240" customFormat="1" ht="45" hidden="1" customHeight="1" outlineLevel="2" x14ac:dyDescent="0.25">
      <c r="A252" s="267"/>
      <c r="B252" s="635"/>
      <c r="C252" s="243"/>
      <c r="D252" s="540"/>
      <c r="E252" s="635"/>
      <c r="F252" s="337" t="str">
        <f t="shared" si="9"/>
        <v/>
      </c>
      <c r="G252" s="1080" t="str">
        <f t="shared" si="8"/>
        <v/>
      </c>
      <c r="H252" s="879"/>
      <c r="I252" s="879"/>
      <c r="J252" s="879"/>
      <c r="K252" s="879"/>
      <c r="L252" s="879"/>
      <c r="M252" s="879"/>
      <c r="N252" s="879"/>
      <c r="O252" s="879"/>
      <c r="P252" s="879"/>
      <c r="Q252" s="879"/>
      <c r="R252" s="879"/>
      <c r="S252" s="879"/>
      <c r="T252" s="879"/>
      <c r="U252" s="879"/>
      <c r="V252" s="879"/>
      <c r="W252" s="879"/>
      <c r="X252" s="879"/>
      <c r="Y252" s="879"/>
      <c r="Z252" s="879"/>
      <c r="AA252" s="879"/>
      <c r="AB252" s="879"/>
      <c r="AC252" s="879"/>
      <c r="AD252" s="879"/>
      <c r="AE252" s="879"/>
      <c r="AF252" s="879"/>
      <c r="AG252" s="879"/>
    </row>
    <row r="253" spans="1:33" s="240" customFormat="1" ht="45" hidden="1" customHeight="1" outlineLevel="2" x14ac:dyDescent="0.25">
      <c r="A253" s="267"/>
      <c r="B253" s="635"/>
      <c r="C253" s="243"/>
      <c r="D253" s="540"/>
      <c r="E253" s="635"/>
      <c r="F253" s="337" t="str">
        <f t="shared" si="9"/>
        <v/>
      </c>
      <c r="G253" s="1080" t="str">
        <f t="shared" si="8"/>
        <v/>
      </c>
      <c r="H253" s="879"/>
      <c r="I253" s="879"/>
      <c r="J253" s="879"/>
      <c r="K253" s="879"/>
      <c r="L253" s="879"/>
      <c r="M253" s="879"/>
      <c r="N253" s="879"/>
      <c r="O253" s="879"/>
      <c r="P253" s="879"/>
      <c r="Q253" s="879"/>
      <c r="R253" s="879"/>
      <c r="S253" s="879"/>
      <c r="T253" s="879"/>
      <c r="U253" s="879"/>
      <c r="V253" s="879"/>
      <c r="W253" s="879"/>
      <c r="X253" s="879"/>
      <c r="Y253" s="879"/>
      <c r="Z253" s="879"/>
      <c r="AA253" s="879"/>
      <c r="AB253" s="879"/>
      <c r="AC253" s="879"/>
      <c r="AD253" s="879"/>
      <c r="AE253" s="879"/>
      <c r="AF253" s="879"/>
      <c r="AG253" s="879"/>
    </row>
    <row r="254" spans="1:33" s="240" customFormat="1" ht="21" customHeight="1" outlineLevel="1" collapsed="1" x14ac:dyDescent="0.25">
      <c r="A254" s="166"/>
      <c r="B254" s="882" t="s">
        <v>37</v>
      </c>
      <c r="C254" s="872">
        <f>SUM(C154:C253)</f>
        <v>0</v>
      </c>
      <c r="D254" s="883"/>
      <c r="E254" s="884"/>
      <c r="F254" s="874">
        <f>SUM(F154:F253)</f>
        <v>0</v>
      </c>
      <c r="G254" s="879"/>
      <c r="H254" s="879"/>
      <c r="I254" s="879"/>
      <c r="J254" s="879"/>
      <c r="K254" s="879"/>
      <c r="L254" s="879"/>
      <c r="M254" s="879"/>
      <c r="N254" s="879"/>
      <c r="O254" s="879"/>
      <c r="P254" s="879"/>
      <c r="Q254" s="879"/>
      <c r="R254" s="879"/>
      <c r="S254" s="879"/>
      <c r="T254" s="879"/>
      <c r="U254" s="879"/>
      <c r="V254" s="879"/>
      <c r="W254" s="879"/>
      <c r="X254" s="879"/>
      <c r="Y254" s="879"/>
      <c r="Z254" s="879"/>
      <c r="AA254" s="879"/>
      <c r="AB254" s="879"/>
      <c r="AC254" s="879"/>
      <c r="AD254" s="879"/>
      <c r="AE254" s="879"/>
      <c r="AF254" s="879"/>
      <c r="AG254" s="879"/>
    </row>
    <row r="255" spans="1:33" ht="22.5" customHeight="1" outlineLevel="1" x14ac:dyDescent="0.25"/>
    <row r="256" spans="1:33" outlineLevel="1" x14ac:dyDescent="0.25"/>
    <row r="257" spans="2:8" outlineLevel="1" x14ac:dyDescent="0.25"/>
    <row r="258" spans="2:8" outlineLevel="1" x14ac:dyDescent="0.25"/>
    <row r="259" spans="2:8" outlineLevel="1" x14ac:dyDescent="0.25"/>
    <row r="260" spans="2:8" x14ac:dyDescent="0.25"/>
    <row r="261" spans="2:8" x14ac:dyDescent="0.25"/>
    <row r="262" spans="2:8" x14ac:dyDescent="0.25"/>
    <row r="263" spans="2:8" s="332" customFormat="1" ht="30" customHeight="1" x14ac:dyDescent="0.25">
      <c r="B263" s="231" t="s">
        <v>604</v>
      </c>
    </row>
    <row r="264" spans="2:8" x14ac:dyDescent="0.25"/>
    <row r="265" spans="2:8" ht="18.75" x14ac:dyDescent="0.35">
      <c r="E265" s="831" t="s">
        <v>1236</v>
      </c>
    </row>
    <row r="266" spans="2:8" x14ac:dyDescent="0.25">
      <c r="E266" s="885" t="s">
        <v>1640</v>
      </c>
    </row>
    <row r="267" spans="2:8" s="204" customFormat="1" x14ac:dyDescent="0.25">
      <c r="B267" s="1238" t="s">
        <v>37</v>
      </c>
      <c r="C267" s="1239"/>
      <c r="D267" s="1239"/>
      <c r="E267" s="886">
        <f>SUM(E268:E270)</f>
        <v>0</v>
      </c>
    </row>
    <row r="268" spans="2:8" x14ac:dyDescent="0.25">
      <c r="B268" s="1267" t="s">
        <v>1637</v>
      </c>
      <c r="C268" s="1267"/>
      <c r="D268" s="1267"/>
      <c r="E268" s="814">
        <f>G133</f>
        <v>0</v>
      </c>
      <c r="G268" s="168"/>
      <c r="H268" s="168"/>
    </row>
    <row r="269" spans="2:8" x14ac:dyDescent="0.25">
      <c r="B269" s="855" t="s">
        <v>1638</v>
      </c>
      <c r="C269" s="856"/>
      <c r="D269" s="856"/>
      <c r="E269" s="814">
        <f>H133</f>
        <v>0</v>
      </c>
      <c r="G269" s="168"/>
      <c r="H269" s="168"/>
    </row>
    <row r="270" spans="2:8" x14ac:dyDescent="0.25">
      <c r="B270" s="1238" t="s">
        <v>1639</v>
      </c>
      <c r="C270" s="1239"/>
      <c r="D270" s="1239"/>
      <c r="E270" s="814">
        <f>F254</f>
        <v>0</v>
      </c>
      <c r="G270" s="887"/>
      <c r="H270" s="887"/>
    </row>
    <row r="271" spans="2:8" x14ac:dyDescent="0.25"/>
    <row r="272" spans="2:8" x14ac:dyDescent="0.25">
      <c r="B272" s="834"/>
      <c r="C272" s="834"/>
      <c r="D272" s="834"/>
      <c r="E272" s="888"/>
      <c r="F272" s="888"/>
      <c r="G272" s="888"/>
    </row>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sheetData>
  <sheetProtection formatRows="0" selectLockedCells="1"/>
  <protectedRanges>
    <protectedRange sqref="B155:E164 B166:E253 B165:C165 E165 B154:C154 E154" name="EET2"/>
    <protectedRange sqref="B33:C132" name="EET1"/>
  </protectedRanges>
  <mergeCells count="21">
    <mergeCell ref="B23:F23"/>
    <mergeCell ref="B267:D267"/>
    <mergeCell ref="B270:D270"/>
    <mergeCell ref="C149:C151"/>
    <mergeCell ref="B268:D268"/>
    <mergeCell ref="B24:F24"/>
    <mergeCell ref="B25:G25"/>
    <mergeCell ref="B145:F145"/>
    <mergeCell ref="B140:F140"/>
    <mergeCell ref="B146:F146"/>
    <mergeCell ref="B30:B31"/>
    <mergeCell ref="D30:D31"/>
    <mergeCell ref="E30:E31"/>
    <mergeCell ref="F30:F31"/>
    <mergeCell ref="G30:G31"/>
    <mergeCell ref="H30:H31"/>
    <mergeCell ref="B149:B152"/>
    <mergeCell ref="D149:D152"/>
    <mergeCell ref="E149:E152"/>
    <mergeCell ref="F149:F152"/>
    <mergeCell ref="B144:F144"/>
  </mergeCells>
  <conditionalFormatting sqref="C31">
    <cfRule type="beginsWith" dxfId="56" priority="3" operator="beginsWith" text="Erro">
      <formula>LEFT(C31,LEN("Erro"))="Erro"</formula>
    </cfRule>
  </conditionalFormatting>
  <conditionalFormatting sqref="C152">
    <cfRule type="beginsWith" dxfId="55" priority="1" operator="beginsWith" text="Erro">
      <formula>LEFT(C152,LEN("Erro"))="Erro"</formula>
    </cfRule>
  </conditionalFormatting>
  <conditionalFormatting sqref="G154:G253">
    <cfRule type="beginsWith" dxfId="54" priority="2" operator="beginsWith" text="Erro">
      <formula>LEFT(G154,LEN("Erro"))="Erro"</formula>
    </cfRule>
  </conditionalFormatting>
  <conditionalFormatting sqref="I33:I132">
    <cfRule type="beginsWith" dxfId="53" priority="4" operator="beginsWith" text="Erro">
      <formula>LEFT(I33,LEN("Erro"))="Erro"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D288A310-A6B7-4D14-9B78-F1043731ECCC}">
            <xm:f>Triagem!$C$30=""</xm:f>
            <x14:dxf>
              <font>
                <color rgb="FFFF0000"/>
              </font>
              <fill>
                <patternFill>
                  <bgColor theme="7" tint="0.79998168889431442"/>
                </patternFill>
              </fill>
            </x14:dxf>
          </x14:cfRule>
          <xm:sqref>B9:C9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B9975-F0E5-499D-92A7-13D8BA77DD64}">
  <dimension ref="B11:L166"/>
  <sheetViews>
    <sheetView showGridLines="0" zoomScale="70" zoomScaleNormal="70" workbookViewId="0">
      <selection activeCell="K40" sqref="K40"/>
    </sheetView>
  </sheetViews>
  <sheetFormatPr defaultRowHeight="15" x14ac:dyDescent="0.25"/>
  <cols>
    <col min="2" max="2" width="35.75" customWidth="1"/>
    <col min="3" max="5" width="19.375" customWidth="1"/>
    <col min="6" max="6" width="28.625" customWidth="1"/>
    <col min="7" max="7" width="16" customWidth="1"/>
    <col min="8" max="8" width="22.25" customWidth="1"/>
    <col min="9" max="9" width="21.5" customWidth="1"/>
    <col min="10" max="10" width="28.25" customWidth="1"/>
    <col min="11" max="11" width="27.5" customWidth="1"/>
    <col min="12" max="12" width="13" customWidth="1"/>
    <col min="13" max="13" width="18.625" customWidth="1"/>
    <col min="14" max="14" width="16.375" bestFit="1" customWidth="1"/>
    <col min="15" max="15" width="24.125" bestFit="1" customWidth="1"/>
    <col min="16" max="18" width="16.375" bestFit="1" customWidth="1"/>
    <col min="19" max="19" width="24.125" bestFit="1" customWidth="1"/>
    <col min="20" max="20" width="33.25" bestFit="1" customWidth="1"/>
  </cols>
  <sheetData>
    <row r="11" spans="2:4" s="30" customFormat="1" ht="21.75" x14ac:dyDescent="0.6">
      <c r="B11" s="12" t="s">
        <v>248</v>
      </c>
    </row>
    <row r="13" spans="2:4" ht="19.5" x14ac:dyDescent="0.55000000000000004">
      <c r="B13" s="2"/>
      <c r="C13" s="45" t="s">
        <v>405</v>
      </c>
      <c r="D13" s="47" t="s">
        <v>307</v>
      </c>
    </row>
    <row r="14" spans="2:4" ht="19.5" x14ac:dyDescent="0.25">
      <c r="B14" s="13" t="e">
        <f>'Fatores de Emissão'!#REF!</f>
        <v>#REF!</v>
      </c>
      <c r="C14" s="6" t="e">
        <f>Identificação!#REF!</f>
        <v>#REF!</v>
      </c>
      <c r="D14" s="6" t="e">
        <f>Identificação!#REF!</f>
        <v>#REF!</v>
      </c>
    </row>
    <row r="15" spans="2:4" ht="19.5" x14ac:dyDescent="0.25">
      <c r="B15" s="14" t="e">
        <f>'Fatores de Emissão'!#REF!</f>
        <v>#REF!</v>
      </c>
      <c r="C15" s="6" t="e">
        <f>Identificação!#REF!</f>
        <v>#REF!</v>
      </c>
      <c r="D15" s="6" t="e">
        <f>Identificação!#REF!</f>
        <v>#REF!</v>
      </c>
    </row>
    <row r="16" spans="2:4" ht="19.5" x14ac:dyDescent="0.25">
      <c r="B16" s="15" t="e">
        <f>'Fatores de Emissão'!#REF!</f>
        <v>#REF!</v>
      </c>
      <c r="C16" s="6" t="e">
        <f>Identificação!#REF!</f>
        <v>#REF!</v>
      </c>
      <c r="D16" s="6" t="e">
        <f>Identificação!#REF!</f>
        <v>#REF!</v>
      </c>
    </row>
    <row r="17" spans="2:12" x14ac:dyDescent="0.25">
      <c r="G17" t="s">
        <v>833</v>
      </c>
    </row>
    <row r="18" spans="2:12" ht="69.599999999999994" customHeight="1" x14ac:dyDescent="0.25">
      <c r="B18" s="58" t="s">
        <v>249</v>
      </c>
      <c r="C18" s="58" t="s">
        <v>488</v>
      </c>
      <c r="D18" s="58" t="s">
        <v>489</v>
      </c>
      <c r="E18" s="58" t="s">
        <v>488</v>
      </c>
      <c r="G18" s="133" t="s">
        <v>32</v>
      </c>
      <c r="H18" s="133" t="s">
        <v>834</v>
      </c>
      <c r="I18" s="133" t="s">
        <v>835</v>
      </c>
      <c r="J18" s="133" t="s">
        <v>838</v>
      </c>
      <c r="K18" s="133" t="s">
        <v>836</v>
      </c>
      <c r="L18" s="133" t="s">
        <v>837</v>
      </c>
    </row>
    <row r="19" spans="2:12" ht="18.75" x14ac:dyDescent="0.25">
      <c r="B19" s="56" t="e">
        <f>'Fatores de Emissão'!#REF!</f>
        <v>#REF!</v>
      </c>
      <c r="C19" s="59" t="e">
        <f>'Fatores de Emissão'!#REF!</f>
        <v>#REF!</v>
      </c>
      <c r="D19" s="56" t="e">
        <f>'Fatores de Emissão'!#REF!</f>
        <v>#REF!</v>
      </c>
      <c r="E19" s="59" t="e">
        <f>'Fatores de Emissão'!#REF!</f>
        <v>#REF!</v>
      </c>
      <c r="G19" s="22" t="e">
        <f t="shared" ref="G19:H21" si="0">B14</f>
        <v>#REF!</v>
      </c>
      <c r="H19" s="22" t="e">
        <f t="shared" si="0"/>
        <v>#REF!</v>
      </c>
      <c r="I19" s="22" t="e">
        <f>IF(D14="", 'Fatores de Emissão'!#REF!+C14,D14+C14)</f>
        <v>#REF!</v>
      </c>
      <c r="J19" s="134" t="e">
        <f t="shared" ref="J19:K21" si="1">IF(H19&gt;$B$47,$E$47,VLOOKUP(H19,$B$19:$E$47,4,FALSE))</f>
        <v>#REF!</v>
      </c>
      <c r="K19" s="134" t="e">
        <f t="shared" si="1"/>
        <v>#REF!</v>
      </c>
      <c r="L19" s="134" t="e">
        <f>(J19+K19)/2</f>
        <v>#REF!</v>
      </c>
    </row>
    <row r="20" spans="2:12" ht="18.75" x14ac:dyDescent="0.25">
      <c r="B20" s="56" t="e">
        <f>'Fatores de Emissão'!#REF!</f>
        <v>#REF!</v>
      </c>
      <c r="C20" s="59" t="e">
        <f>'Fatores de Emissão'!#REF!</f>
        <v>#REF!</v>
      </c>
      <c r="D20" s="56" t="e">
        <f>'Fatores de Emissão'!#REF!</f>
        <v>#REF!</v>
      </c>
      <c r="E20" s="59" t="e">
        <f>'Fatores de Emissão'!#REF!</f>
        <v>#REF!</v>
      </c>
      <c r="G20" s="22" t="e">
        <f t="shared" si="0"/>
        <v>#REF!</v>
      </c>
      <c r="H20" s="22" t="e">
        <f t="shared" si="0"/>
        <v>#REF!</v>
      </c>
      <c r="I20" s="22" t="e">
        <f>IF(D15="", 'Fatores de Emissão'!#REF!+C15,D15+C15)</f>
        <v>#REF!</v>
      </c>
      <c r="J20" s="134" t="e">
        <f t="shared" si="1"/>
        <v>#REF!</v>
      </c>
      <c r="K20" s="134" t="e">
        <f t="shared" si="1"/>
        <v>#REF!</v>
      </c>
      <c r="L20" s="134" t="e">
        <f>(J20+K20)/2</f>
        <v>#REF!</v>
      </c>
    </row>
    <row r="21" spans="2:12" ht="18.75" x14ac:dyDescent="0.25">
      <c r="B21" s="56" t="e">
        <f>'Fatores de Emissão'!#REF!</f>
        <v>#REF!</v>
      </c>
      <c r="C21" s="59" t="e">
        <f>'Fatores de Emissão'!#REF!</f>
        <v>#REF!</v>
      </c>
      <c r="D21" s="56" t="e">
        <f>'Fatores de Emissão'!#REF!</f>
        <v>#REF!</v>
      </c>
      <c r="E21" s="59" t="e">
        <f>'Fatores de Emissão'!#REF!</f>
        <v>#REF!</v>
      </c>
      <c r="G21" s="22" t="e">
        <f t="shared" si="0"/>
        <v>#REF!</v>
      </c>
      <c r="H21" s="22" t="e">
        <f t="shared" si="0"/>
        <v>#REF!</v>
      </c>
      <c r="I21" s="22" t="e">
        <f>IF(D16="", 'Fatores de Emissão'!#REF!+C16,D16+C16)</f>
        <v>#REF!</v>
      </c>
      <c r="J21" s="134" t="e">
        <f t="shared" si="1"/>
        <v>#REF!</v>
      </c>
      <c r="K21" s="134" t="e">
        <f t="shared" si="1"/>
        <v>#REF!</v>
      </c>
      <c r="L21" s="134" t="e">
        <f>(J21+K21)/2</f>
        <v>#REF!</v>
      </c>
    </row>
    <row r="22" spans="2:12" ht="18.75" x14ac:dyDescent="0.25">
      <c r="B22" s="56" t="e">
        <f>'Fatores de Emissão'!#REF!</f>
        <v>#REF!</v>
      </c>
      <c r="C22" s="59" t="e">
        <f>'Fatores de Emissão'!#REF!</f>
        <v>#REF!</v>
      </c>
      <c r="D22" s="56" t="e">
        <f>'Fatores de Emissão'!#REF!</f>
        <v>#REF!</v>
      </c>
      <c r="E22" s="59" t="e">
        <f>'Fatores de Emissão'!#REF!</f>
        <v>#REF!</v>
      </c>
    </row>
    <row r="23" spans="2:12" ht="18.75" x14ac:dyDescent="0.25">
      <c r="B23" s="56" t="e">
        <f>'Fatores de Emissão'!#REF!</f>
        <v>#REF!</v>
      </c>
      <c r="C23" s="59" t="e">
        <f>'Fatores de Emissão'!#REF!</f>
        <v>#REF!</v>
      </c>
      <c r="D23" s="56" t="e">
        <f>'Fatores de Emissão'!#REF!</f>
        <v>#REF!</v>
      </c>
      <c r="E23" s="59" t="e">
        <f>'Fatores de Emissão'!#REF!</f>
        <v>#REF!</v>
      </c>
    </row>
    <row r="24" spans="2:12" ht="18.75" x14ac:dyDescent="0.25">
      <c r="B24" s="56" t="e">
        <f>'Fatores de Emissão'!#REF!</f>
        <v>#REF!</v>
      </c>
      <c r="C24" s="59" t="e">
        <f>'Fatores de Emissão'!#REF!</f>
        <v>#REF!</v>
      </c>
      <c r="D24" s="56" t="e">
        <f>'Fatores de Emissão'!#REF!</f>
        <v>#REF!</v>
      </c>
      <c r="E24" s="59" t="e">
        <f>'Fatores de Emissão'!#REF!</f>
        <v>#REF!</v>
      </c>
    </row>
    <row r="25" spans="2:12" ht="18.75" x14ac:dyDescent="0.25">
      <c r="B25" s="56" t="e">
        <f>'Fatores de Emissão'!#REF!</f>
        <v>#REF!</v>
      </c>
      <c r="C25" s="59" t="e">
        <f>'Fatores de Emissão'!#REF!</f>
        <v>#REF!</v>
      </c>
      <c r="D25" s="56" t="e">
        <f>'Fatores de Emissão'!#REF!</f>
        <v>#REF!</v>
      </c>
      <c r="E25" s="59" t="e">
        <f>'Fatores de Emissão'!#REF!</f>
        <v>#REF!</v>
      </c>
    </row>
    <row r="26" spans="2:12" ht="18.75" x14ac:dyDescent="0.25">
      <c r="B26" s="56" t="e">
        <f>'Fatores de Emissão'!#REF!</f>
        <v>#REF!</v>
      </c>
      <c r="C26" s="59" t="e">
        <f>'Fatores de Emissão'!#REF!</f>
        <v>#REF!</v>
      </c>
      <c r="D26" s="56" t="e">
        <f>'Fatores de Emissão'!#REF!</f>
        <v>#REF!</v>
      </c>
      <c r="E26" s="59" t="e">
        <f>'Fatores de Emissão'!#REF!</f>
        <v>#REF!</v>
      </c>
    </row>
    <row r="27" spans="2:12" ht="18.75" x14ac:dyDescent="0.25">
      <c r="B27" s="56" t="e">
        <f>'Fatores de Emissão'!#REF!</f>
        <v>#REF!</v>
      </c>
      <c r="C27" s="59" t="e">
        <f>'Fatores de Emissão'!#REF!</f>
        <v>#REF!</v>
      </c>
      <c r="D27" s="56" t="e">
        <f>'Fatores de Emissão'!#REF!</f>
        <v>#REF!</v>
      </c>
      <c r="E27" s="59" t="e">
        <f>'Fatores de Emissão'!#REF!</f>
        <v>#REF!</v>
      </c>
    </row>
    <row r="28" spans="2:12" ht="18.75" x14ac:dyDescent="0.25">
      <c r="B28" s="56" t="e">
        <f>'Fatores de Emissão'!#REF!</f>
        <v>#REF!</v>
      </c>
      <c r="C28" s="59" t="e">
        <f>'Fatores de Emissão'!#REF!</f>
        <v>#REF!</v>
      </c>
      <c r="D28" s="56" t="e">
        <f>'Fatores de Emissão'!#REF!</f>
        <v>#REF!</v>
      </c>
      <c r="E28" s="59" t="e">
        <f>'Fatores de Emissão'!#REF!</f>
        <v>#REF!</v>
      </c>
    </row>
    <row r="29" spans="2:12" ht="18.75" x14ac:dyDescent="0.25">
      <c r="B29" s="56" t="e">
        <f>'Fatores de Emissão'!#REF!</f>
        <v>#REF!</v>
      </c>
      <c r="C29" s="59" t="e">
        <f>'Fatores de Emissão'!#REF!</f>
        <v>#REF!</v>
      </c>
      <c r="D29" s="56" t="e">
        <f>'Fatores de Emissão'!#REF!</f>
        <v>#REF!</v>
      </c>
      <c r="E29" s="59" t="e">
        <f>'Fatores de Emissão'!#REF!</f>
        <v>#REF!</v>
      </c>
    </row>
    <row r="30" spans="2:12" ht="18.75" x14ac:dyDescent="0.25">
      <c r="B30" s="56" t="e">
        <f>'Fatores de Emissão'!#REF!</f>
        <v>#REF!</v>
      </c>
      <c r="C30" s="59" t="e">
        <f>'Fatores de Emissão'!#REF!</f>
        <v>#REF!</v>
      </c>
      <c r="D30" s="56" t="e">
        <f>'Fatores de Emissão'!#REF!</f>
        <v>#REF!</v>
      </c>
      <c r="E30" s="59" t="e">
        <f>'Fatores de Emissão'!#REF!</f>
        <v>#REF!</v>
      </c>
    </row>
    <row r="31" spans="2:12" ht="18.75" x14ac:dyDescent="0.25">
      <c r="B31" s="56" t="e">
        <f>'Fatores de Emissão'!#REF!</f>
        <v>#REF!</v>
      </c>
      <c r="C31" s="59" t="e">
        <f>'Fatores de Emissão'!#REF!</f>
        <v>#REF!</v>
      </c>
      <c r="D31" s="56" t="e">
        <f>'Fatores de Emissão'!#REF!</f>
        <v>#REF!</v>
      </c>
      <c r="E31" s="59" t="e">
        <f>'Fatores de Emissão'!#REF!</f>
        <v>#REF!</v>
      </c>
    </row>
    <row r="32" spans="2:12" ht="18.75" x14ac:dyDescent="0.25">
      <c r="B32" s="56" t="e">
        <f>'Fatores de Emissão'!#REF!</f>
        <v>#REF!</v>
      </c>
      <c r="C32" s="59" t="e">
        <f>'Fatores de Emissão'!#REF!</f>
        <v>#REF!</v>
      </c>
      <c r="D32" s="56" t="e">
        <f>'Fatores de Emissão'!#REF!</f>
        <v>#REF!</v>
      </c>
      <c r="E32" s="59" t="e">
        <f>'Fatores de Emissão'!#REF!</f>
        <v>#REF!</v>
      </c>
    </row>
    <row r="33" spans="2:5" ht="18.75" x14ac:dyDescent="0.25">
      <c r="B33" s="56" t="e">
        <f>'Fatores de Emissão'!#REF!</f>
        <v>#REF!</v>
      </c>
      <c r="C33" s="59" t="e">
        <f>'Fatores de Emissão'!#REF!</f>
        <v>#REF!</v>
      </c>
      <c r="D33" s="56" t="e">
        <f>'Fatores de Emissão'!#REF!</f>
        <v>#REF!</v>
      </c>
      <c r="E33" s="59" t="e">
        <f>'Fatores de Emissão'!#REF!</f>
        <v>#REF!</v>
      </c>
    </row>
    <row r="34" spans="2:5" ht="18.75" x14ac:dyDescent="0.25">
      <c r="B34" s="56" t="e">
        <f>'Fatores de Emissão'!#REF!</f>
        <v>#REF!</v>
      </c>
      <c r="C34" s="59" t="e">
        <f>'Fatores de Emissão'!#REF!</f>
        <v>#REF!</v>
      </c>
      <c r="D34" s="56" t="e">
        <f>'Fatores de Emissão'!#REF!</f>
        <v>#REF!</v>
      </c>
      <c r="E34" s="59" t="e">
        <f>'Fatores de Emissão'!#REF!</f>
        <v>#REF!</v>
      </c>
    </row>
    <row r="35" spans="2:5" ht="18.75" x14ac:dyDescent="0.25">
      <c r="B35" s="56" t="e">
        <f>'Fatores de Emissão'!#REF!</f>
        <v>#REF!</v>
      </c>
      <c r="C35" s="59" t="e">
        <f>'Fatores de Emissão'!#REF!</f>
        <v>#REF!</v>
      </c>
      <c r="D35" s="56" t="e">
        <f>'Fatores de Emissão'!#REF!</f>
        <v>#REF!</v>
      </c>
      <c r="E35" s="59" t="e">
        <f>'Fatores de Emissão'!#REF!</f>
        <v>#REF!</v>
      </c>
    </row>
    <row r="36" spans="2:5" ht="18.75" x14ac:dyDescent="0.25">
      <c r="B36" s="56" t="e">
        <f>'Fatores de Emissão'!#REF!</f>
        <v>#REF!</v>
      </c>
      <c r="C36" s="59" t="e">
        <f>'Fatores de Emissão'!#REF!</f>
        <v>#REF!</v>
      </c>
      <c r="D36" s="56" t="e">
        <f>'Fatores de Emissão'!#REF!</f>
        <v>#REF!</v>
      </c>
      <c r="E36" s="59" t="e">
        <f>'Fatores de Emissão'!#REF!</f>
        <v>#REF!</v>
      </c>
    </row>
    <row r="37" spans="2:5" ht="18.75" x14ac:dyDescent="0.25">
      <c r="B37" s="56" t="e">
        <f>'Fatores de Emissão'!#REF!</f>
        <v>#REF!</v>
      </c>
      <c r="C37" s="59" t="e">
        <f>'Fatores de Emissão'!#REF!</f>
        <v>#REF!</v>
      </c>
      <c r="D37" s="56" t="e">
        <f>'Fatores de Emissão'!#REF!</f>
        <v>#REF!</v>
      </c>
      <c r="E37" s="59" t="e">
        <f>'Fatores de Emissão'!#REF!</f>
        <v>#REF!</v>
      </c>
    </row>
    <row r="38" spans="2:5" ht="18.75" x14ac:dyDescent="0.25">
      <c r="B38" s="56" t="e">
        <f>'Fatores de Emissão'!#REF!</f>
        <v>#REF!</v>
      </c>
      <c r="C38" s="59" t="e">
        <f>'Fatores de Emissão'!#REF!</f>
        <v>#REF!</v>
      </c>
      <c r="D38" s="56" t="e">
        <f>'Fatores de Emissão'!#REF!</f>
        <v>#REF!</v>
      </c>
      <c r="E38" s="59" t="e">
        <f>'Fatores de Emissão'!#REF!</f>
        <v>#REF!</v>
      </c>
    </row>
    <row r="39" spans="2:5" ht="18.75" x14ac:dyDescent="0.25">
      <c r="B39" s="56" t="e">
        <f>'Fatores de Emissão'!#REF!</f>
        <v>#REF!</v>
      </c>
      <c r="C39" s="59" t="e">
        <f>'Fatores de Emissão'!#REF!</f>
        <v>#REF!</v>
      </c>
      <c r="D39" s="56" t="e">
        <f>'Fatores de Emissão'!#REF!</f>
        <v>#REF!</v>
      </c>
      <c r="E39" s="59" t="e">
        <f>'Fatores de Emissão'!#REF!</f>
        <v>#REF!</v>
      </c>
    </row>
    <row r="40" spans="2:5" ht="18.75" x14ac:dyDescent="0.25">
      <c r="B40" s="56" t="e">
        <f>'Fatores de Emissão'!#REF!</f>
        <v>#REF!</v>
      </c>
      <c r="C40" s="59" t="e">
        <f>'Fatores de Emissão'!#REF!</f>
        <v>#REF!</v>
      </c>
      <c r="D40" s="56" t="e">
        <f>'Fatores de Emissão'!#REF!</f>
        <v>#REF!</v>
      </c>
      <c r="E40" s="59" t="e">
        <f>'Fatores de Emissão'!#REF!</f>
        <v>#REF!</v>
      </c>
    </row>
    <row r="41" spans="2:5" ht="18.75" x14ac:dyDescent="0.25">
      <c r="B41" s="56" t="e">
        <f>'Fatores de Emissão'!#REF!</f>
        <v>#REF!</v>
      </c>
      <c r="C41" s="59" t="e">
        <f>'Fatores de Emissão'!#REF!</f>
        <v>#REF!</v>
      </c>
      <c r="D41" s="56" t="e">
        <f>'Fatores de Emissão'!#REF!</f>
        <v>#REF!</v>
      </c>
      <c r="E41" s="59" t="e">
        <f>'Fatores de Emissão'!#REF!</f>
        <v>#REF!</v>
      </c>
    </row>
    <row r="42" spans="2:5" ht="18.75" x14ac:dyDescent="0.25">
      <c r="B42" s="56" t="e">
        <f>'Fatores de Emissão'!#REF!</f>
        <v>#REF!</v>
      </c>
      <c r="C42" s="59" t="e">
        <f>'Fatores de Emissão'!#REF!</f>
        <v>#REF!</v>
      </c>
      <c r="D42" s="56" t="e">
        <f>'Fatores de Emissão'!#REF!</f>
        <v>#REF!</v>
      </c>
      <c r="E42" s="59" t="e">
        <f>'Fatores de Emissão'!#REF!</f>
        <v>#REF!</v>
      </c>
    </row>
    <row r="43" spans="2:5" ht="18.75" x14ac:dyDescent="0.25">
      <c r="B43" s="56" t="e">
        <f>'Fatores de Emissão'!#REF!</f>
        <v>#REF!</v>
      </c>
      <c r="C43" s="59" t="e">
        <f>'Fatores de Emissão'!#REF!</f>
        <v>#REF!</v>
      </c>
      <c r="D43" s="56" t="e">
        <f>'Fatores de Emissão'!#REF!</f>
        <v>#REF!</v>
      </c>
      <c r="E43" s="59" t="e">
        <f>'Fatores de Emissão'!#REF!</f>
        <v>#REF!</v>
      </c>
    </row>
    <row r="44" spans="2:5" ht="18.75" x14ac:dyDescent="0.25">
      <c r="B44" s="56" t="e">
        <f>'Fatores de Emissão'!#REF!</f>
        <v>#REF!</v>
      </c>
      <c r="C44" s="59" t="e">
        <f>'Fatores de Emissão'!#REF!</f>
        <v>#REF!</v>
      </c>
      <c r="D44" s="56" t="e">
        <f>'Fatores de Emissão'!#REF!</f>
        <v>#REF!</v>
      </c>
      <c r="E44" s="59" t="e">
        <f>'Fatores de Emissão'!#REF!</f>
        <v>#REF!</v>
      </c>
    </row>
    <row r="45" spans="2:5" ht="18.75" x14ac:dyDescent="0.25">
      <c r="B45" s="56" t="e">
        <f>'Fatores de Emissão'!#REF!</f>
        <v>#REF!</v>
      </c>
      <c r="C45" s="59" t="e">
        <f>'Fatores de Emissão'!#REF!</f>
        <v>#REF!</v>
      </c>
      <c r="D45" s="56" t="e">
        <f>'Fatores de Emissão'!#REF!</f>
        <v>#REF!</v>
      </c>
      <c r="E45" s="59" t="e">
        <f>'Fatores de Emissão'!#REF!</f>
        <v>#REF!</v>
      </c>
    </row>
    <row r="46" spans="2:5" ht="18.75" x14ac:dyDescent="0.25">
      <c r="B46" s="56" t="e">
        <f>'Fatores de Emissão'!#REF!</f>
        <v>#REF!</v>
      </c>
      <c r="C46" s="59" t="e">
        <f>'Fatores de Emissão'!#REF!</f>
        <v>#REF!</v>
      </c>
      <c r="D46" s="56" t="e">
        <f>'Fatores de Emissão'!#REF!</f>
        <v>#REF!</v>
      </c>
      <c r="E46" s="59" t="e">
        <f>'Fatores de Emissão'!#REF!</f>
        <v>#REF!</v>
      </c>
    </row>
    <row r="47" spans="2:5" ht="18.75" x14ac:dyDescent="0.25">
      <c r="B47" s="56" t="e">
        <f>'Fatores de Emissão'!#REF!</f>
        <v>#REF!</v>
      </c>
      <c r="C47" s="59" t="e">
        <f>'Fatores de Emissão'!#REF!</f>
        <v>#REF!</v>
      </c>
      <c r="D47" s="56" t="e">
        <f>'Fatores de Emissão'!#REF!</f>
        <v>#REF!</v>
      </c>
      <c r="E47" s="59" t="e">
        <f>'Fatores de Emissão'!#REF!</f>
        <v>#REF!</v>
      </c>
    </row>
    <row r="48" spans="2:5" ht="18.75" x14ac:dyDescent="0.25">
      <c r="B48" s="56" t="s">
        <v>845</v>
      </c>
      <c r="C48" s="59" t="e">
        <f>C47</f>
        <v>#REF!</v>
      </c>
      <c r="D48" s="59" t="e">
        <f>D47</f>
        <v>#REF!</v>
      </c>
      <c r="E48" s="59" t="e">
        <f>E47</f>
        <v>#REF!</v>
      </c>
    </row>
    <row r="53" spans="2:12" ht="19.5" x14ac:dyDescent="0.25">
      <c r="B53" s="3" t="s">
        <v>32</v>
      </c>
      <c r="C53" s="3" t="s">
        <v>790</v>
      </c>
      <c r="D53" s="13" t="e">
        <f>B14</f>
        <v>#REF!</v>
      </c>
      <c r="E53" s="14" t="e">
        <f>B15</f>
        <v>#REF!</v>
      </c>
      <c r="F53" s="15" t="e">
        <f>B16</f>
        <v>#REF!</v>
      </c>
      <c r="H53" s="3" t="s">
        <v>32</v>
      </c>
      <c r="I53" s="3" t="s">
        <v>790</v>
      </c>
      <c r="J53" s="13" t="e">
        <f>D53</f>
        <v>#REF!</v>
      </c>
      <c r="K53" s="14" t="e">
        <f>E53</f>
        <v>#REF!</v>
      </c>
      <c r="L53" s="15" t="e">
        <f>F53</f>
        <v>#REF!</v>
      </c>
    </row>
    <row r="54" spans="2:12" x14ac:dyDescent="0.25">
      <c r="B54" s="5" t="e">
        <f>'Energia Elétrica e térmica'!#REF!</f>
        <v>#REF!</v>
      </c>
      <c r="C54" s="38" t="str">
        <f>'Energia Elétrica e térmica'!G33</f>
        <v/>
      </c>
      <c r="D54" s="5" t="e">
        <f>IF(B54=$D$53,C54,0)</f>
        <v>#REF!</v>
      </c>
      <c r="E54" s="5" t="e">
        <f>IF(B54=$E$53,C54,0)</f>
        <v>#REF!</v>
      </c>
      <c r="F54" s="5" t="e">
        <f>IF(B54=$F$53,C54,0)</f>
        <v>#REF!</v>
      </c>
      <c r="H54" s="5" t="e">
        <f>'Energia Elétrica e térmica'!#REF!</f>
        <v>#REF!</v>
      </c>
      <c r="I54" s="38">
        <f>'Energia Elétrica e térmica'!D154</f>
        <v>0</v>
      </c>
      <c r="J54" s="5" t="e">
        <f>IF(H54=$J$53,I54,0)</f>
        <v>#REF!</v>
      </c>
      <c r="K54" s="5" t="e">
        <f>IF(H54=$K$53,I54,0)</f>
        <v>#REF!</v>
      </c>
      <c r="L54" s="5" t="e">
        <f>IF(H54=$L$53,I54,0)</f>
        <v>#REF!</v>
      </c>
    </row>
    <row r="55" spans="2:12" x14ac:dyDescent="0.25">
      <c r="B55" s="5" t="e">
        <f>'Energia Elétrica e térmica'!#REF!</f>
        <v>#REF!</v>
      </c>
      <c r="C55" s="38" t="str">
        <f>'Energia Elétrica e térmica'!G34</f>
        <v/>
      </c>
      <c r="D55" s="5" t="e">
        <f t="shared" ref="D55:D118" si="2">IF(B55=$D$53,C55,0)</f>
        <v>#REF!</v>
      </c>
      <c r="E55" s="5" t="e">
        <f t="shared" ref="E55:E118" si="3">IF(B55=$E$53,C55,0)</f>
        <v>#REF!</v>
      </c>
      <c r="F55" s="5" t="e">
        <f t="shared" ref="F55:F118" si="4">IF(B55=$F$53,C55,0)</f>
        <v>#REF!</v>
      </c>
      <c r="H55" s="5" t="e">
        <f>'Energia Elétrica e térmica'!#REF!</f>
        <v>#REF!</v>
      </c>
      <c r="I55" s="38">
        <f>'Energia Elétrica e térmica'!D155</f>
        <v>0</v>
      </c>
      <c r="J55" s="5" t="e">
        <f t="shared" ref="J55:J118" si="5">IF(H55=$J$53,I55,0)</f>
        <v>#REF!</v>
      </c>
      <c r="K55" s="5" t="e">
        <f t="shared" ref="K55:K118" si="6">IF(H55=$K$53,I55,0)</f>
        <v>#REF!</v>
      </c>
      <c r="L55" s="5" t="e">
        <f t="shared" ref="L55:L118" si="7">IF(H55=$L$53,I55,0)</f>
        <v>#REF!</v>
      </c>
    </row>
    <row r="56" spans="2:12" x14ac:dyDescent="0.25">
      <c r="B56" s="5" t="e">
        <f>'Energia Elétrica e térmica'!#REF!</f>
        <v>#REF!</v>
      </c>
      <c r="C56" s="38" t="str">
        <f>'Energia Elétrica e térmica'!G35</f>
        <v/>
      </c>
      <c r="D56" s="5" t="e">
        <f t="shared" si="2"/>
        <v>#REF!</v>
      </c>
      <c r="E56" s="5" t="e">
        <f t="shared" si="3"/>
        <v>#REF!</v>
      </c>
      <c r="F56" s="5" t="e">
        <f t="shared" si="4"/>
        <v>#REF!</v>
      </c>
      <c r="H56" s="5" t="e">
        <f>'Energia Elétrica e térmica'!#REF!</f>
        <v>#REF!</v>
      </c>
      <c r="I56" s="38">
        <f>'Energia Elétrica e térmica'!D156</f>
        <v>0</v>
      </c>
      <c r="J56" s="5" t="e">
        <f t="shared" si="5"/>
        <v>#REF!</v>
      </c>
      <c r="K56" s="5" t="e">
        <f t="shared" si="6"/>
        <v>#REF!</v>
      </c>
      <c r="L56" s="5" t="e">
        <f t="shared" si="7"/>
        <v>#REF!</v>
      </c>
    </row>
    <row r="57" spans="2:12" x14ac:dyDescent="0.25">
      <c r="B57" s="5" t="e">
        <f>'Energia Elétrica e térmica'!#REF!</f>
        <v>#REF!</v>
      </c>
      <c r="C57" s="38" t="str">
        <f>'Energia Elétrica e térmica'!G36</f>
        <v/>
      </c>
      <c r="D57" s="5" t="e">
        <f t="shared" si="2"/>
        <v>#REF!</v>
      </c>
      <c r="E57" s="5" t="e">
        <f t="shared" si="3"/>
        <v>#REF!</v>
      </c>
      <c r="F57" s="5" t="e">
        <f t="shared" si="4"/>
        <v>#REF!</v>
      </c>
      <c r="H57" s="5" t="e">
        <f>'Energia Elétrica e térmica'!#REF!</f>
        <v>#REF!</v>
      </c>
      <c r="I57" s="38">
        <f>'Energia Elétrica e térmica'!D157</f>
        <v>0</v>
      </c>
      <c r="J57" s="5" t="e">
        <f t="shared" si="5"/>
        <v>#REF!</v>
      </c>
      <c r="K57" s="5" t="e">
        <f t="shared" si="6"/>
        <v>#REF!</v>
      </c>
      <c r="L57" s="5" t="e">
        <f t="shared" si="7"/>
        <v>#REF!</v>
      </c>
    </row>
    <row r="58" spans="2:12" x14ac:dyDescent="0.25">
      <c r="B58" s="5" t="e">
        <f>'Energia Elétrica e térmica'!#REF!</f>
        <v>#REF!</v>
      </c>
      <c r="C58" s="38" t="str">
        <f>'Energia Elétrica e térmica'!G37</f>
        <v/>
      </c>
      <c r="D58" s="5" t="e">
        <f t="shared" si="2"/>
        <v>#REF!</v>
      </c>
      <c r="E58" s="5" t="e">
        <f t="shared" si="3"/>
        <v>#REF!</v>
      </c>
      <c r="F58" s="5" t="e">
        <f t="shared" si="4"/>
        <v>#REF!</v>
      </c>
      <c r="H58" s="5" t="e">
        <f>'Energia Elétrica e térmica'!#REF!</f>
        <v>#REF!</v>
      </c>
      <c r="I58" s="38">
        <f>'Energia Elétrica e térmica'!D158</f>
        <v>0</v>
      </c>
      <c r="J58" s="5" t="e">
        <f t="shared" si="5"/>
        <v>#REF!</v>
      </c>
      <c r="K58" s="5" t="e">
        <f t="shared" si="6"/>
        <v>#REF!</v>
      </c>
      <c r="L58" s="5" t="e">
        <f t="shared" si="7"/>
        <v>#REF!</v>
      </c>
    </row>
    <row r="59" spans="2:12" x14ac:dyDescent="0.25">
      <c r="B59" s="5" t="e">
        <f>'Energia Elétrica e térmica'!#REF!</f>
        <v>#REF!</v>
      </c>
      <c r="C59" s="38" t="str">
        <f>'Energia Elétrica e térmica'!G38</f>
        <v/>
      </c>
      <c r="D59" s="5" t="e">
        <f t="shared" si="2"/>
        <v>#REF!</v>
      </c>
      <c r="E59" s="5" t="e">
        <f t="shared" si="3"/>
        <v>#REF!</v>
      </c>
      <c r="F59" s="5" t="e">
        <f t="shared" si="4"/>
        <v>#REF!</v>
      </c>
      <c r="H59" s="5" t="e">
        <f>'Energia Elétrica e térmica'!#REF!</f>
        <v>#REF!</v>
      </c>
      <c r="I59" s="38">
        <f>'Energia Elétrica e térmica'!D159</f>
        <v>0</v>
      </c>
      <c r="J59" s="5" t="e">
        <f t="shared" si="5"/>
        <v>#REF!</v>
      </c>
      <c r="K59" s="5" t="e">
        <f t="shared" si="6"/>
        <v>#REF!</v>
      </c>
      <c r="L59" s="5" t="e">
        <f t="shared" si="7"/>
        <v>#REF!</v>
      </c>
    </row>
    <row r="60" spans="2:12" x14ac:dyDescent="0.25">
      <c r="B60" s="5" t="e">
        <f>'Energia Elétrica e térmica'!#REF!</f>
        <v>#REF!</v>
      </c>
      <c r="C60" s="38" t="str">
        <f>'Energia Elétrica e térmica'!G39</f>
        <v/>
      </c>
      <c r="D60" s="5" t="e">
        <f t="shared" si="2"/>
        <v>#REF!</v>
      </c>
      <c r="E60" s="5" t="e">
        <f t="shared" si="3"/>
        <v>#REF!</v>
      </c>
      <c r="F60" s="5" t="e">
        <f t="shared" si="4"/>
        <v>#REF!</v>
      </c>
      <c r="H60" s="5" t="e">
        <f>'Energia Elétrica e térmica'!#REF!</f>
        <v>#REF!</v>
      </c>
      <c r="I60" s="38">
        <f>'Energia Elétrica e térmica'!D160</f>
        <v>0</v>
      </c>
      <c r="J60" s="5" t="e">
        <f t="shared" si="5"/>
        <v>#REF!</v>
      </c>
      <c r="K60" s="5" t="e">
        <f t="shared" si="6"/>
        <v>#REF!</v>
      </c>
      <c r="L60" s="5" t="e">
        <f t="shared" si="7"/>
        <v>#REF!</v>
      </c>
    </row>
    <row r="61" spans="2:12" x14ac:dyDescent="0.25">
      <c r="B61" s="5" t="e">
        <f>'Energia Elétrica e térmica'!#REF!</f>
        <v>#REF!</v>
      </c>
      <c r="C61" s="38" t="str">
        <f>'Energia Elétrica e térmica'!G40</f>
        <v/>
      </c>
      <c r="D61" s="5" t="e">
        <f t="shared" si="2"/>
        <v>#REF!</v>
      </c>
      <c r="E61" s="5" t="e">
        <f t="shared" si="3"/>
        <v>#REF!</v>
      </c>
      <c r="F61" s="5" t="e">
        <f t="shared" si="4"/>
        <v>#REF!</v>
      </c>
      <c r="H61" s="5" t="e">
        <f>'Energia Elétrica e térmica'!#REF!</f>
        <v>#REF!</v>
      </c>
      <c r="I61" s="38">
        <f>'Energia Elétrica e térmica'!D161</f>
        <v>0</v>
      </c>
      <c r="J61" s="5" t="e">
        <f t="shared" si="5"/>
        <v>#REF!</v>
      </c>
      <c r="K61" s="5" t="e">
        <f t="shared" si="6"/>
        <v>#REF!</v>
      </c>
      <c r="L61" s="5" t="e">
        <f t="shared" si="7"/>
        <v>#REF!</v>
      </c>
    </row>
    <row r="62" spans="2:12" x14ac:dyDescent="0.25">
      <c r="B62" s="5" t="e">
        <f>'Energia Elétrica e térmica'!#REF!</f>
        <v>#REF!</v>
      </c>
      <c r="C62" s="38" t="str">
        <f>'Energia Elétrica e térmica'!G41</f>
        <v/>
      </c>
      <c r="D62" s="5" t="e">
        <f t="shared" si="2"/>
        <v>#REF!</v>
      </c>
      <c r="E62" s="5" t="e">
        <f t="shared" si="3"/>
        <v>#REF!</v>
      </c>
      <c r="F62" s="5" t="e">
        <f t="shared" si="4"/>
        <v>#REF!</v>
      </c>
      <c r="H62" s="5" t="e">
        <f>'Energia Elétrica e térmica'!#REF!</f>
        <v>#REF!</v>
      </c>
      <c r="I62" s="38">
        <f>'Energia Elétrica e térmica'!D162</f>
        <v>0</v>
      </c>
      <c r="J62" s="5" t="e">
        <f t="shared" si="5"/>
        <v>#REF!</v>
      </c>
      <c r="K62" s="5" t="e">
        <f t="shared" si="6"/>
        <v>#REF!</v>
      </c>
      <c r="L62" s="5" t="e">
        <f t="shared" si="7"/>
        <v>#REF!</v>
      </c>
    </row>
    <row r="63" spans="2:12" x14ac:dyDescent="0.25">
      <c r="B63" s="5" t="e">
        <f>'Energia Elétrica e térmica'!#REF!</f>
        <v>#REF!</v>
      </c>
      <c r="C63" s="38" t="str">
        <f>'Energia Elétrica e térmica'!G42</f>
        <v/>
      </c>
      <c r="D63" s="5" t="e">
        <f t="shared" si="2"/>
        <v>#REF!</v>
      </c>
      <c r="E63" s="5" t="e">
        <f t="shared" si="3"/>
        <v>#REF!</v>
      </c>
      <c r="F63" s="5" t="e">
        <f t="shared" si="4"/>
        <v>#REF!</v>
      </c>
      <c r="H63" s="5" t="e">
        <f>'Energia Elétrica e térmica'!#REF!</f>
        <v>#REF!</v>
      </c>
      <c r="I63" s="38">
        <f>'Energia Elétrica e térmica'!D163</f>
        <v>0</v>
      </c>
      <c r="J63" s="5" t="e">
        <f t="shared" si="5"/>
        <v>#REF!</v>
      </c>
      <c r="K63" s="5" t="e">
        <f t="shared" si="6"/>
        <v>#REF!</v>
      </c>
      <c r="L63" s="5" t="e">
        <f t="shared" si="7"/>
        <v>#REF!</v>
      </c>
    </row>
    <row r="64" spans="2:12" x14ac:dyDescent="0.25">
      <c r="B64" s="5" t="e">
        <f>'Energia Elétrica e térmica'!#REF!</f>
        <v>#REF!</v>
      </c>
      <c r="C64" s="38" t="str">
        <f>'Energia Elétrica e térmica'!G43</f>
        <v/>
      </c>
      <c r="D64" s="5" t="e">
        <f t="shared" si="2"/>
        <v>#REF!</v>
      </c>
      <c r="E64" s="5" t="e">
        <f t="shared" si="3"/>
        <v>#REF!</v>
      </c>
      <c r="F64" s="5" t="e">
        <f t="shared" si="4"/>
        <v>#REF!</v>
      </c>
      <c r="H64" s="5" t="e">
        <f>'Energia Elétrica e térmica'!#REF!</f>
        <v>#REF!</v>
      </c>
      <c r="I64" s="38">
        <f>'Energia Elétrica e térmica'!D164</f>
        <v>0</v>
      </c>
      <c r="J64" s="5" t="e">
        <f t="shared" si="5"/>
        <v>#REF!</v>
      </c>
      <c r="K64" s="5" t="e">
        <f t="shared" si="6"/>
        <v>#REF!</v>
      </c>
      <c r="L64" s="5" t="e">
        <f t="shared" si="7"/>
        <v>#REF!</v>
      </c>
    </row>
    <row r="65" spans="2:12" x14ac:dyDescent="0.25">
      <c r="B65" s="5" t="e">
        <f>'Energia Elétrica e térmica'!#REF!</f>
        <v>#REF!</v>
      </c>
      <c r="C65" s="38" t="str">
        <f>'Energia Elétrica e térmica'!G44</f>
        <v/>
      </c>
      <c r="D65" s="5" t="e">
        <f t="shared" si="2"/>
        <v>#REF!</v>
      </c>
      <c r="E65" s="5" t="e">
        <f t="shared" si="3"/>
        <v>#REF!</v>
      </c>
      <c r="F65" s="5" t="e">
        <f t="shared" si="4"/>
        <v>#REF!</v>
      </c>
      <c r="H65" s="5" t="e">
        <f>'Energia Elétrica e térmica'!#REF!</f>
        <v>#REF!</v>
      </c>
      <c r="I65" s="38">
        <f>'Energia Elétrica e térmica'!D165</f>
        <v>0</v>
      </c>
      <c r="J65" s="5" t="e">
        <f t="shared" si="5"/>
        <v>#REF!</v>
      </c>
      <c r="K65" s="5" t="e">
        <f t="shared" si="6"/>
        <v>#REF!</v>
      </c>
      <c r="L65" s="5" t="e">
        <f t="shared" si="7"/>
        <v>#REF!</v>
      </c>
    </row>
    <row r="66" spans="2:12" x14ac:dyDescent="0.25">
      <c r="B66" s="5" t="e">
        <f>'Energia Elétrica e térmica'!#REF!</f>
        <v>#REF!</v>
      </c>
      <c r="C66" s="38" t="str">
        <f>'Energia Elétrica e térmica'!G45</f>
        <v/>
      </c>
      <c r="D66" s="5" t="e">
        <f t="shared" si="2"/>
        <v>#REF!</v>
      </c>
      <c r="E66" s="5" t="e">
        <f t="shared" si="3"/>
        <v>#REF!</v>
      </c>
      <c r="F66" s="5" t="e">
        <f t="shared" si="4"/>
        <v>#REF!</v>
      </c>
      <c r="H66" s="5" t="e">
        <f>'Energia Elétrica e térmica'!#REF!</f>
        <v>#REF!</v>
      </c>
      <c r="I66" s="38">
        <f>'Energia Elétrica e térmica'!D166</f>
        <v>0</v>
      </c>
      <c r="J66" s="5" t="e">
        <f t="shared" si="5"/>
        <v>#REF!</v>
      </c>
      <c r="K66" s="5" t="e">
        <f t="shared" si="6"/>
        <v>#REF!</v>
      </c>
      <c r="L66" s="5" t="e">
        <f t="shared" si="7"/>
        <v>#REF!</v>
      </c>
    </row>
    <row r="67" spans="2:12" x14ac:dyDescent="0.25">
      <c r="B67" s="5" t="e">
        <f>'Energia Elétrica e térmica'!#REF!</f>
        <v>#REF!</v>
      </c>
      <c r="C67" s="38" t="str">
        <f>'Energia Elétrica e térmica'!G46</f>
        <v/>
      </c>
      <c r="D67" s="5" t="e">
        <f t="shared" si="2"/>
        <v>#REF!</v>
      </c>
      <c r="E67" s="5" t="e">
        <f t="shared" si="3"/>
        <v>#REF!</v>
      </c>
      <c r="F67" s="5" t="e">
        <f t="shared" si="4"/>
        <v>#REF!</v>
      </c>
      <c r="H67" s="5" t="e">
        <f>'Energia Elétrica e térmica'!#REF!</f>
        <v>#REF!</v>
      </c>
      <c r="I67" s="38">
        <f>'Energia Elétrica e térmica'!D167</f>
        <v>0</v>
      </c>
      <c r="J67" s="5" t="e">
        <f t="shared" si="5"/>
        <v>#REF!</v>
      </c>
      <c r="K67" s="5" t="e">
        <f t="shared" si="6"/>
        <v>#REF!</v>
      </c>
      <c r="L67" s="5" t="e">
        <f t="shared" si="7"/>
        <v>#REF!</v>
      </c>
    </row>
    <row r="68" spans="2:12" x14ac:dyDescent="0.25">
      <c r="B68" s="5" t="e">
        <f>'Energia Elétrica e térmica'!#REF!</f>
        <v>#REF!</v>
      </c>
      <c r="C68" s="38" t="str">
        <f>'Energia Elétrica e térmica'!G47</f>
        <v/>
      </c>
      <c r="D68" s="5" t="e">
        <f t="shared" si="2"/>
        <v>#REF!</v>
      </c>
      <c r="E68" s="5" t="e">
        <f t="shared" si="3"/>
        <v>#REF!</v>
      </c>
      <c r="F68" s="5" t="e">
        <f t="shared" si="4"/>
        <v>#REF!</v>
      </c>
      <c r="H68" s="5" t="e">
        <f>'Energia Elétrica e térmica'!#REF!</f>
        <v>#REF!</v>
      </c>
      <c r="I68" s="38">
        <f>'Energia Elétrica e térmica'!D168</f>
        <v>0</v>
      </c>
      <c r="J68" s="5" t="e">
        <f t="shared" si="5"/>
        <v>#REF!</v>
      </c>
      <c r="K68" s="5" t="e">
        <f t="shared" si="6"/>
        <v>#REF!</v>
      </c>
      <c r="L68" s="5" t="e">
        <f t="shared" si="7"/>
        <v>#REF!</v>
      </c>
    </row>
    <row r="69" spans="2:12" x14ac:dyDescent="0.25">
      <c r="B69" s="5" t="e">
        <f>'Energia Elétrica e térmica'!#REF!</f>
        <v>#REF!</v>
      </c>
      <c r="C69" s="38" t="str">
        <f>'Energia Elétrica e térmica'!G48</f>
        <v/>
      </c>
      <c r="D69" s="5" t="e">
        <f t="shared" si="2"/>
        <v>#REF!</v>
      </c>
      <c r="E69" s="5" t="e">
        <f t="shared" si="3"/>
        <v>#REF!</v>
      </c>
      <c r="F69" s="5" t="e">
        <f t="shared" si="4"/>
        <v>#REF!</v>
      </c>
      <c r="H69" s="5" t="e">
        <f>'Energia Elétrica e térmica'!#REF!</f>
        <v>#REF!</v>
      </c>
      <c r="I69" s="38">
        <f>'Energia Elétrica e térmica'!D169</f>
        <v>0</v>
      </c>
      <c r="J69" s="5" t="e">
        <f t="shared" si="5"/>
        <v>#REF!</v>
      </c>
      <c r="K69" s="5" t="e">
        <f t="shared" si="6"/>
        <v>#REF!</v>
      </c>
      <c r="L69" s="5" t="e">
        <f t="shared" si="7"/>
        <v>#REF!</v>
      </c>
    </row>
    <row r="70" spans="2:12" x14ac:dyDescent="0.25">
      <c r="B70" s="5" t="e">
        <f>'Energia Elétrica e térmica'!#REF!</f>
        <v>#REF!</v>
      </c>
      <c r="C70" s="38" t="str">
        <f>'Energia Elétrica e térmica'!G49</f>
        <v/>
      </c>
      <c r="D70" s="5" t="e">
        <f t="shared" si="2"/>
        <v>#REF!</v>
      </c>
      <c r="E70" s="5" t="e">
        <f t="shared" si="3"/>
        <v>#REF!</v>
      </c>
      <c r="F70" s="5" t="e">
        <f t="shared" si="4"/>
        <v>#REF!</v>
      </c>
      <c r="H70" s="5" t="e">
        <f>'Energia Elétrica e térmica'!#REF!</f>
        <v>#REF!</v>
      </c>
      <c r="I70" s="38">
        <f>'Energia Elétrica e térmica'!D170</f>
        <v>0</v>
      </c>
      <c r="J70" s="5" t="e">
        <f t="shared" si="5"/>
        <v>#REF!</v>
      </c>
      <c r="K70" s="5" t="e">
        <f t="shared" si="6"/>
        <v>#REF!</v>
      </c>
      <c r="L70" s="5" t="e">
        <f t="shared" si="7"/>
        <v>#REF!</v>
      </c>
    </row>
    <row r="71" spans="2:12" x14ac:dyDescent="0.25">
      <c r="B71" s="5" t="e">
        <f>'Energia Elétrica e térmica'!#REF!</f>
        <v>#REF!</v>
      </c>
      <c r="C71" s="38" t="str">
        <f>'Energia Elétrica e térmica'!G50</f>
        <v/>
      </c>
      <c r="D71" s="5" t="e">
        <f t="shared" si="2"/>
        <v>#REF!</v>
      </c>
      <c r="E71" s="5" t="e">
        <f t="shared" si="3"/>
        <v>#REF!</v>
      </c>
      <c r="F71" s="5" t="e">
        <f t="shared" si="4"/>
        <v>#REF!</v>
      </c>
      <c r="H71" s="5" t="e">
        <f>'Energia Elétrica e térmica'!#REF!</f>
        <v>#REF!</v>
      </c>
      <c r="I71" s="38">
        <f>'Energia Elétrica e térmica'!D171</f>
        <v>0</v>
      </c>
      <c r="J71" s="5" t="e">
        <f t="shared" si="5"/>
        <v>#REF!</v>
      </c>
      <c r="K71" s="5" t="e">
        <f t="shared" si="6"/>
        <v>#REF!</v>
      </c>
      <c r="L71" s="5" t="e">
        <f t="shared" si="7"/>
        <v>#REF!</v>
      </c>
    </row>
    <row r="72" spans="2:12" x14ac:dyDescent="0.25">
      <c r="B72" s="5" t="e">
        <f>'Energia Elétrica e térmica'!#REF!</f>
        <v>#REF!</v>
      </c>
      <c r="C72" s="38" t="str">
        <f>'Energia Elétrica e térmica'!G51</f>
        <v/>
      </c>
      <c r="D72" s="5" t="e">
        <f t="shared" si="2"/>
        <v>#REF!</v>
      </c>
      <c r="E72" s="5" t="e">
        <f t="shared" si="3"/>
        <v>#REF!</v>
      </c>
      <c r="F72" s="5" t="e">
        <f t="shared" si="4"/>
        <v>#REF!</v>
      </c>
      <c r="H72" s="5" t="e">
        <f>'Energia Elétrica e térmica'!#REF!</f>
        <v>#REF!</v>
      </c>
      <c r="I72" s="38">
        <f>'Energia Elétrica e térmica'!D172</f>
        <v>0</v>
      </c>
      <c r="J72" s="5" t="e">
        <f t="shared" si="5"/>
        <v>#REF!</v>
      </c>
      <c r="K72" s="5" t="e">
        <f t="shared" si="6"/>
        <v>#REF!</v>
      </c>
      <c r="L72" s="5" t="e">
        <f t="shared" si="7"/>
        <v>#REF!</v>
      </c>
    </row>
    <row r="73" spans="2:12" x14ac:dyDescent="0.25">
      <c r="B73" s="5" t="e">
        <f>'Energia Elétrica e térmica'!#REF!</f>
        <v>#REF!</v>
      </c>
      <c r="C73" s="38" t="str">
        <f>'Energia Elétrica e térmica'!G52</f>
        <v/>
      </c>
      <c r="D73" s="5" t="e">
        <f t="shared" si="2"/>
        <v>#REF!</v>
      </c>
      <c r="E73" s="5" t="e">
        <f t="shared" si="3"/>
        <v>#REF!</v>
      </c>
      <c r="F73" s="5" t="e">
        <f t="shared" si="4"/>
        <v>#REF!</v>
      </c>
      <c r="H73" s="5" t="e">
        <f>'Energia Elétrica e térmica'!#REF!</f>
        <v>#REF!</v>
      </c>
      <c r="I73" s="38">
        <f>'Energia Elétrica e térmica'!D173</f>
        <v>0</v>
      </c>
      <c r="J73" s="5" t="e">
        <f t="shared" si="5"/>
        <v>#REF!</v>
      </c>
      <c r="K73" s="5" t="e">
        <f t="shared" si="6"/>
        <v>#REF!</v>
      </c>
      <c r="L73" s="5" t="e">
        <f t="shared" si="7"/>
        <v>#REF!</v>
      </c>
    </row>
    <row r="74" spans="2:12" x14ac:dyDescent="0.25">
      <c r="B74" s="5" t="e">
        <f>'Energia Elétrica e térmica'!#REF!</f>
        <v>#REF!</v>
      </c>
      <c r="C74" s="38" t="str">
        <f>'Energia Elétrica e térmica'!G53</f>
        <v/>
      </c>
      <c r="D74" s="5" t="e">
        <f t="shared" si="2"/>
        <v>#REF!</v>
      </c>
      <c r="E74" s="5" t="e">
        <f t="shared" si="3"/>
        <v>#REF!</v>
      </c>
      <c r="F74" s="5" t="e">
        <f t="shared" si="4"/>
        <v>#REF!</v>
      </c>
      <c r="H74" s="5" t="e">
        <f>'Energia Elétrica e térmica'!#REF!</f>
        <v>#REF!</v>
      </c>
      <c r="I74" s="38">
        <f>'Energia Elétrica e térmica'!D174</f>
        <v>0</v>
      </c>
      <c r="J74" s="5" t="e">
        <f t="shared" si="5"/>
        <v>#REF!</v>
      </c>
      <c r="K74" s="5" t="e">
        <f t="shared" si="6"/>
        <v>#REF!</v>
      </c>
      <c r="L74" s="5" t="e">
        <f t="shared" si="7"/>
        <v>#REF!</v>
      </c>
    </row>
    <row r="75" spans="2:12" x14ac:dyDescent="0.25">
      <c r="B75" s="5" t="e">
        <f>'Energia Elétrica e térmica'!#REF!</f>
        <v>#REF!</v>
      </c>
      <c r="C75" s="38" t="str">
        <f>'Energia Elétrica e térmica'!G54</f>
        <v/>
      </c>
      <c r="D75" s="5" t="e">
        <f t="shared" si="2"/>
        <v>#REF!</v>
      </c>
      <c r="E75" s="5" t="e">
        <f t="shared" si="3"/>
        <v>#REF!</v>
      </c>
      <c r="F75" s="5" t="e">
        <f t="shared" si="4"/>
        <v>#REF!</v>
      </c>
      <c r="H75" s="5" t="e">
        <f>'Energia Elétrica e térmica'!#REF!</f>
        <v>#REF!</v>
      </c>
      <c r="I75" s="38">
        <f>'Energia Elétrica e térmica'!D175</f>
        <v>0</v>
      </c>
      <c r="J75" s="5" t="e">
        <f t="shared" si="5"/>
        <v>#REF!</v>
      </c>
      <c r="K75" s="5" t="e">
        <f t="shared" si="6"/>
        <v>#REF!</v>
      </c>
      <c r="L75" s="5" t="e">
        <f t="shared" si="7"/>
        <v>#REF!</v>
      </c>
    </row>
    <row r="76" spans="2:12" x14ac:dyDescent="0.25">
      <c r="B76" s="5" t="e">
        <f>'Energia Elétrica e térmica'!#REF!</f>
        <v>#REF!</v>
      </c>
      <c r="C76" s="38" t="str">
        <f>'Energia Elétrica e térmica'!G55</f>
        <v/>
      </c>
      <c r="D76" s="5" t="e">
        <f t="shared" si="2"/>
        <v>#REF!</v>
      </c>
      <c r="E76" s="5" t="e">
        <f t="shared" si="3"/>
        <v>#REF!</v>
      </c>
      <c r="F76" s="5" t="e">
        <f t="shared" si="4"/>
        <v>#REF!</v>
      </c>
      <c r="H76" s="5" t="e">
        <f>'Energia Elétrica e térmica'!#REF!</f>
        <v>#REF!</v>
      </c>
      <c r="I76" s="38">
        <f>'Energia Elétrica e térmica'!D176</f>
        <v>0</v>
      </c>
      <c r="J76" s="5" t="e">
        <f t="shared" si="5"/>
        <v>#REF!</v>
      </c>
      <c r="K76" s="5" t="e">
        <f t="shared" si="6"/>
        <v>#REF!</v>
      </c>
      <c r="L76" s="5" t="e">
        <f t="shared" si="7"/>
        <v>#REF!</v>
      </c>
    </row>
    <row r="77" spans="2:12" x14ac:dyDescent="0.25">
      <c r="B77" s="5" t="e">
        <f>'Energia Elétrica e térmica'!#REF!</f>
        <v>#REF!</v>
      </c>
      <c r="C77" s="38" t="str">
        <f>'Energia Elétrica e térmica'!G56</f>
        <v/>
      </c>
      <c r="D77" s="5" t="e">
        <f t="shared" si="2"/>
        <v>#REF!</v>
      </c>
      <c r="E77" s="5" t="e">
        <f t="shared" si="3"/>
        <v>#REF!</v>
      </c>
      <c r="F77" s="5" t="e">
        <f t="shared" si="4"/>
        <v>#REF!</v>
      </c>
      <c r="H77" s="5" t="e">
        <f>'Energia Elétrica e térmica'!#REF!</f>
        <v>#REF!</v>
      </c>
      <c r="I77" s="38">
        <f>'Energia Elétrica e térmica'!D177</f>
        <v>0</v>
      </c>
      <c r="J77" s="5" t="e">
        <f t="shared" si="5"/>
        <v>#REF!</v>
      </c>
      <c r="K77" s="5" t="e">
        <f t="shared" si="6"/>
        <v>#REF!</v>
      </c>
      <c r="L77" s="5" t="e">
        <f t="shared" si="7"/>
        <v>#REF!</v>
      </c>
    </row>
    <row r="78" spans="2:12" x14ac:dyDescent="0.25">
      <c r="B78" s="5" t="e">
        <f>'Energia Elétrica e térmica'!#REF!</f>
        <v>#REF!</v>
      </c>
      <c r="C78" s="38" t="str">
        <f>'Energia Elétrica e térmica'!G57</f>
        <v/>
      </c>
      <c r="D78" s="5" t="e">
        <f t="shared" si="2"/>
        <v>#REF!</v>
      </c>
      <c r="E78" s="5" t="e">
        <f t="shared" si="3"/>
        <v>#REF!</v>
      </c>
      <c r="F78" s="5" t="e">
        <f t="shared" si="4"/>
        <v>#REF!</v>
      </c>
      <c r="H78" s="5" t="e">
        <f>'Energia Elétrica e térmica'!#REF!</f>
        <v>#REF!</v>
      </c>
      <c r="I78" s="38">
        <f>'Energia Elétrica e térmica'!D178</f>
        <v>0</v>
      </c>
      <c r="J78" s="5" t="e">
        <f t="shared" si="5"/>
        <v>#REF!</v>
      </c>
      <c r="K78" s="5" t="e">
        <f t="shared" si="6"/>
        <v>#REF!</v>
      </c>
      <c r="L78" s="5" t="e">
        <f t="shared" si="7"/>
        <v>#REF!</v>
      </c>
    </row>
    <row r="79" spans="2:12" x14ac:dyDescent="0.25">
      <c r="B79" s="5" t="e">
        <f>'Energia Elétrica e térmica'!#REF!</f>
        <v>#REF!</v>
      </c>
      <c r="C79" s="38" t="str">
        <f>'Energia Elétrica e térmica'!G58</f>
        <v/>
      </c>
      <c r="D79" s="5" t="e">
        <f t="shared" si="2"/>
        <v>#REF!</v>
      </c>
      <c r="E79" s="5" t="e">
        <f t="shared" si="3"/>
        <v>#REF!</v>
      </c>
      <c r="F79" s="5" t="e">
        <f t="shared" si="4"/>
        <v>#REF!</v>
      </c>
      <c r="H79" s="5" t="e">
        <f>'Energia Elétrica e térmica'!#REF!</f>
        <v>#REF!</v>
      </c>
      <c r="I79" s="38">
        <f>'Energia Elétrica e térmica'!D179</f>
        <v>0</v>
      </c>
      <c r="J79" s="5" t="e">
        <f t="shared" si="5"/>
        <v>#REF!</v>
      </c>
      <c r="K79" s="5" t="e">
        <f t="shared" si="6"/>
        <v>#REF!</v>
      </c>
      <c r="L79" s="5" t="e">
        <f t="shared" si="7"/>
        <v>#REF!</v>
      </c>
    </row>
    <row r="80" spans="2:12" x14ac:dyDescent="0.25">
      <c r="B80" s="5" t="e">
        <f>'Energia Elétrica e térmica'!#REF!</f>
        <v>#REF!</v>
      </c>
      <c r="C80" s="38" t="str">
        <f>'Energia Elétrica e térmica'!G59</f>
        <v/>
      </c>
      <c r="D80" s="5" t="e">
        <f t="shared" si="2"/>
        <v>#REF!</v>
      </c>
      <c r="E80" s="5" t="e">
        <f t="shared" si="3"/>
        <v>#REF!</v>
      </c>
      <c r="F80" s="5" t="e">
        <f t="shared" si="4"/>
        <v>#REF!</v>
      </c>
      <c r="H80" s="5" t="e">
        <f>'Energia Elétrica e térmica'!#REF!</f>
        <v>#REF!</v>
      </c>
      <c r="I80" s="38">
        <f>'Energia Elétrica e térmica'!D180</f>
        <v>0</v>
      </c>
      <c r="J80" s="5" t="e">
        <f t="shared" si="5"/>
        <v>#REF!</v>
      </c>
      <c r="K80" s="5" t="e">
        <f t="shared" si="6"/>
        <v>#REF!</v>
      </c>
      <c r="L80" s="5" t="e">
        <f t="shared" si="7"/>
        <v>#REF!</v>
      </c>
    </row>
    <row r="81" spans="2:12" x14ac:dyDescent="0.25">
      <c r="B81" s="5" t="e">
        <f>'Energia Elétrica e térmica'!#REF!</f>
        <v>#REF!</v>
      </c>
      <c r="C81" s="38" t="str">
        <f>'Energia Elétrica e térmica'!G60</f>
        <v/>
      </c>
      <c r="D81" s="5" t="e">
        <f t="shared" si="2"/>
        <v>#REF!</v>
      </c>
      <c r="E81" s="5" t="e">
        <f t="shared" si="3"/>
        <v>#REF!</v>
      </c>
      <c r="F81" s="5" t="e">
        <f t="shared" si="4"/>
        <v>#REF!</v>
      </c>
      <c r="H81" s="5" t="e">
        <f>'Energia Elétrica e térmica'!#REF!</f>
        <v>#REF!</v>
      </c>
      <c r="I81" s="38">
        <f>'Energia Elétrica e térmica'!D181</f>
        <v>0</v>
      </c>
      <c r="J81" s="5" t="e">
        <f t="shared" si="5"/>
        <v>#REF!</v>
      </c>
      <c r="K81" s="5" t="e">
        <f t="shared" si="6"/>
        <v>#REF!</v>
      </c>
      <c r="L81" s="5" t="e">
        <f t="shared" si="7"/>
        <v>#REF!</v>
      </c>
    </row>
    <row r="82" spans="2:12" x14ac:dyDescent="0.25">
      <c r="B82" s="5" t="e">
        <f>'Energia Elétrica e térmica'!#REF!</f>
        <v>#REF!</v>
      </c>
      <c r="C82" s="38" t="str">
        <f>'Energia Elétrica e térmica'!G61</f>
        <v/>
      </c>
      <c r="D82" s="5" t="e">
        <f t="shared" si="2"/>
        <v>#REF!</v>
      </c>
      <c r="E82" s="5" t="e">
        <f t="shared" si="3"/>
        <v>#REF!</v>
      </c>
      <c r="F82" s="5" t="e">
        <f t="shared" si="4"/>
        <v>#REF!</v>
      </c>
      <c r="H82" s="5" t="e">
        <f>'Energia Elétrica e térmica'!#REF!</f>
        <v>#REF!</v>
      </c>
      <c r="I82" s="38">
        <f>'Energia Elétrica e térmica'!D182</f>
        <v>0</v>
      </c>
      <c r="J82" s="5" t="e">
        <f t="shared" si="5"/>
        <v>#REF!</v>
      </c>
      <c r="K82" s="5" t="e">
        <f t="shared" si="6"/>
        <v>#REF!</v>
      </c>
      <c r="L82" s="5" t="e">
        <f t="shared" si="7"/>
        <v>#REF!</v>
      </c>
    </row>
    <row r="83" spans="2:12" x14ac:dyDescent="0.25">
      <c r="B83" s="5" t="e">
        <f>'Energia Elétrica e térmica'!#REF!</f>
        <v>#REF!</v>
      </c>
      <c r="C83" s="38" t="str">
        <f>'Energia Elétrica e térmica'!G62</f>
        <v/>
      </c>
      <c r="D83" s="5" t="e">
        <f t="shared" si="2"/>
        <v>#REF!</v>
      </c>
      <c r="E83" s="5" t="e">
        <f t="shared" si="3"/>
        <v>#REF!</v>
      </c>
      <c r="F83" s="5" t="e">
        <f t="shared" si="4"/>
        <v>#REF!</v>
      </c>
      <c r="H83" s="5" t="e">
        <f>'Energia Elétrica e térmica'!#REF!</f>
        <v>#REF!</v>
      </c>
      <c r="I83" s="38">
        <f>'Energia Elétrica e térmica'!D183</f>
        <v>0</v>
      </c>
      <c r="J83" s="5" t="e">
        <f t="shared" si="5"/>
        <v>#REF!</v>
      </c>
      <c r="K83" s="5" t="e">
        <f t="shared" si="6"/>
        <v>#REF!</v>
      </c>
      <c r="L83" s="5" t="e">
        <f t="shared" si="7"/>
        <v>#REF!</v>
      </c>
    </row>
    <row r="84" spans="2:12" x14ac:dyDescent="0.25">
      <c r="B84" s="5" t="e">
        <f>'Energia Elétrica e térmica'!#REF!</f>
        <v>#REF!</v>
      </c>
      <c r="C84" s="38" t="str">
        <f>'Energia Elétrica e térmica'!G63</f>
        <v/>
      </c>
      <c r="D84" s="5" t="e">
        <f t="shared" si="2"/>
        <v>#REF!</v>
      </c>
      <c r="E84" s="5" t="e">
        <f t="shared" si="3"/>
        <v>#REF!</v>
      </c>
      <c r="F84" s="5" t="e">
        <f t="shared" si="4"/>
        <v>#REF!</v>
      </c>
      <c r="H84" s="5" t="e">
        <f>'Energia Elétrica e térmica'!#REF!</f>
        <v>#REF!</v>
      </c>
      <c r="I84" s="38">
        <f>'Energia Elétrica e térmica'!D184</f>
        <v>0</v>
      </c>
      <c r="J84" s="5" t="e">
        <f t="shared" si="5"/>
        <v>#REF!</v>
      </c>
      <c r="K84" s="5" t="e">
        <f t="shared" si="6"/>
        <v>#REF!</v>
      </c>
      <c r="L84" s="5" t="e">
        <f t="shared" si="7"/>
        <v>#REF!</v>
      </c>
    </row>
    <row r="85" spans="2:12" x14ac:dyDescent="0.25">
      <c r="B85" s="5" t="e">
        <f>'Energia Elétrica e térmica'!#REF!</f>
        <v>#REF!</v>
      </c>
      <c r="C85" s="38" t="str">
        <f>'Energia Elétrica e térmica'!G64</f>
        <v/>
      </c>
      <c r="D85" s="5" t="e">
        <f t="shared" si="2"/>
        <v>#REF!</v>
      </c>
      <c r="E85" s="5" t="e">
        <f t="shared" si="3"/>
        <v>#REF!</v>
      </c>
      <c r="F85" s="5" t="e">
        <f t="shared" si="4"/>
        <v>#REF!</v>
      </c>
      <c r="H85" s="5" t="e">
        <f>'Energia Elétrica e térmica'!#REF!</f>
        <v>#REF!</v>
      </c>
      <c r="I85" s="38">
        <f>'Energia Elétrica e térmica'!D185</f>
        <v>0</v>
      </c>
      <c r="J85" s="5" t="e">
        <f t="shared" si="5"/>
        <v>#REF!</v>
      </c>
      <c r="K85" s="5" t="e">
        <f t="shared" si="6"/>
        <v>#REF!</v>
      </c>
      <c r="L85" s="5" t="e">
        <f t="shared" si="7"/>
        <v>#REF!</v>
      </c>
    </row>
    <row r="86" spans="2:12" x14ac:dyDescent="0.25">
      <c r="B86" s="5" t="e">
        <f>'Energia Elétrica e térmica'!#REF!</f>
        <v>#REF!</v>
      </c>
      <c r="C86" s="38" t="str">
        <f>'Energia Elétrica e térmica'!G65</f>
        <v/>
      </c>
      <c r="D86" s="5" t="e">
        <f t="shared" si="2"/>
        <v>#REF!</v>
      </c>
      <c r="E86" s="5" t="e">
        <f t="shared" si="3"/>
        <v>#REF!</v>
      </c>
      <c r="F86" s="5" t="e">
        <f t="shared" si="4"/>
        <v>#REF!</v>
      </c>
      <c r="H86" s="5" t="e">
        <f>'Energia Elétrica e térmica'!#REF!</f>
        <v>#REF!</v>
      </c>
      <c r="I86" s="38">
        <f>'Energia Elétrica e térmica'!D186</f>
        <v>0</v>
      </c>
      <c r="J86" s="5" t="e">
        <f t="shared" si="5"/>
        <v>#REF!</v>
      </c>
      <c r="K86" s="5" t="e">
        <f t="shared" si="6"/>
        <v>#REF!</v>
      </c>
      <c r="L86" s="5" t="e">
        <f t="shared" si="7"/>
        <v>#REF!</v>
      </c>
    </row>
    <row r="87" spans="2:12" x14ac:dyDescent="0.25">
      <c r="B87" s="5" t="e">
        <f>'Energia Elétrica e térmica'!#REF!</f>
        <v>#REF!</v>
      </c>
      <c r="C87" s="38" t="str">
        <f>'Energia Elétrica e térmica'!G66</f>
        <v/>
      </c>
      <c r="D87" s="5" t="e">
        <f t="shared" si="2"/>
        <v>#REF!</v>
      </c>
      <c r="E87" s="5" t="e">
        <f t="shared" si="3"/>
        <v>#REF!</v>
      </c>
      <c r="F87" s="5" t="e">
        <f t="shared" si="4"/>
        <v>#REF!</v>
      </c>
      <c r="H87" s="5" t="e">
        <f>'Energia Elétrica e térmica'!#REF!</f>
        <v>#REF!</v>
      </c>
      <c r="I87" s="38">
        <f>'Energia Elétrica e térmica'!D187</f>
        <v>0</v>
      </c>
      <c r="J87" s="5" t="e">
        <f t="shared" si="5"/>
        <v>#REF!</v>
      </c>
      <c r="K87" s="5" t="e">
        <f t="shared" si="6"/>
        <v>#REF!</v>
      </c>
      <c r="L87" s="5" t="e">
        <f t="shared" si="7"/>
        <v>#REF!</v>
      </c>
    </row>
    <row r="88" spans="2:12" x14ac:dyDescent="0.25">
      <c r="B88" s="5" t="e">
        <f>'Energia Elétrica e térmica'!#REF!</f>
        <v>#REF!</v>
      </c>
      <c r="C88" s="38" t="str">
        <f>'Energia Elétrica e térmica'!G67</f>
        <v/>
      </c>
      <c r="D88" s="5" t="e">
        <f t="shared" si="2"/>
        <v>#REF!</v>
      </c>
      <c r="E88" s="5" t="e">
        <f t="shared" si="3"/>
        <v>#REF!</v>
      </c>
      <c r="F88" s="5" t="e">
        <f t="shared" si="4"/>
        <v>#REF!</v>
      </c>
      <c r="H88" s="5" t="e">
        <f>'Energia Elétrica e térmica'!#REF!</f>
        <v>#REF!</v>
      </c>
      <c r="I88" s="38">
        <f>'Energia Elétrica e térmica'!D188</f>
        <v>0</v>
      </c>
      <c r="J88" s="5" t="e">
        <f t="shared" si="5"/>
        <v>#REF!</v>
      </c>
      <c r="K88" s="5" t="e">
        <f t="shared" si="6"/>
        <v>#REF!</v>
      </c>
      <c r="L88" s="5" t="e">
        <f t="shared" si="7"/>
        <v>#REF!</v>
      </c>
    </row>
    <row r="89" spans="2:12" x14ac:dyDescent="0.25">
      <c r="B89" s="5" t="e">
        <f>'Energia Elétrica e térmica'!#REF!</f>
        <v>#REF!</v>
      </c>
      <c r="C89" s="38" t="str">
        <f>'Energia Elétrica e térmica'!G68</f>
        <v/>
      </c>
      <c r="D89" s="5" t="e">
        <f t="shared" si="2"/>
        <v>#REF!</v>
      </c>
      <c r="E89" s="5" t="e">
        <f t="shared" si="3"/>
        <v>#REF!</v>
      </c>
      <c r="F89" s="5" t="e">
        <f t="shared" si="4"/>
        <v>#REF!</v>
      </c>
      <c r="H89" s="5" t="e">
        <f>'Energia Elétrica e térmica'!#REF!</f>
        <v>#REF!</v>
      </c>
      <c r="I89" s="38">
        <f>'Energia Elétrica e térmica'!D189</f>
        <v>0</v>
      </c>
      <c r="J89" s="5" t="e">
        <f t="shared" si="5"/>
        <v>#REF!</v>
      </c>
      <c r="K89" s="5" t="e">
        <f t="shared" si="6"/>
        <v>#REF!</v>
      </c>
      <c r="L89" s="5" t="e">
        <f t="shared" si="7"/>
        <v>#REF!</v>
      </c>
    </row>
    <row r="90" spans="2:12" x14ac:dyDescent="0.25">
      <c r="B90" s="5" t="e">
        <f>'Energia Elétrica e térmica'!#REF!</f>
        <v>#REF!</v>
      </c>
      <c r="C90" s="38" t="str">
        <f>'Energia Elétrica e térmica'!G69</f>
        <v/>
      </c>
      <c r="D90" s="5" t="e">
        <f t="shared" si="2"/>
        <v>#REF!</v>
      </c>
      <c r="E90" s="5" t="e">
        <f t="shared" si="3"/>
        <v>#REF!</v>
      </c>
      <c r="F90" s="5" t="e">
        <f t="shared" si="4"/>
        <v>#REF!</v>
      </c>
      <c r="H90" s="5" t="e">
        <f>'Energia Elétrica e térmica'!#REF!</f>
        <v>#REF!</v>
      </c>
      <c r="I90" s="38">
        <f>'Energia Elétrica e térmica'!D190</f>
        <v>0</v>
      </c>
      <c r="J90" s="5" t="e">
        <f t="shared" si="5"/>
        <v>#REF!</v>
      </c>
      <c r="K90" s="5" t="e">
        <f t="shared" si="6"/>
        <v>#REF!</v>
      </c>
      <c r="L90" s="5" t="e">
        <f t="shared" si="7"/>
        <v>#REF!</v>
      </c>
    </row>
    <row r="91" spans="2:12" x14ac:dyDescent="0.25">
      <c r="B91" s="5" t="e">
        <f>'Energia Elétrica e térmica'!#REF!</f>
        <v>#REF!</v>
      </c>
      <c r="C91" s="38" t="str">
        <f>'Energia Elétrica e térmica'!G70</f>
        <v/>
      </c>
      <c r="D91" s="5" t="e">
        <f t="shared" si="2"/>
        <v>#REF!</v>
      </c>
      <c r="E91" s="5" t="e">
        <f t="shared" si="3"/>
        <v>#REF!</v>
      </c>
      <c r="F91" s="5" t="e">
        <f t="shared" si="4"/>
        <v>#REF!</v>
      </c>
      <c r="H91" s="5" t="e">
        <f>'Energia Elétrica e térmica'!#REF!</f>
        <v>#REF!</v>
      </c>
      <c r="I91" s="38">
        <f>'Energia Elétrica e térmica'!D191</f>
        <v>0</v>
      </c>
      <c r="J91" s="5" t="e">
        <f t="shared" si="5"/>
        <v>#REF!</v>
      </c>
      <c r="K91" s="5" t="e">
        <f t="shared" si="6"/>
        <v>#REF!</v>
      </c>
      <c r="L91" s="5" t="e">
        <f t="shared" si="7"/>
        <v>#REF!</v>
      </c>
    </row>
    <row r="92" spans="2:12" x14ac:dyDescent="0.25">
      <c r="B92" s="5" t="e">
        <f>'Energia Elétrica e térmica'!#REF!</f>
        <v>#REF!</v>
      </c>
      <c r="C92" s="38" t="str">
        <f>'Energia Elétrica e térmica'!G71</f>
        <v/>
      </c>
      <c r="D92" s="5" t="e">
        <f t="shared" si="2"/>
        <v>#REF!</v>
      </c>
      <c r="E92" s="5" t="e">
        <f t="shared" si="3"/>
        <v>#REF!</v>
      </c>
      <c r="F92" s="5" t="e">
        <f t="shared" si="4"/>
        <v>#REF!</v>
      </c>
      <c r="H92" s="5" t="e">
        <f>'Energia Elétrica e térmica'!#REF!</f>
        <v>#REF!</v>
      </c>
      <c r="I92" s="38">
        <f>'Energia Elétrica e térmica'!D192</f>
        <v>0</v>
      </c>
      <c r="J92" s="5" t="e">
        <f t="shared" si="5"/>
        <v>#REF!</v>
      </c>
      <c r="K92" s="5" t="e">
        <f t="shared" si="6"/>
        <v>#REF!</v>
      </c>
      <c r="L92" s="5" t="e">
        <f t="shared" si="7"/>
        <v>#REF!</v>
      </c>
    </row>
    <row r="93" spans="2:12" x14ac:dyDescent="0.25">
      <c r="B93" s="5" t="e">
        <f>'Energia Elétrica e térmica'!#REF!</f>
        <v>#REF!</v>
      </c>
      <c r="C93" s="38" t="str">
        <f>'Energia Elétrica e térmica'!G72</f>
        <v/>
      </c>
      <c r="D93" s="5" t="e">
        <f t="shared" si="2"/>
        <v>#REF!</v>
      </c>
      <c r="E93" s="5" t="e">
        <f t="shared" si="3"/>
        <v>#REF!</v>
      </c>
      <c r="F93" s="5" t="e">
        <f t="shared" si="4"/>
        <v>#REF!</v>
      </c>
      <c r="H93" s="5" t="e">
        <f>'Energia Elétrica e térmica'!#REF!</f>
        <v>#REF!</v>
      </c>
      <c r="I93" s="38">
        <f>'Energia Elétrica e térmica'!D193</f>
        <v>0</v>
      </c>
      <c r="J93" s="5" t="e">
        <f t="shared" si="5"/>
        <v>#REF!</v>
      </c>
      <c r="K93" s="5" t="e">
        <f t="shared" si="6"/>
        <v>#REF!</v>
      </c>
      <c r="L93" s="5" t="e">
        <f t="shared" si="7"/>
        <v>#REF!</v>
      </c>
    </row>
    <row r="94" spans="2:12" x14ac:dyDescent="0.25">
      <c r="B94" s="5" t="e">
        <f>'Energia Elétrica e térmica'!#REF!</f>
        <v>#REF!</v>
      </c>
      <c r="C94" s="38" t="str">
        <f>'Energia Elétrica e térmica'!G73</f>
        <v/>
      </c>
      <c r="D94" s="5" t="e">
        <f t="shared" si="2"/>
        <v>#REF!</v>
      </c>
      <c r="E94" s="5" t="e">
        <f t="shared" si="3"/>
        <v>#REF!</v>
      </c>
      <c r="F94" s="5" t="e">
        <f t="shared" si="4"/>
        <v>#REF!</v>
      </c>
      <c r="H94" s="5" t="e">
        <f>'Energia Elétrica e térmica'!#REF!</f>
        <v>#REF!</v>
      </c>
      <c r="I94" s="38">
        <f>'Energia Elétrica e térmica'!D194</f>
        <v>0</v>
      </c>
      <c r="J94" s="5" t="e">
        <f t="shared" si="5"/>
        <v>#REF!</v>
      </c>
      <c r="K94" s="5" t="e">
        <f t="shared" si="6"/>
        <v>#REF!</v>
      </c>
      <c r="L94" s="5" t="e">
        <f t="shared" si="7"/>
        <v>#REF!</v>
      </c>
    </row>
    <row r="95" spans="2:12" x14ac:dyDescent="0.25">
      <c r="B95" s="5" t="e">
        <f>'Energia Elétrica e térmica'!#REF!</f>
        <v>#REF!</v>
      </c>
      <c r="C95" s="38" t="str">
        <f>'Energia Elétrica e térmica'!G74</f>
        <v/>
      </c>
      <c r="D95" s="5" t="e">
        <f t="shared" si="2"/>
        <v>#REF!</v>
      </c>
      <c r="E95" s="5" t="e">
        <f t="shared" si="3"/>
        <v>#REF!</v>
      </c>
      <c r="F95" s="5" t="e">
        <f t="shared" si="4"/>
        <v>#REF!</v>
      </c>
      <c r="H95" s="5" t="e">
        <f>'Energia Elétrica e térmica'!#REF!</f>
        <v>#REF!</v>
      </c>
      <c r="I95" s="38">
        <f>'Energia Elétrica e térmica'!D195</f>
        <v>0</v>
      </c>
      <c r="J95" s="5" t="e">
        <f t="shared" si="5"/>
        <v>#REF!</v>
      </c>
      <c r="K95" s="5" t="e">
        <f t="shared" si="6"/>
        <v>#REF!</v>
      </c>
      <c r="L95" s="5" t="e">
        <f t="shared" si="7"/>
        <v>#REF!</v>
      </c>
    </row>
    <row r="96" spans="2:12" x14ac:dyDescent="0.25">
      <c r="B96" s="5" t="e">
        <f>'Energia Elétrica e térmica'!#REF!</f>
        <v>#REF!</v>
      </c>
      <c r="C96" s="38" t="str">
        <f>'Energia Elétrica e térmica'!G75</f>
        <v/>
      </c>
      <c r="D96" s="5" t="e">
        <f t="shared" si="2"/>
        <v>#REF!</v>
      </c>
      <c r="E96" s="5" t="e">
        <f t="shared" si="3"/>
        <v>#REF!</v>
      </c>
      <c r="F96" s="5" t="e">
        <f t="shared" si="4"/>
        <v>#REF!</v>
      </c>
      <c r="H96" s="5" t="e">
        <f>'Energia Elétrica e térmica'!#REF!</f>
        <v>#REF!</v>
      </c>
      <c r="I96" s="38">
        <f>'Energia Elétrica e térmica'!D196</f>
        <v>0</v>
      </c>
      <c r="J96" s="5" t="e">
        <f t="shared" si="5"/>
        <v>#REF!</v>
      </c>
      <c r="K96" s="5" t="e">
        <f t="shared" si="6"/>
        <v>#REF!</v>
      </c>
      <c r="L96" s="5" t="e">
        <f t="shared" si="7"/>
        <v>#REF!</v>
      </c>
    </row>
    <row r="97" spans="2:12" x14ac:dyDescent="0.25">
      <c r="B97" s="5" t="e">
        <f>'Energia Elétrica e térmica'!#REF!</f>
        <v>#REF!</v>
      </c>
      <c r="C97" s="38" t="str">
        <f>'Energia Elétrica e térmica'!G76</f>
        <v/>
      </c>
      <c r="D97" s="5" t="e">
        <f t="shared" si="2"/>
        <v>#REF!</v>
      </c>
      <c r="E97" s="5" t="e">
        <f t="shared" si="3"/>
        <v>#REF!</v>
      </c>
      <c r="F97" s="5" t="e">
        <f t="shared" si="4"/>
        <v>#REF!</v>
      </c>
      <c r="H97" s="5" t="e">
        <f>'Energia Elétrica e térmica'!#REF!</f>
        <v>#REF!</v>
      </c>
      <c r="I97" s="38">
        <f>'Energia Elétrica e térmica'!D197</f>
        <v>0</v>
      </c>
      <c r="J97" s="5" t="e">
        <f t="shared" si="5"/>
        <v>#REF!</v>
      </c>
      <c r="K97" s="5" t="e">
        <f t="shared" si="6"/>
        <v>#REF!</v>
      </c>
      <c r="L97" s="5" t="e">
        <f t="shared" si="7"/>
        <v>#REF!</v>
      </c>
    </row>
    <row r="98" spans="2:12" x14ac:dyDescent="0.25">
      <c r="B98" s="5" t="e">
        <f>'Energia Elétrica e térmica'!#REF!</f>
        <v>#REF!</v>
      </c>
      <c r="C98" s="38" t="str">
        <f>'Energia Elétrica e térmica'!G77</f>
        <v/>
      </c>
      <c r="D98" s="5" t="e">
        <f t="shared" si="2"/>
        <v>#REF!</v>
      </c>
      <c r="E98" s="5" t="e">
        <f t="shared" si="3"/>
        <v>#REF!</v>
      </c>
      <c r="F98" s="5" t="e">
        <f t="shared" si="4"/>
        <v>#REF!</v>
      </c>
      <c r="H98" s="5" t="e">
        <f>'Energia Elétrica e térmica'!#REF!</f>
        <v>#REF!</v>
      </c>
      <c r="I98" s="38">
        <f>'Energia Elétrica e térmica'!D198</f>
        <v>0</v>
      </c>
      <c r="J98" s="5" t="e">
        <f t="shared" si="5"/>
        <v>#REF!</v>
      </c>
      <c r="K98" s="5" t="e">
        <f t="shared" si="6"/>
        <v>#REF!</v>
      </c>
      <c r="L98" s="5" t="e">
        <f t="shared" si="7"/>
        <v>#REF!</v>
      </c>
    </row>
    <row r="99" spans="2:12" x14ac:dyDescent="0.25">
      <c r="B99" s="5" t="e">
        <f>'Energia Elétrica e térmica'!#REF!</f>
        <v>#REF!</v>
      </c>
      <c r="C99" s="38" t="str">
        <f>'Energia Elétrica e térmica'!G78</f>
        <v/>
      </c>
      <c r="D99" s="5" t="e">
        <f t="shared" si="2"/>
        <v>#REF!</v>
      </c>
      <c r="E99" s="5" t="e">
        <f t="shared" si="3"/>
        <v>#REF!</v>
      </c>
      <c r="F99" s="5" t="e">
        <f t="shared" si="4"/>
        <v>#REF!</v>
      </c>
      <c r="H99" s="5" t="e">
        <f>'Energia Elétrica e térmica'!#REF!</f>
        <v>#REF!</v>
      </c>
      <c r="I99" s="38">
        <f>'Energia Elétrica e térmica'!D199</f>
        <v>0</v>
      </c>
      <c r="J99" s="5" t="e">
        <f t="shared" si="5"/>
        <v>#REF!</v>
      </c>
      <c r="K99" s="5" t="e">
        <f t="shared" si="6"/>
        <v>#REF!</v>
      </c>
      <c r="L99" s="5" t="e">
        <f t="shared" si="7"/>
        <v>#REF!</v>
      </c>
    </row>
    <row r="100" spans="2:12" x14ac:dyDescent="0.25">
      <c r="B100" s="5" t="e">
        <f>'Energia Elétrica e térmica'!#REF!</f>
        <v>#REF!</v>
      </c>
      <c r="C100" s="38" t="str">
        <f>'Energia Elétrica e térmica'!G79</f>
        <v/>
      </c>
      <c r="D100" s="5" t="e">
        <f t="shared" si="2"/>
        <v>#REF!</v>
      </c>
      <c r="E100" s="5" t="e">
        <f t="shared" si="3"/>
        <v>#REF!</v>
      </c>
      <c r="F100" s="5" t="e">
        <f t="shared" si="4"/>
        <v>#REF!</v>
      </c>
      <c r="H100" s="5" t="e">
        <f>'Energia Elétrica e térmica'!#REF!</f>
        <v>#REF!</v>
      </c>
      <c r="I100" s="38">
        <f>'Energia Elétrica e térmica'!D200</f>
        <v>0</v>
      </c>
      <c r="J100" s="5" t="e">
        <f t="shared" si="5"/>
        <v>#REF!</v>
      </c>
      <c r="K100" s="5" t="e">
        <f t="shared" si="6"/>
        <v>#REF!</v>
      </c>
      <c r="L100" s="5" t="e">
        <f t="shared" si="7"/>
        <v>#REF!</v>
      </c>
    </row>
    <row r="101" spans="2:12" x14ac:dyDescent="0.25">
      <c r="B101" s="5" t="e">
        <f>'Energia Elétrica e térmica'!#REF!</f>
        <v>#REF!</v>
      </c>
      <c r="C101" s="38" t="str">
        <f>'Energia Elétrica e térmica'!G80</f>
        <v/>
      </c>
      <c r="D101" s="5" t="e">
        <f t="shared" si="2"/>
        <v>#REF!</v>
      </c>
      <c r="E101" s="5" t="e">
        <f t="shared" si="3"/>
        <v>#REF!</v>
      </c>
      <c r="F101" s="5" t="e">
        <f t="shared" si="4"/>
        <v>#REF!</v>
      </c>
      <c r="H101" s="5" t="e">
        <f>'Energia Elétrica e térmica'!#REF!</f>
        <v>#REF!</v>
      </c>
      <c r="I101" s="38">
        <f>'Energia Elétrica e térmica'!D201</f>
        <v>0</v>
      </c>
      <c r="J101" s="5" t="e">
        <f t="shared" si="5"/>
        <v>#REF!</v>
      </c>
      <c r="K101" s="5" t="e">
        <f t="shared" si="6"/>
        <v>#REF!</v>
      </c>
      <c r="L101" s="5" t="e">
        <f t="shared" si="7"/>
        <v>#REF!</v>
      </c>
    </row>
    <row r="102" spans="2:12" x14ac:dyDescent="0.25">
      <c r="B102" s="5" t="e">
        <f>'Energia Elétrica e térmica'!#REF!</f>
        <v>#REF!</v>
      </c>
      <c r="C102" s="38" t="str">
        <f>'Energia Elétrica e térmica'!G81</f>
        <v/>
      </c>
      <c r="D102" s="5" t="e">
        <f t="shared" si="2"/>
        <v>#REF!</v>
      </c>
      <c r="E102" s="5" t="e">
        <f t="shared" si="3"/>
        <v>#REF!</v>
      </c>
      <c r="F102" s="5" t="e">
        <f t="shared" si="4"/>
        <v>#REF!</v>
      </c>
      <c r="H102" s="5" t="e">
        <f>'Energia Elétrica e térmica'!#REF!</f>
        <v>#REF!</v>
      </c>
      <c r="I102" s="38">
        <f>'Energia Elétrica e térmica'!D202</f>
        <v>0</v>
      </c>
      <c r="J102" s="5" t="e">
        <f t="shared" si="5"/>
        <v>#REF!</v>
      </c>
      <c r="K102" s="5" t="e">
        <f t="shared" si="6"/>
        <v>#REF!</v>
      </c>
      <c r="L102" s="5" t="e">
        <f t="shared" si="7"/>
        <v>#REF!</v>
      </c>
    </row>
    <row r="103" spans="2:12" x14ac:dyDescent="0.25">
      <c r="B103" s="5" t="e">
        <f>'Energia Elétrica e térmica'!#REF!</f>
        <v>#REF!</v>
      </c>
      <c r="C103" s="38" t="str">
        <f>'Energia Elétrica e térmica'!G82</f>
        <v/>
      </c>
      <c r="D103" s="5" t="e">
        <f t="shared" si="2"/>
        <v>#REF!</v>
      </c>
      <c r="E103" s="5" t="e">
        <f t="shared" si="3"/>
        <v>#REF!</v>
      </c>
      <c r="F103" s="5" t="e">
        <f t="shared" si="4"/>
        <v>#REF!</v>
      </c>
      <c r="H103" s="5" t="e">
        <f>'Energia Elétrica e térmica'!#REF!</f>
        <v>#REF!</v>
      </c>
      <c r="I103" s="38">
        <f>'Energia Elétrica e térmica'!D203</f>
        <v>0</v>
      </c>
      <c r="J103" s="5" t="e">
        <f t="shared" si="5"/>
        <v>#REF!</v>
      </c>
      <c r="K103" s="5" t="e">
        <f t="shared" si="6"/>
        <v>#REF!</v>
      </c>
      <c r="L103" s="5" t="e">
        <f t="shared" si="7"/>
        <v>#REF!</v>
      </c>
    </row>
    <row r="104" spans="2:12" x14ac:dyDescent="0.25">
      <c r="B104" s="5" t="e">
        <f>'Energia Elétrica e térmica'!#REF!</f>
        <v>#REF!</v>
      </c>
      <c r="C104" s="38" t="str">
        <f>'Energia Elétrica e térmica'!G83</f>
        <v/>
      </c>
      <c r="D104" s="5" t="e">
        <f t="shared" si="2"/>
        <v>#REF!</v>
      </c>
      <c r="E104" s="5" t="e">
        <f t="shared" si="3"/>
        <v>#REF!</v>
      </c>
      <c r="F104" s="5" t="e">
        <f t="shared" si="4"/>
        <v>#REF!</v>
      </c>
      <c r="H104" s="5" t="e">
        <f>'Energia Elétrica e térmica'!#REF!</f>
        <v>#REF!</v>
      </c>
      <c r="I104" s="38">
        <f>'Energia Elétrica e térmica'!D204</f>
        <v>0</v>
      </c>
      <c r="J104" s="5" t="e">
        <f t="shared" si="5"/>
        <v>#REF!</v>
      </c>
      <c r="K104" s="5" t="e">
        <f t="shared" si="6"/>
        <v>#REF!</v>
      </c>
      <c r="L104" s="5" t="e">
        <f t="shared" si="7"/>
        <v>#REF!</v>
      </c>
    </row>
    <row r="105" spans="2:12" x14ac:dyDescent="0.25">
      <c r="B105" s="5" t="e">
        <f>'Energia Elétrica e térmica'!#REF!</f>
        <v>#REF!</v>
      </c>
      <c r="C105" s="38" t="str">
        <f>'Energia Elétrica e térmica'!G84</f>
        <v/>
      </c>
      <c r="D105" s="5" t="e">
        <f t="shared" si="2"/>
        <v>#REF!</v>
      </c>
      <c r="E105" s="5" t="e">
        <f t="shared" si="3"/>
        <v>#REF!</v>
      </c>
      <c r="F105" s="5" t="e">
        <f t="shared" si="4"/>
        <v>#REF!</v>
      </c>
      <c r="H105" s="5" t="e">
        <f>'Energia Elétrica e térmica'!#REF!</f>
        <v>#REF!</v>
      </c>
      <c r="I105" s="38">
        <f>'Energia Elétrica e térmica'!D205</f>
        <v>0</v>
      </c>
      <c r="J105" s="5" t="e">
        <f t="shared" si="5"/>
        <v>#REF!</v>
      </c>
      <c r="K105" s="5" t="e">
        <f t="shared" si="6"/>
        <v>#REF!</v>
      </c>
      <c r="L105" s="5" t="e">
        <f t="shared" si="7"/>
        <v>#REF!</v>
      </c>
    </row>
    <row r="106" spans="2:12" x14ac:dyDescent="0.25">
      <c r="B106" s="5" t="e">
        <f>'Energia Elétrica e térmica'!#REF!</f>
        <v>#REF!</v>
      </c>
      <c r="C106" s="38" t="str">
        <f>'Energia Elétrica e térmica'!G85</f>
        <v/>
      </c>
      <c r="D106" s="5" t="e">
        <f t="shared" si="2"/>
        <v>#REF!</v>
      </c>
      <c r="E106" s="5" t="e">
        <f t="shared" si="3"/>
        <v>#REF!</v>
      </c>
      <c r="F106" s="5" t="e">
        <f t="shared" si="4"/>
        <v>#REF!</v>
      </c>
      <c r="H106" s="5" t="e">
        <f>'Energia Elétrica e térmica'!#REF!</f>
        <v>#REF!</v>
      </c>
      <c r="I106" s="38">
        <f>'Energia Elétrica e térmica'!D206</f>
        <v>0</v>
      </c>
      <c r="J106" s="5" t="e">
        <f t="shared" si="5"/>
        <v>#REF!</v>
      </c>
      <c r="K106" s="5" t="e">
        <f t="shared" si="6"/>
        <v>#REF!</v>
      </c>
      <c r="L106" s="5" t="e">
        <f t="shared" si="7"/>
        <v>#REF!</v>
      </c>
    </row>
    <row r="107" spans="2:12" x14ac:dyDescent="0.25">
      <c r="B107" s="5" t="e">
        <f>'Energia Elétrica e térmica'!#REF!</f>
        <v>#REF!</v>
      </c>
      <c r="C107" s="38" t="str">
        <f>'Energia Elétrica e térmica'!G86</f>
        <v/>
      </c>
      <c r="D107" s="5" t="e">
        <f t="shared" si="2"/>
        <v>#REF!</v>
      </c>
      <c r="E107" s="5" t="e">
        <f t="shared" si="3"/>
        <v>#REF!</v>
      </c>
      <c r="F107" s="5" t="e">
        <f t="shared" si="4"/>
        <v>#REF!</v>
      </c>
      <c r="H107" s="5" t="e">
        <f>'Energia Elétrica e térmica'!#REF!</f>
        <v>#REF!</v>
      </c>
      <c r="I107" s="38">
        <f>'Energia Elétrica e térmica'!D207</f>
        <v>0</v>
      </c>
      <c r="J107" s="5" t="e">
        <f t="shared" si="5"/>
        <v>#REF!</v>
      </c>
      <c r="K107" s="5" t="e">
        <f t="shared" si="6"/>
        <v>#REF!</v>
      </c>
      <c r="L107" s="5" t="e">
        <f t="shared" si="7"/>
        <v>#REF!</v>
      </c>
    </row>
    <row r="108" spans="2:12" x14ac:dyDescent="0.25">
      <c r="B108" s="5" t="e">
        <f>'Energia Elétrica e térmica'!#REF!</f>
        <v>#REF!</v>
      </c>
      <c r="C108" s="38" t="str">
        <f>'Energia Elétrica e térmica'!G87</f>
        <v/>
      </c>
      <c r="D108" s="5" t="e">
        <f t="shared" si="2"/>
        <v>#REF!</v>
      </c>
      <c r="E108" s="5" t="e">
        <f t="shared" si="3"/>
        <v>#REF!</v>
      </c>
      <c r="F108" s="5" t="e">
        <f t="shared" si="4"/>
        <v>#REF!</v>
      </c>
      <c r="H108" s="5" t="e">
        <f>'Energia Elétrica e térmica'!#REF!</f>
        <v>#REF!</v>
      </c>
      <c r="I108" s="38">
        <f>'Energia Elétrica e térmica'!D208</f>
        <v>0</v>
      </c>
      <c r="J108" s="5" t="e">
        <f t="shared" si="5"/>
        <v>#REF!</v>
      </c>
      <c r="K108" s="5" t="e">
        <f t="shared" si="6"/>
        <v>#REF!</v>
      </c>
      <c r="L108" s="5" t="e">
        <f t="shared" si="7"/>
        <v>#REF!</v>
      </c>
    </row>
    <row r="109" spans="2:12" x14ac:dyDescent="0.25">
      <c r="B109" s="5" t="e">
        <f>'Energia Elétrica e térmica'!#REF!</f>
        <v>#REF!</v>
      </c>
      <c r="C109" s="38" t="str">
        <f>'Energia Elétrica e térmica'!G88</f>
        <v/>
      </c>
      <c r="D109" s="5" t="e">
        <f t="shared" si="2"/>
        <v>#REF!</v>
      </c>
      <c r="E109" s="5" t="e">
        <f t="shared" si="3"/>
        <v>#REF!</v>
      </c>
      <c r="F109" s="5" t="e">
        <f t="shared" si="4"/>
        <v>#REF!</v>
      </c>
      <c r="H109" s="5" t="e">
        <f>'Energia Elétrica e térmica'!#REF!</f>
        <v>#REF!</v>
      </c>
      <c r="I109" s="38">
        <f>'Energia Elétrica e térmica'!D209</f>
        <v>0</v>
      </c>
      <c r="J109" s="5" t="e">
        <f t="shared" si="5"/>
        <v>#REF!</v>
      </c>
      <c r="K109" s="5" t="e">
        <f t="shared" si="6"/>
        <v>#REF!</v>
      </c>
      <c r="L109" s="5" t="e">
        <f t="shared" si="7"/>
        <v>#REF!</v>
      </c>
    </row>
    <row r="110" spans="2:12" x14ac:dyDescent="0.25">
      <c r="B110" s="5" t="e">
        <f>'Energia Elétrica e térmica'!#REF!</f>
        <v>#REF!</v>
      </c>
      <c r="C110" s="38" t="str">
        <f>'Energia Elétrica e térmica'!G89</f>
        <v/>
      </c>
      <c r="D110" s="5" t="e">
        <f t="shared" si="2"/>
        <v>#REF!</v>
      </c>
      <c r="E110" s="5" t="e">
        <f t="shared" si="3"/>
        <v>#REF!</v>
      </c>
      <c r="F110" s="5" t="e">
        <f t="shared" si="4"/>
        <v>#REF!</v>
      </c>
      <c r="H110" s="5" t="e">
        <f>'Energia Elétrica e térmica'!#REF!</f>
        <v>#REF!</v>
      </c>
      <c r="I110" s="38">
        <f>'Energia Elétrica e térmica'!D210</f>
        <v>0</v>
      </c>
      <c r="J110" s="5" t="e">
        <f t="shared" si="5"/>
        <v>#REF!</v>
      </c>
      <c r="K110" s="5" t="e">
        <f t="shared" si="6"/>
        <v>#REF!</v>
      </c>
      <c r="L110" s="5" t="e">
        <f t="shared" si="7"/>
        <v>#REF!</v>
      </c>
    </row>
    <row r="111" spans="2:12" x14ac:dyDescent="0.25">
      <c r="B111" s="5" t="e">
        <f>'Energia Elétrica e térmica'!#REF!</f>
        <v>#REF!</v>
      </c>
      <c r="C111" s="38" t="str">
        <f>'Energia Elétrica e térmica'!G90</f>
        <v/>
      </c>
      <c r="D111" s="5" t="e">
        <f t="shared" si="2"/>
        <v>#REF!</v>
      </c>
      <c r="E111" s="5" t="e">
        <f t="shared" si="3"/>
        <v>#REF!</v>
      </c>
      <c r="F111" s="5" t="e">
        <f t="shared" si="4"/>
        <v>#REF!</v>
      </c>
      <c r="H111" s="5" t="e">
        <f>'Energia Elétrica e térmica'!#REF!</f>
        <v>#REF!</v>
      </c>
      <c r="I111" s="38">
        <f>'Energia Elétrica e térmica'!D211</f>
        <v>0</v>
      </c>
      <c r="J111" s="5" t="e">
        <f t="shared" si="5"/>
        <v>#REF!</v>
      </c>
      <c r="K111" s="5" t="e">
        <f t="shared" si="6"/>
        <v>#REF!</v>
      </c>
      <c r="L111" s="5" t="e">
        <f t="shared" si="7"/>
        <v>#REF!</v>
      </c>
    </row>
    <row r="112" spans="2:12" x14ac:dyDescent="0.25">
      <c r="B112" s="5" t="e">
        <f>'Energia Elétrica e térmica'!#REF!</f>
        <v>#REF!</v>
      </c>
      <c r="C112" s="38" t="str">
        <f>'Energia Elétrica e térmica'!G91</f>
        <v/>
      </c>
      <c r="D112" s="5" t="e">
        <f t="shared" si="2"/>
        <v>#REF!</v>
      </c>
      <c r="E112" s="5" t="e">
        <f t="shared" si="3"/>
        <v>#REF!</v>
      </c>
      <c r="F112" s="5" t="e">
        <f t="shared" si="4"/>
        <v>#REF!</v>
      </c>
      <c r="H112" s="5" t="e">
        <f>'Energia Elétrica e térmica'!#REF!</f>
        <v>#REF!</v>
      </c>
      <c r="I112" s="38">
        <f>'Energia Elétrica e térmica'!D212</f>
        <v>0</v>
      </c>
      <c r="J112" s="5" t="e">
        <f t="shared" si="5"/>
        <v>#REF!</v>
      </c>
      <c r="K112" s="5" t="e">
        <f t="shared" si="6"/>
        <v>#REF!</v>
      </c>
      <c r="L112" s="5" t="e">
        <f t="shared" si="7"/>
        <v>#REF!</v>
      </c>
    </row>
    <row r="113" spans="2:12" x14ac:dyDescent="0.25">
      <c r="B113" s="5" t="e">
        <f>'Energia Elétrica e térmica'!#REF!</f>
        <v>#REF!</v>
      </c>
      <c r="C113" s="38" t="str">
        <f>'Energia Elétrica e térmica'!G92</f>
        <v/>
      </c>
      <c r="D113" s="5" t="e">
        <f t="shared" si="2"/>
        <v>#REF!</v>
      </c>
      <c r="E113" s="5" t="e">
        <f t="shared" si="3"/>
        <v>#REF!</v>
      </c>
      <c r="F113" s="5" t="e">
        <f t="shared" si="4"/>
        <v>#REF!</v>
      </c>
      <c r="H113" s="5" t="e">
        <f>'Energia Elétrica e térmica'!#REF!</f>
        <v>#REF!</v>
      </c>
      <c r="I113" s="38">
        <f>'Energia Elétrica e térmica'!D213</f>
        <v>0</v>
      </c>
      <c r="J113" s="5" t="e">
        <f t="shared" si="5"/>
        <v>#REF!</v>
      </c>
      <c r="K113" s="5" t="e">
        <f t="shared" si="6"/>
        <v>#REF!</v>
      </c>
      <c r="L113" s="5" t="e">
        <f t="shared" si="7"/>
        <v>#REF!</v>
      </c>
    </row>
    <row r="114" spans="2:12" x14ac:dyDescent="0.25">
      <c r="B114" s="5" t="e">
        <f>'Energia Elétrica e térmica'!#REF!</f>
        <v>#REF!</v>
      </c>
      <c r="C114" s="38" t="str">
        <f>'Energia Elétrica e térmica'!G93</f>
        <v/>
      </c>
      <c r="D114" s="5" t="e">
        <f t="shared" si="2"/>
        <v>#REF!</v>
      </c>
      <c r="E114" s="5" t="e">
        <f t="shared" si="3"/>
        <v>#REF!</v>
      </c>
      <c r="F114" s="5" t="e">
        <f t="shared" si="4"/>
        <v>#REF!</v>
      </c>
      <c r="H114" s="5" t="e">
        <f>'Energia Elétrica e térmica'!#REF!</f>
        <v>#REF!</v>
      </c>
      <c r="I114" s="38">
        <f>'Energia Elétrica e térmica'!D214</f>
        <v>0</v>
      </c>
      <c r="J114" s="5" t="e">
        <f t="shared" si="5"/>
        <v>#REF!</v>
      </c>
      <c r="K114" s="5" t="e">
        <f t="shared" si="6"/>
        <v>#REF!</v>
      </c>
      <c r="L114" s="5" t="e">
        <f t="shared" si="7"/>
        <v>#REF!</v>
      </c>
    </row>
    <row r="115" spans="2:12" x14ac:dyDescent="0.25">
      <c r="B115" s="5" t="e">
        <f>'Energia Elétrica e térmica'!#REF!</f>
        <v>#REF!</v>
      </c>
      <c r="C115" s="38" t="str">
        <f>'Energia Elétrica e térmica'!G94</f>
        <v/>
      </c>
      <c r="D115" s="5" t="e">
        <f t="shared" si="2"/>
        <v>#REF!</v>
      </c>
      <c r="E115" s="5" t="e">
        <f t="shared" si="3"/>
        <v>#REF!</v>
      </c>
      <c r="F115" s="5" t="e">
        <f t="shared" si="4"/>
        <v>#REF!</v>
      </c>
      <c r="H115" s="5" t="e">
        <f>'Energia Elétrica e térmica'!#REF!</f>
        <v>#REF!</v>
      </c>
      <c r="I115" s="38">
        <f>'Energia Elétrica e térmica'!D215</f>
        <v>0</v>
      </c>
      <c r="J115" s="5" t="e">
        <f t="shared" si="5"/>
        <v>#REF!</v>
      </c>
      <c r="K115" s="5" t="e">
        <f t="shared" si="6"/>
        <v>#REF!</v>
      </c>
      <c r="L115" s="5" t="e">
        <f t="shared" si="7"/>
        <v>#REF!</v>
      </c>
    </row>
    <row r="116" spans="2:12" x14ac:dyDescent="0.25">
      <c r="B116" s="5" t="e">
        <f>'Energia Elétrica e térmica'!#REF!</f>
        <v>#REF!</v>
      </c>
      <c r="C116" s="38" t="str">
        <f>'Energia Elétrica e térmica'!G95</f>
        <v/>
      </c>
      <c r="D116" s="5" t="e">
        <f t="shared" si="2"/>
        <v>#REF!</v>
      </c>
      <c r="E116" s="5" t="e">
        <f t="shared" si="3"/>
        <v>#REF!</v>
      </c>
      <c r="F116" s="5" t="e">
        <f t="shared" si="4"/>
        <v>#REF!</v>
      </c>
      <c r="H116" s="5" t="e">
        <f>'Energia Elétrica e térmica'!#REF!</f>
        <v>#REF!</v>
      </c>
      <c r="I116" s="38">
        <f>'Energia Elétrica e térmica'!D216</f>
        <v>0</v>
      </c>
      <c r="J116" s="5" t="e">
        <f t="shared" si="5"/>
        <v>#REF!</v>
      </c>
      <c r="K116" s="5" t="e">
        <f t="shared" si="6"/>
        <v>#REF!</v>
      </c>
      <c r="L116" s="5" t="e">
        <f t="shared" si="7"/>
        <v>#REF!</v>
      </c>
    </row>
    <row r="117" spans="2:12" x14ac:dyDescent="0.25">
      <c r="B117" s="5" t="e">
        <f>'Energia Elétrica e térmica'!#REF!</f>
        <v>#REF!</v>
      </c>
      <c r="C117" s="38" t="str">
        <f>'Energia Elétrica e térmica'!G96</f>
        <v/>
      </c>
      <c r="D117" s="5" t="e">
        <f t="shared" si="2"/>
        <v>#REF!</v>
      </c>
      <c r="E117" s="5" t="e">
        <f t="shared" si="3"/>
        <v>#REF!</v>
      </c>
      <c r="F117" s="5" t="e">
        <f t="shared" si="4"/>
        <v>#REF!</v>
      </c>
      <c r="H117" s="5" t="e">
        <f>'Energia Elétrica e térmica'!#REF!</f>
        <v>#REF!</v>
      </c>
      <c r="I117" s="38">
        <f>'Energia Elétrica e térmica'!D217</f>
        <v>0</v>
      </c>
      <c r="J117" s="5" t="e">
        <f t="shared" si="5"/>
        <v>#REF!</v>
      </c>
      <c r="K117" s="5" t="e">
        <f t="shared" si="6"/>
        <v>#REF!</v>
      </c>
      <c r="L117" s="5" t="e">
        <f t="shared" si="7"/>
        <v>#REF!</v>
      </c>
    </row>
    <row r="118" spans="2:12" x14ac:dyDescent="0.25">
      <c r="B118" s="5" t="e">
        <f>'Energia Elétrica e térmica'!#REF!</f>
        <v>#REF!</v>
      </c>
      <c r="C118" s="38" t="str">
        <f>'Energia Elétrica e térmica'!G97</f>
        <v/>
      </c>
      <c r="D118" s="5" t="e">
        <f t="shared" si="2"/>
        <v>#REF!</v>
      </c>
      <c r="E118" s="5" t="e">
        <f t="shared" si="3"/>
        <v>#REF!</v>
      </c>
      <c r="F118" s="5" t="e">
        <f t="shared" si="4"/>
        <v>#REF!</v>
      </c>
      <c r="H118" s="5" t="e">
        <f>'Energia Elétrica e térmica'!#REF!</f>
        <v>#REF!</v>
      </c>
      <c r="I118" s="38">
        <f>'Energia Elétrica e térmica'!D218</f>
        <v>0</v>
      </c>
      <c r="J118" s="5" t="e">
        <f t="shared" si="5"/>
        <v>#REF!</v>
      </c>
      <c r="K118" s="5" t="e">
        <f t="shared" si="6"/>
        <v>#REF!</v>
      </c>
      <c r="L118" s="5" t="e">
        <f t="shared" si="7"/>
        <v>#REF!</v>
      </c>
    </row>
    <row r="119" spans="2:12" x14ac:dyDescent="0.25">
      <c r="B119" s="5" t="e">
        <f>'Energia Elétrica e térmica'!#REF!</f>
        <v>#REF!</v>
      </c>
      <c r="C119" s="38" t="str">
        <f>'Energia Elétrica e térmica'!G98</f>
        <v/>
      </c>
      <c r="D119" s="5" t="e">
        <f t="shared" ref="D119:D153" si="8">IF(B119=$D$53,C119,0)</f>
        <v>#REF!</v>
      </c>
      <c r="E119" s="5" t="e">
        <f t="shared" ref="E119:E153" si="9">IF(B119=$E$53,C119,0)</f>
        <v>#REF!</v>
      </c>
      <c r="F119" s="5" t="e">
        <f t="shared" ref="F119:F153" si="10">IF(B119=$F$53,C119,0)</f>
        <v>#REF!</v>
      </c>
      <c r="H119" s="5" t="e">
        <f>'Energia Elétrica e térmica'!#REF!</f>
        <v>#REF!</v>
      </c>
      <c r="I119" s="38">
        <f>'Energia Elétrica e térmica'!D219</f>
        <v>0</v>
      </c>
      <c r="J119" s="5" t="e">
        <f t="shared" ref="J119:J153" si="11">IF(H119=$J$53,I119,0)</f>
        <v>#REF!</v>
      </c>
      <c r="K119" s="5" t="e">
        <f t="shared" ref="K119:K153" si="12">IF(H119=$K$53,I119,0)</f>
        <v>#REF!</v>
      </c>
      <c r="L119" s="5" t="e">
        <f t="shared" ref="L119:L153" si="13">IF(H119=$L$53,I119,0)</f>
        <v>#REF!</v>
      </c>
    </row>
    <row r="120" spans="2:12" x14ac:dyDescent="0.25">
      <c r="B120" s="5" t="e">
        <f>'Energia Elétrica e térmica'!#REF!</f>
        <v>#REF!</v>
      </c>
      <c r="C120" s="38" t="str">
        <f>'Energia Elétrica e térmica'!G99</f>
        <v/>
      </c>
      <c r="D120" s="5" t="e">
        <f t="shared" si="8"/>
        <v>#REF!</v>
      </c>
      <c r="E120" s="5" t="e">
        <f t="shared" si="9"/>
        <v>#REF!</v>
      </c>
      <c r="F120" s="5" t="e">
        <f t="shared" si="10"/>
        <v>#REF!</v>
      </c>
      <c r="H120" s="5" t="e">
        <f>'Energia Elétrica e térmica'!#REF!</f>
        <v>#REF!</v>
      </c>
      <c r="I120" s="38">
        <f>'Energia Elétrica e térmica'!D220</f>
        <v>0</v>
      </c>
      <c r="J120" s="5" t="e">
        <f t="shared" si="11"/>
        <v>#REF!</v>
      </c>
      <c r="K120" s="5" t="e">
        <f t="shared" si="12"/>
        <v>#REF!</v>
      </c>
      <c r="L120" s="5" t="e">
        <f t="shared" si="13"/>
        <v>#REF!</v>
      </c>
    </row>
    <row r="121" spans="2:12" x14ac:dyDescent="0.25">
      <c r="B121" s="5" t="e">
        <f>'Energia Elétrica e térmica'!#REF!</f>
        <v>#REF!</v>
      </c>
      <c r="C121" s="38" t="str">
        <f>'Energia Elétrica e térmica'!G100</f>
        <v/>
      </c>
      <c r="D121" s="5" t="e">
        <f t="shared" si="8"/>
        <v>#REF!</v>
      </c>
      <c r="E121" s="5" t="e">
        <f t="shared" si="9"/>
        <v>#REF!</v>
      </c>
      <c r="F121" s="5" t="e">
        <f t="shared" si="10"/>
        <v>#REF!</v>
      </c>
      <c r="H121" s="5" t="e">
        <f>'Energia Elétrica e térmica'!#REF!</f>
        <v>#REF!</v>
      </c>
      <c r="I121" s="38">
        <f>'Energia Elétrica e térmica'!D221</f>
        <v>0</v>
      </c>
      <c r="J121" s="5" t="e">
        <f t="shared" si="11"/>
        <v>#REF!</v>
      </c>
      <c r="K121" s="5" t="e">
        <f t="shared" si="12"/>
        <v>#REF!</v>
      </c>
      <c r="L121" s="5" t="e">
        <f t="shared" si="13"/>
        <v>#REF!</v>
      </c>
    </row>
    <row r="122" spans="2:12" x14ac:dyDescent="0.25">
      <c r="B122" s="5" t="e">
        <f>'Energia Elétrica e térmica'!#REF!</f>
        <v>#REF!</v>
      </c>
      <c r="C122" s="38" t="str">
        <f>'Energia Elétrica e térmica'!G101</f>
        <v/>
      </c>
      <c r="D122" s="5" t="e">
        <f t="shared" si="8"/>
        <v>#REF!</v>
      </c>
      <c r="E122" s="5" t="e">
        <f t="shared" si="9"/>
        <v>#REF!</v>
      </c>
      <c r="F122" s="5" t="e">
        <f t="shared" si="10"/>
        <v>#REF!</v>
      </c>
      <c r="H122" s="5" t="e">
        <f>'Energia Elétrica e térmica'!#REF!</f>
        <v>#REF!</v>
      </c>
      <c r="I122" s="38">
        <f>'Energia Elétrica e térmica'!D222</f>
        <v>0</v>
      </c>
      <c r="J122" s="5" t="e">
        <f t="shared" si="11"/>
        <v>#REF!</v>
      </c>
      <c r="K122" s="5" t="e">
        <f t="shared" si="12"/>
        <v>#REF!</v>
      </c>
      <c r="L122" s="5" t="e">
        <f t="shared" si="13"/>
        <v>#REF!</v>
      </c>
    </row>
    <row r="123" spans="2:12" x14ac:dyDescent="0.25">
      <c r="B123" s="5" t="e">
        <f>'Energia Elétrica e térmica'!#REF!</f>
        <v>#REF!</v>
      </c>
      <c r="C123" s="38" t="str">
        <f>'Energia Elétrica e térmica'!G102</f>
        <v/>
      </c>
      <c r="D123" s="5" t="e">
        <f t="shared" si="8"/>
        <v>#REF!</v>
      </c>
      <c r="E123" s="5" t="e">
        <f t="shared" si="9"/>
        <v>#REF!</v>
      </c>
      <c r="F123" s="5" t="e">
        <f t="shared" si="10"/>
        <v>#REF!</v>
      </c>
      <c r="H123" s="5" t="e">
        <f>'Energia Elétrica e térmica'!#REF!</f>
        <v>#REF!</v>
      </c>
      <c r="I123" s="38">
        <f>'Energia Elétrica e térmica'!D223</f>
        <v>0</v>
      </c>
      <c r="J123" s="5" t="e">
        <f t="shared" si="11"/>
        <v>#REF!</v>
      </c>
      <c r="K123" s="5" t="e">
        <f t="shared" si="12"/>
        <v>#REF!</v>
      </c>
      <c r="L123" s="5" t="e">
        <f t="shared" si="13"/>
        <v>#REF!</v>
      </c>
    </row>
    <row r="124" spans="2:12" x14ac:dyDescent="0.25">
      <c r="B124" s="5" t="e">
        <f>'Energia Elétrica e térmica'!#REF!</f>
        <v>#REF!</v>
      </c>
      <c r="C124" s="38" t="str">
        <f>'Energia Elétrica e térmica'!G103</f>
        <v/>
      </c>
      <c r="D124" s="5" t="e">
        <f t="shared" si="8"/>
        <v>#REF!</v>
      </c>
      <c r="E124" s="5" t="e">
        <f t="shared" si="9"/>
        <v>#REF!</v>
      </c>
      <c r="F124" s="5" t="e">
        <f t="shared" si="10"/>
        <v>#REF!</v>
      </c>
      <c r="H124" s="5" t="e">
        <f>'Energia Elétrica e térmica'!#REF!</f>
        <v>#REF!</v>
      </c>
      <c r="I124" s="38">
        <f>'Energia Elétrica e térmica'!D224</f>
        <v>0</v>
      </c>
      <c r="J124" s="5" t="e">
        <f t="shared" si="11"/>
        <v>#REF!</v>
      </c>
      <c r="K124" s="5" t="e">
        <f t="shared" si="12"/>
        <v>#REF!</v>
      </c>
      <c r="L124" s="5" t="e">
        <f t="shared" si="13"/>
        <v>#REF!</v>
      </c>
    </row>
    <row r="125" spans="2:12" x14ac:dyDescent="0.25">
      <c r="B125" s="5" t="e">
        <f>'Energia Elétrica e térmica'!#REF!</f>
        <v>#REF!</v>
      </c>
      <c r="C125" s="38" t="str">
        <f>'Energia Elétrica e térmica'!G104</f>
        <v/>
      </c>
      <c r="D125" s="5" t="e">
        <f t="shared" si="8"/>
        <v>#REF!</v>
      </c>
      <c r="E125" s="5" t="e">
        <f t="shared" si="9"/>
        <v>#REF!</v>
      </c>
      <c r="F125" s="5" t="e">
        <f t="shared" si="10"/>
        <v>#REF!</v>
      </c>
      <c r="H125" s="5" t="e">
        <f>'Energia Elétrica e térmica'!#REF!</f>
        <v>#REF!</v>
      </c>
      <c r="I125" s="38">
        <f>'Energia Elétrica e térmica'!D225</f>
        <v>0</v>
      </c>
      <c r="J125" s="5" t="e">
        <f t="shared" si="11"/>
        <v>#REF!</v>
      </c>
      <c r="K125" s="5" t="e">
        <f t="shared" si="12"/>
        <v>#REF!</v>
      </c>
      <c r="L125" s="5" t="e">
        <f t="shared" si="13"/>
        <v>#REF!</v>
      </c>
    </row>
    <row r="126" spans="2:12" x14ac:dyDescent="0.25">
      <c r="B126" s="5" t="e">
        <f>'Energia Elétrica e térmica'!#REF!</f>
        <v>#REF!</v>
      </c>
      <c r="C126" s="38" t="str">
        <f>'Energia Elétrica e térmica'!G105</f>
        <v/>
      </c>
      <c r="D126" s="5" t="e">
        <f t="shared" si="8"/>
        <v>#REF!</v>
      </c>
      <c r="E126" s="5" t="e">
        <f t="shared" si="9"/>
        <v>#REF!</v>
      </c>
      <c r="F126" s="5" t="e">
        <f t="shared" si="10"/>
        <v>#REF!</v>
      </c>
      <c r="H126" s="5" t="e">
        <f>'Energia Elétrica e térmica'!#REF!</f>
        <v>#REF!</v>
      </c>
      <c r="I126" s="38">
        <f>'Energia Elétrica e térmica'!D226</f>
        <v>0</v>
      </c>
      <c r="J126" s="5" t="e">
        <f t="shared" si="11"/>
        <v>#REF!</v>
      </c>
      <c r="K126" s="5" t="e">
        <f t="shared" si="12"/>
        <v>#REF!</v>
      </c>
      <c r="L126" s="5" t="e">
        <f t="shared" si="13"/>
        <v>#REF!</v>
      </c>
    </row>
    <row r="127" spans="2:12" x14ac:dyDescent="0.25">
      <c r="B127" s="5" t="e">
        <f>'Energia Elétrica e térmica'!#REF!</f>
        <v>#REF!</v>
      </c>
      <c r="C127" s="38" t="str">
        <f>'Energia Elétrica e térmica'!G106</f>
        <v/>
      </c>
      <c r="D127" s="5" t="e">
        <f t="shared" si="8"/>
        <v>#REF!</v>
      </c>
      <c r="E127" s="5" t="e">
        <f t="shared" si="9"/>
        <v>#REF!</v>
      </c>
      <c r="F127" s="5" t="e">
        <f t="shared" si="10"/>
        <v>#REF!</v>
      </c>
      <c r="H127" s="5" t="e">
        <f>'Energia Elétrica e térmica'!#REF!</f>
        <v>#REF!</v>
      </c>
      <c r="I127" s="38">
        <f>'Energia Elétrica e térmica'!D227</f>
        <v>0</v>
      </c>
      <c r="J127" s="5" t="e">
        <f t="shared" si="11"/>
        <v>#REF!</v>
      </c>
      <c r="K127" s="5" t="e">
        <f t="shared" si="12"/>
        <v>#REF!</v>
      </c>
      <c r="L127" s="5" t="e">
        <f t="shared" si="13"/>
        <v>#REF!</v>
      </c>
    </row>
    <row r="128" spans="2:12" x14ac:dyDescent="0.25">
      <c r="B128" s="5" t="e">
        <f>'Energia Elétrica e térmica'!#REF!</f>
        <v>#REF!</v>
      </c>
      <c r="C128" s="38" t="str">
        <f>'Energia Elétrica e térmica'!G107</f>
        <v/>
      </c>
      <c r="D128" s="5" t="e">
        <f t="shared" si="8"/>
        <v>#REF!</v>
      </c>
      <c r="E128" s="5" t="e">
        <f t="shared" si="9"/>
        <v>#REF!</v>
      </c>
      <c r="F128" s="5" t="e">
        <f t="shared" si="10"/>
        <v>#REF!</v>
      </c>
      <c r="H128" s="5" t="e">
        <f>'Energia Elétrica e térmica'!#REF!</f>
        <v>#REF!</v>
      </c>
      <c r="I128" s="38">
        <f>'Energia Elétrica e térmica'!D228</f>
        <v>0</v>
      </c>
      <c r="J128" s="5" t="e">
        <f t="shared" si="11"/>
        <v>#REF!</v>
      </c>
      <c r="K128" s="5" t="e">
        <f t="shared" si="12"/>
        <v>#REF!</v>
      </c>
      <c r="L128" s="5" t="e">
        <f t="shared" si="13"/>
        <v>#REF!</v>
      </c>
    </row>
    <row r="129" spans="2:12" x14ac:dyDescent="0.25">
      <c r="B129" s="5" t="e">
        <f>'Energia Elétrica e térmica'!#REF!</f>
        <v>#REF!</v>
      </c>
      <c r="C129" s="38" t="str">
        <f>'Energia Elétrica e térmica'!G108</f>
        <v/>
      </c>
      <c r="D129" s="5" t="e">
        <f t="shared" si="8"/>
        <v>#REF!</v>
      </c>
      <c r="E129" s="5" t="e">
        <f t="shared" si="9"/>
        <v>#REF!</v>
      </c>
      <c r="F129" s="5" t="e">
        <f t="shared" si="10"/>
        <v>#REF!</v>
      </c>
      <c r="H129" s="5" t="e">
        <f>'Energia Elétrica e térmica'!#REF!</f>
        <v>#REF!</v>
      </c>
      <c r="I129" s="38">
        <f>'Energia Elétrica e térmica'!D229</f>
        <v>0</v>
      </c>
      <c r="J129" s="5" t="e">
        <f t="shared" si="11"/>
        <v>#REF!</v>
      </c>
      <c r="K129" s="5" t="e">
        <f t="shared" si="12"/>
        <v>#REF!</v>
      </c>
      <c r="L129" s="5" t="e">
        <f t="shared" si="13"/>
        <v>#REF!</v>
      </c>
    </row>
    <row r="130" spans="2:12" x14ac:dyDescent="0.25">
      <c r="B130" s="5" t="e">
        <f>'Energia Elétrica e térmica'!#REF!</f>
        <v>#REF!</v>
      </c>
      <c r="C130" s="38" t="str">
        <f>'Energia Elétrica e térmica'!G109</f>
        <v/>
      </c>
      <c r="D130" s="5" t="e">
        <f t="shared" si="8"/>
        <v>#REF!</v>
      </c>
      <c r="E130" s="5" t="e">
        <f t="shared" si="9"/>
        <v>#REF!</v>
      </c>
      <c r="F130" s="5" t="e">
        <f t="shared" si="10"/>
        <v>#REF!</v>
      </c>
      <c r="H130" s="5" t="e">
        <f>'Energia Elétrica e térmica'!#REF!</f>
        <v>#REF!</v>
      </c>
      <c r="I130" s="38">
        <f>'Energia Elétrica e térmica'!D230</f>
        <v>0</v>
      </c>
      <c r="J130" s="5" t="e">
        <f t="shared" si="11"/>
        <v>#REF!</v>
      </c>
      <c r="K130" s="5" t="e">
        <f t="shared" si="12"/>
        <v>#REF!</v>
      </c>
      <c r="L130" s="5" t="e">
        <f t="shared" si="13"/>
        <v>#REF!</v>
      </c>
    </row>
    <row r="131" spans="2:12" x14ac:dyDescent="0.25">
      <c r="B131" s="5" t="e">
        <f>'Energia Elétrica e térmica'!#REF!</f>
        <v>#REF!</v>
      </c>
      <c r="C131" s="38" t="str">
        <f>'Energia Elétrica e térmica'!G110</f>
        <v/>
      </c>
      <c r="D131" s="5" t="e">
        <f t="shared" si="8"/>
        <v>#REF!</v>
      </c>
      <c r="E131" s="5" t="e">
        <f t="shared" si="9"/>
        <v>#REF!</v>
      </c>
      <c r="F131" s="5" t="e">
        <f t="shared" si="10"/>
        <v>#REF!</v>
      </c>
      <c r="H131" s="5" t="e">
        <f>'Energia Elétrica e térmica'!#REF!</f>
        <v>#REF!</v>
      </c>
      <c r="I131" s="38">
        <f>'Energia Elétrica e térmica'!D231</f>
        <v>0</v>
      </c>
      <c r="J131" s="5" t="e">
        <f t="shared" si="11"/>
        <v>#REF!</v>
      </c>
      <c r="K131" s="5" t="e">
        <f t="shared" si="12"/>
        <v>#REF!</v>
      </c>
      <c r="L131" s="5" t="e">
        <f t="shared" si="13"/>
        <v>#REF!</v>
      </c>
    </row>
    <row r="132" spans="2:12" x14ac:dyDescent="0.25">
      <c r="B132" s="5" t="e">
        <f>'Energia Elétrica e térmica'!#REF!</f>
        <v>#REF!</v>
      </c>
      <c r="C132" s="38" t="str">
        <f>'Energia Elétrica e térmica'!G111</f>
        <v/>
      </c>
      <c r="D132" s="5" t="e">
        <f t="shared" si="8"/>
        <v>#REF!</v>
      </c>
      <c r="E132" s="5" t="e">
        <f t="shared" si="9"/>
        <v>#REF!</v>
      </c>
      <c r="F132" s="5" t="e">
        <f t="shared" si="10"/>
        <v>#REF!</v>
      </c>
      <c r="H132" s="5" t="e">
        <f>'Energia Elétrica e térmica'!#REF!</f>
        <v>#REF!</v>
      </c>
      <c r="I132" s="38">
        <f>'Energia Elétrica e térmica'!D232</f>
        <v>0</v>
      </c>
      <c r="J132" s="5" t="e">
        <f t="shared" si="11"/>
        <v>#REF!</v>
      </c>
      <c r="K132" s="5" t="e">
        <f t="shared" si="12"/>
        <v>#REF!</v>
      </c>
      <c r="L132" s="5" t="e">
        <f t="shared" si="13"/>
        <v>#REF!</v>
      </c>
    </row>
    <row r="133" spans="2:12" x14ac:dyDescent="0.25">
      <c r="B133" s="5" t="e">
        <f>'Energia Elétrica e térmica'!#REF!</f>
        <v>#REF!</v>
      </c>
      <c r="C133" s="38" t="str">
        <f>'Energia Elétrica e térmica'!G112</f>
        <v/>
      </c>
      <c r="D133" s="5" t="e">
        <f t="shared" si="8"/>
        <v>#REF!</v>
      </c>
      <c r="E133" s="5" t="e">
        <f t="shared" si="9"/>
        <v>#REF!</v>
      </c>
      <c r="F133" s="5" t="e">
        <f t="shared" si="10"/>
        <v>#REF!</v>
      </c>
      <c r="H133" s="5" t="e">
        <f>'Energia Elétrica e térmica'!#REF!</f>
        <v>#REF!</v>
      </c>
      <c r="I133" s="38">
        <f>'Energia Elétrica e térmica'!D233</f>
        <v>0</v>
      </c>
      <c r="J133" s="5" t="e">
        <f t="shared" si="11"/>
        <v>#REF!</v>
      </c>
      <c r="K133" s="5" t="e">
        <f t="shared" si="12"/>
        <v>#REF!</v>
      </c>
      <c r="L133" s="5" t="e">
        <f t="shared" si="13"/>
        <v>#REF!</v>
      </c>
    </row>
    <row r="134" spans="2:12" x14ac:dyDescent="0.25">
      <c r="B134" s="5" t="e">
        <f>'Energia Elétrica e térmica'!#REF!</f>
        <v>#REF!</v>
      </c>
      <c r="C134" s="38" t="str">
        <f>'Energia Elétrica e térmica'!G113</f>
        <v/>
      </c>
      <c r="D134" s="5" t="e">
        <f t="shared" si="8"/>
        <v>#REF!</v>
      </c>
      <c r="E134" s="5" t="e">
        <f t="shared" si="9"/>
        <v>#REF!</v>
      </c>
      <c r="F134" s="5" t="e">
        <f t="shared" si="10"/>
        <v>#REF!</v>
      </c>
      <c r="H134" s="5" t="e">
        <f>'Energia Elétrica e térmica'!#REF!</f>
        <v>#REF!</v>
      </c>
      <c r="I134" s="38">
        <f>'Energia Elétrica e térmica'!D234</f>
        <v>0</v>
      </c>
      <c r="J134" s="5" t="e">
        <f t="shared" si="11"/>
        <v>#REF!</v>
      </c>
      <c r="K134" s="5" t="e">
        <f t="shared" si="12"/>
        <v>#REF!</v>
      </c>
      <c r="L134" s="5" t="e">
        <f t="shared" si="13"/>
        <v>#REF!</v>
      </c>
    </row>
    <row r="135" spans="2:12" x14ac:dyDescent="0.25">
      <c r="B135" s="5" t="e">
        <f>'Energia Elétrica e térmica'!#REF!</f>
        <v>#REF!</v>
      </c>
      <c r="C135" s="38" t="str">
        <f>'Energia Elétrica e térmica'!G114</f>
        <v/>
      </c>
      <c r="D135" s="5" t="e">
        <f t="shared" si="8"/>
        <v>#REF!</v>
      </c>
      <c r="E135" s="5" t="e">
        <f t="shared" si="9"/>
        <v>#REF!</v>
      </c>
      <c r="F135" s="5" t="e">
        <f t="shared" si="10"/>
        <v>#REF!</v>
      </c>
      <c r="H135" s="5" t="e">
        <f>'Energia Elétrica e térmica'!#REF!</f>
        <v>#REF!</v>
      </c>
      <c r="I135" s="38">
        <f>'Energia Elétrica e térmica'!D235</f>
        <v>0</v>
      </c>
      <c r="J135" s="5" t="e">
        <f t="shared" si="11"/>
        <v>#REF!</v>
      </c>
      <c r="K135" s="5" t="e">
        <f t="shared" si="12"/>
        <v>#REF!</v>
      </c>
      <c r="L135" s="5" t="e">
        <f t="shared" si="13"/>
        <v>#REF!</v>
      </c>
    </row>
    <row r="136" spans="2:12" x14ac:dyDescent="0.25">
      <c r="B136" s="5" t="e">
        <f>'Energia Elétrica e térmica'!#REF!</f>
        <v>#REF!</v>
      </c>
      <c r="C136" s="38" t="str">
        <f>'Energia Elétrica e térmica'!G115</f>
        <v/>
      </c>
      <c r="D136" s="5" t="e">
        <f t="shared" si="8"/>
        <v>#REF!</v>
      </c>
      <c r="E136" s="5" t="e">
        <f t="shared" si="9"/>
        <v>#REF!</v>
      </c>
      <c r="F136" s="5" t="e">
        <f t="shared" si="10"/>
        <v>#REF!</v>
      </c>
      <c r="H136" s="5" t="e">
        <f>'Energia Elétrica e térmica'!#REF!</f>
        <v>#REF!</v>
      </c>
      <c r="I136" s="38">
        <f>'Energia Elétrica e térmica'!D236</f>
        <v>0</v>
      </c>
      <c r="J136" s="5" t="e">
        <f t="shared" si="11"/>
        <v>#REF!</v>
      </c>
      <c r="K136" s="5" t="e">
        <f t="shared" si="12"/>
        <v>#REF!</v>
      </c>
      <c r="L136" s="5" t="e">
        <f t="shared" si="13"/>
        <v>#REF!</v>
      </c>
    </row>
    <row r="137" spans="2:12" x14ac:dyDescent="0.25">
      <c r="B137" s="5" t="e">
        <f>'Energia Elétrica e térmica'!#REF!</f>
        <v>#REF!</v>
      </c>
      <c r="C137" s="38" t="str">
        <f>'Energia Elétrica e térmica'!G116</f>
        <v/>
      </c>
      <c r="D137" s="5" t="e">
        <f t="shared" si="8"/>
        <v>#REF!</v>
      </c>
      <c r="E137" s="5" t="e">
        <f t="shared" si="9"/>
        <v>#REF!</v>
      </c>
      <c r="F137" s="5" t="e">
        <f t="shared" si="10"/>
        <v>#REF!</v>
      </c>
      <c r="H137" s="5" t="e">
        <f>'Energia Elétrica e térmica'!#REF!</f>
        <v>#REF!</v>
      </c>
      <c r="I137" s="38">
        <f>'Energia Elétrica e térmica'!D237</f>
        <v>0</v>
      </c>
      <c r="J137" s="5" t="e">
        <f t="shared" si="11"/>
        <v>#REF!</v>
      </c>
      <c r="K137" s="5" t="e">
        <f t="shared" si="12"/>
        <v>#REF!</v>
      </c>
      <c r="L137" s="5" t="e">
        <f t="shared" si="13"/>
        <v>#REF!</v>
      </c>
    </row>
    <row r="138" spans="2:12" x14ac:dyDescent="0.25">
      <c r="B138" s="5" t="e">
        <f>'Energia Elétrica e térmica'!#REF!</f>
        <v>#REF!</v>
      </c>
      <c r="C138" s="38" t="str">
        <f>'Energia Elétrica e térmica'!G117</f>
        <v/>
      </c>
      <c r="D138" s="5" t="e">
        <f t="shared" si="8"/>
        <v>#REF!</v>
      </c>
      <c r="E138" s="5" t="e">
        <f t="shared" si="9"/>
        <v>#REF!</v>
      </c>
      <c r="F138" s="5" t="e">
        <f t="shared" si="10"/>
        <v>#REF!</v>
      </c>
      <c r="H138" s="5" t="e">
        <f>'Energia Elétrica e térmica'!#REF!</f>
        <v>#REF!</v>
      </c>
      <c r="I138" s="38">
        <f>'Energia Elétrica e térmica'!D238</f>
        <v>0</v>
      </c>
      <c r="J138" s="5" t="e">
        <f t="shared" si="11"/>
        <v>#REF!</v>
      </c>
      <c r="K138" s="5" t="e">
        <f t="shared" si="12"/>
        <v>#REF!</v>
      </c>
      <c r="L138" s="5" t="e">
        <f t="shared" si="13"/>
        <v>#REF!</v>
      </c>
    </row>
    <row r="139" spans="2:12" x14ac:dyDescent="0.25">
      <c r="B139" s="5" t="e">
        <f>'Energia Elétrica e térmica'!#REF!</f>
        <v>#REF!</v>
      </c>
      <c r="C139" s="38" t="str">
        <f>'Energia Elétrica e térmica'!G118</f>
        <v/>
      </c>
      <c r="D139" s="5" t="e">
        <f t="shared" si="8"/>
        <v>#REF!</v>
      </c>
      <c r="E139" s="5" t="e">
        <f t="shared" si="9"/>
        <v>#REF!</v>
      </c>
      <c r="F139" s="5" t="e">
        <f t="shared" si="10"/>
        <v>#REF!</v>
      </c>
      <c r="H139" s="5" t="e">
        <f>'Energia Elétrica e térmica'!#REF!</f>
        <v>#REF!</v>
      </c>
      <c r="I139" s="38">
        <f>'Energia Elétrica e térmica'!D239</f>
        <v>0</v>
      </c>
      <c r="J139" s="5" t="e">
        <f t="shared" si="11"/>
        <v>#REF!</v>
      </c>
      <c r="K139" s="5" t="e">
        <f t="shared" si="12"/>
        <v>#REF!</v>
      </c>
      <c r="L139" s="5" t="e">
        <f t="shared" si="13"/>
        <v>#REF!</v>
      </c>
    </row>
    <row r="140" spans="2:12" x14ac:dyDescent="0.25">
      <c r="B140" s="5" t="e">
        <f>'Energia Elétrica e térmica'!#REF!</f>
        <v>#REF!</v>
      </c>
      <c r="C140" s="38" t="str">
        <f>'Energia Elétrica e térmica'!G119</f>
        <v/>
      </c>
      <c r="D140" s="5" t="e">
        <f t="shared" si="8"/>
        <v>#REF!</v>
      </c>
      <c r="E140" s="5" t="e">
        <f t="shared" si="9"/>
        <v>#REF!</v>
      </c>
      <c r="F140" s="5" t="e">
        <f t="shared" si="10"/>
        <v>#REF!</v>
      </c>
      <c r="H140" s="5" t="e">
        <f>'Energia Elétrica e térmica'!#REF!</f>
        <v>#REF!</v>
      </c>
      <c r="I140" s="38">
        <f>'Energia Elétrica e térmica'!D240</f>
        <v>0</v>
      </c>
      <c r="J140" s="5" t="e">
        <f t="shared" si="11"/>
        <v>#REF!</v>
      </c>
      <c r="K140" s="5" t="e">
        <f t="shared" si="12"/>
        <v>#REF!</v>
      </c>
      <c r="L140" s="5" t="e">
        <f t="shared" si="13"/>
        <v>#REF!</v>
      </c>
    </row>
    <row r="141" spans="2:12" x14ac:dyDescent="0.25">
      <c r="B141" s="5" t="e">
        <f>'Energia Elétrica e térmica'!#REF!</f>
        <v>#REF!</v>
      </c>
      <c r="C141" s="38" t="str">
        <f>'Energia Elétrica e térmica'!G120</f>
        <v/>
      </c>
      <c r="D141" s="5" t="e">
        <f t="shared" si="8"/>
        <v>#REF!</v>
      </c>
      <c r="E141" s="5" t="e">
        <f t="shared" si="9"/>
        <v>#REF!</v>
      </c>
      <c r="F141" s="5" t="e">
        <f t="shared" si="10"/>
        <v>#REF!</v>
      </c>
      <c r="H141" s="5" t="e">
        <f>'Energia Elétrica e térmica'!#REF!</f>
        <v>#REF!</v>
      </c>
      <c r="I141" s="38">
        <f>'Energia Elétrica e térmica'!D241</f>
        <v>0</v>
      </c>
      <c r="J141" s="5" t="e">
        <f t="shared" si="11"/>
        <v>#REF!</v>
      </c>
      <c r="K141" s="5" t="e">
        <f t="shared" si="12"/>
        <v>#REF!</v>
      </c>
      <c r="L141" s="5" t="e">
        <f t="shared" si="13"/>
        <v>#REF!</v>
      </c>
    </row>
    <row r="142" spans="2:12" x14ac:dyDescent="0.25">
      <c r="B142" s="5" t="e">
        <f>'Energia Elétrica e térmica'!#REF!</f>
        <v>#REF!</v>
      </c>
      <c r="C142" s="38" t="str">
        <f>'Energia Elétrica e térmica'!G121</f>
        <v/>
      </c>
      <c r="D142" s="5" t="e">
        <f t="shared" si="8"/>
        <v>#REF!</v>
      </c>
      <c r="E142" s="5" t="e">
        <f t="shared" si="9"/>
        <v>#REF!</v>
      </c>
      <c r="F142" s="5" t="e">
        <f t="shared" si="10"/>
        <v>#REF!</v>
      </c>
      <c r="H142" s="5" t="e">
        <f>'Energia Elétrica e térmica'!#REF!</f>
        <v>#REF!</v>
      </c>
      <c r="I142" s="38">
        <f>'Energia Elétrica e térmica'!D242</f>
        <v>0</v>
      </c>
      <c r="J142" s="5" t="e">
        <f t="shared" si="11"/>
        <v>#REF!</v>
      </c>
      <c r="K142" s="5" t="e">
        <f t="shared" si="12"/>
        <v>#REF!</v>
      </c>
      <c r="L142" s="5" t="e">
        <f t="shared" si="13"/>
        <v>#REF!</v>
      </c>
    </row>
    <row r="143" spans="2:12" x14ac:dyDescent="0.25">
      <c r="B143" s="5" t="e">
        <f>'Energia Elétrica e térmica'!#REF!</f>
        <v>#REF!</v>
      </c>
      <c r="C143" s="38" t="str">
        <f>'Energia Elétrica e térmica'!G122</f>
        <v/>
      </c>
      <c r="D143" s="5" t="e">
        <f t="shared" si="8"/>
        <v>#REF!</v>
      </c>
      <c r="E143" s="5" t="e">
        <f t="shared" si="9"/>
        <v>#REF!</v>
      </c>
      <c r="F143" s="5" t="e">
        <f t="shared" si="10"/>
        <v>#REF!</v>
      </c>
      <c r="H143" s="5" t="e">
        <f>'Energia Elétrica e térmica'!#REF!</f>
        <v>#REF!</v>
      </c>
      <c r="I143" s="38">
        <f>'Energia Elétrica e térmica'!D243</f>
        <v>0</v>
      </c>
      <c r="J143" s="5" t="e">
        <f t="shared" si="11"/>
        <v>#REF!</v>
      </c>
      <c r="K143" s="5" t="e">
        <f t="shared" si="12"/>
        <v>#REF!</v>
      </c>
      <c r="L143" s="5" t="e">
        <f t="shared" si="13"/>
        <v>#REF!</v>
      </c>
    </row>
    <row r="144" spans="2:12" x14ac:dyDescent="0.25">
      <c r="B144" s="5" t="e">
        <f>'Energia Elétrica e térmica'!#REF!</f>
        <v>#REF!</v>
      </c>
      <c r="C144" s="38" t="str">
        <f>'Energia Elétrica e térmica'!G123</f>
        <v/>
      </c>
      <c r="D144" s="5" t="e">
        <f t="shared" si="8"/>
        <v>#REF!</v>
      </c>
      <c r="E144" s="5" t="e">
        <f t="shared" si="9"/>
        <v>#REF!</v>
      </c>
      <c r="F144" s="5" t="e">
        <f t="shared" si="10"/>
        <v>#REF!</v>
      </c>
      <c r="H144" s="5" t="e">
        <f>'Energia Elétrica e térmica'!#REF!</f>
        <v>#REF!</v>
      </c>
      <c r="I144" s="38">
        <f>'Energia Elétrica e térmica'!D244</f>
        <v>0</v>
      </c>
      <c r="J144" s="5" t="e">
        <f t="shared" si="11"/>
        <v>#REF!</v>
      </c>
      <c r="K144" s="5" t="e">
        <f t="shared" si="12"/>
        <v>#REF!</v>
      </c>
      <c r="L144" s="5" t="e">
        <f t="shared" si="13"/>
        <v>#REF!</v>
      </c>
    </row>
    <row r="145" spans="2:12" x14ac:dyDescent="0.25">
      <c r="B145" s="5" t="e">
        <f>'Energia Elétrica e térmica'!#REF!</f>
        <v>#REF!</v>
      </c>
      <c r="C145" s="38" t="str">
        <f>'Energia Elétrica e térmica'!G124</f>
        <v/>
      </c>
      <c r="D145" s="5" t="e">
        <f t="shared" si="8"/>
        <v>#REF!</v>
      </c>
      <c r="E145" s="5" t="e">
        <f t="shared" si="9"/>
        <v>#REF!</v>
      </c>
      <c r="F145" s="5" t="e">
        <f t="shared" si="10"/>
        <v>#REF!</v>
      </c>
      <c r="H145" s="5" t="e">
        <f>'Energia Elétrica e térmica'!#REF!</f>
        <v>#REF!</v>
      </c>
      <c r="I145" s="38">
        <f>'Energia Elétrica e térmica'!D245</f>
        <v>0</v>
      </c>
      <c r="J145" s="5" t="e">
        <f t="shared" si="11"/>
        <v>#REF!</v>
      </c>
      <c r="K145" s="5" t="e">
        <f t="shared" si="12"/>
        <v>#REF!</v>
      </c>
      <c r="L145" s="5" t="e">
        <f t="shared" si="13"/>
        <v>#REF!</v>
      </c>
    </row>
    <row r="146" spans="2:12" x14ac:dyDescent="0.25">
      <c r="B146" s="5" t="e">
        <f>'Energia Elétrica e térmica'!#REF!</f>
        <v>#REF!</v>
      </c>
      <c r="C146" s="38" t="str">
        <f>'Energia Elétrica e térmica'!G125</f>
        <v/>
      </c>
      <c r="D146" s="5" t="e">
        <f t="shared" si="8"/>
        <v>#REF!</v>
      </c>
      <c r="E146" s="5" t="e">
        <f t="shared" si="9"/>
        <v>#REF!</v>
      </c>
      <c r="F146" s="5" t="e">
        <f t="shared" si="10"/>
        <v>#REF!</v>
      </c>
      <c r="H146" s="5" t="e">
        <f>'Energia Elétrica e térmica'!#REF!</f>
        <v>#REF!</v>
      </c>
      <c r="I146" s="38">
        <f>'Energia Elétrica e térmica'!D246</f>
        <v>0</v>
      </c>
      <c r="J146" s="5" t="e">
        <f t="shared" si="11"/>
        <v>#REF!</v>
      </c>
      <c r="K146" s="5" t="e">
        <f t="shared" si="12"/>
        <v>#REF!</v>
      </c>
      <c r="L146" s="5" t="e">
        <f t="shared" si="13"/>
        <v>#REF!</v>
      </c>
    </row>
    <row r="147" spans="2:12" x14ac:dyDescent="0.25">
      <c r="B147" s="5" t="e">
        <f>'Energia Elétrica e térmica'!#REF!</f>
        <v>#REF!</v>
      </c>
      <c r="C147" s="38" t="str">
        <f>'Energia Elétrica e térmica'!G126</f>
        <v/>
      </c>
      <c r="D147" s="5" t="e">
        <f t="shared" si="8"/>
        <v>#REF!</v>
      </c>
      <c r="E147" s="5" t="e">
        <f t="shared" si="9"/>
        <v>#REF!</v>
      </c>
      <c r="F147" s="5" t="e">
        <f t="shared" si="10"/>
        <v>#REF!</v>
      </c>
      <c r="H147" s="5" t="e">
        <f>'Energia Elétrica e térmica'!#REF!</f>
        <v>#REF!</v>
      </c>
      <c r="I147" s="38">
        <f>'Energia Elétrica e térmica'!D247</f>
        <v>0</v>
      </c>
      <c r="J147" s="5" t="e">
        <f t="shared" si="11"/>
        <v>#REF!</v>
      </c>
      <c r="K147" s="5" t="e">
        <f t="shared" si="12"/>
        <v>#REF!</v>
      </c>
      <c r="L147" s="5" t="e">
        <f t="shared" si="13"/>
        <v>#REF!</v>
      </c>
    </row>
    <row r="148" spans="2:12" x14ac:dyDescent="0.25">
      <c r="B148" s="5" t="e">
        <f>'Energia Elétrica e térmica'!#REF!</f>
        <v>#REF!</v>
      </c>
      <c r="C148" s="38" t="str">
        <f>'Energia Elétrica e térmica'!G127</f>
        <v/>
      </c>
      <c r="D148" s="5" t="e">
        <f t="shared" si="8"/>
        <v>#REF!</v>
      </c>
      <c r="E148" s="5" t="e">
        <f t="shared" si="9"/>
        <v>#REF!</v>
      </c>
      <c r="F148" s="5" t="e">
        <f t="shared" si="10"/>
        <v>#REF!</v>
      </c>
      <c r="H148" s="5" t="e">
        <f>'Energia Elétrica e térmica'!#REF!</f>
        <v>#REF!</v>
      </c>
      <c r="I148" s="38">
        <f>'Energia Elétrica e térmica'!D248</f>
        <v>0</v>
      </c>
      <c r="J148" s="5" t="e">
        <f t="shared" si="11"/>
        <v>#REF!</v>
      </c>
      <c r="K148" s="5" t="e">
        <f t="shared" si="12"/>
        <v>#REF!</v>
      </c>
      <c r="L148" s="5" t="e">
        <f t="shared" si="13"/>
        <v>#REF!</v>
      </c>
    </row>
    <row r="149" spans="2:12" x14ac:dyDescent="0.25">
      <c r="B149" s="5" t="e">
        <f>'Energia Elétrica e térmica'!#REF!</f>
        <v>#REF!</v>
      </c>
      <c r="C149" s="38" t="str">
        <f>'Energia Elétrica e térmica'!G128</f>
        <v/>
      </c>
      <c r="D149" s="5" t="e">
        <f t="shared" si="8"/>
        <v>#REF!</v>
      </c>
      <c r="E149" s="5" t="e">
        <f t="shared" si="9"/>
        <v>#REF!</v>
      </c>
      <c r="F149" s="5" t="e">
        <f t="shared" si="10"/>
        <v>#REF!</v>
      </c>
      <c r="H149" s="5" t="e">
        <f>'Energia Elétrica e térmica'!#REF!</f>
        <v>#REF!</v>
      </c>
      <c r="I149" s="38">
        <f>'Energia Elétrica e térmica'!D249</f>
        <v>0</v>
      </c>
      <c r="J149" s="5" t="e">
        <f t="shared" si="11"/>
        <v>#REF!</v>
      </c>
      <c r="K149" s="5" t="e">
        <f t="shared" si="12"/>
        <v>#REF!</v>
      </c>
      <c r="L149" s="5" t="e">
        <f t="shared" si="13"/>
        <v>#REF!</v>
      </c>
    </row>
    <row r="150" spans="2:12" x14ac:dyDescent="0.25">
      <c r="B150" s="5" t="e">
        <f>'Energia Elétrica e térmica'!#REF!</f>
        <v>#REF!</v>
      </c>
      <c r="C150" s="38" t="str">
        <f>'Energia Elétrica e térmica'!G129</f>
        <v/>
      </c>
      <c r="D150" s="5" t="e">
        <f t="shared" si="8"/>
        <v>#REF!</v>
      </c>
      <c r="E150" s="5" t="e">
        <f t="shared" si="9"/>
        <v>#REF!</v>
      </c>
      <c r="F150" s="5" t="e">
        <f t="shared" si="10"/>
        <v>#REF!</v>
      </c>
      <c r="H150" s="5" t="e">
        <f>'Energia Elétrica e térmica'!#REF!</f>
        <v>#REF!</v>
      </c>
      <c r="I150" s="38">
        <f>'Energia Elétrica e térmica'!D250</f>
        <v>0</v>
      </c>
      <c r="J150" s="5" t="e">
        <f t="shared" si="11"/>
        <v>#REF!</v>
      </c>
      <c r="K150" s="5" t="e">
        <f t="shared" si="12"/>
        <v>#REF!</v>
      </c>
      <c r="L150" s="5" t="e">
        <f t="shared" si="13"/>
        <v>#REF!</v>
      </c>
    </row>
    <row r="151" spans="2:12" x14ac:dyDescent="0.25">
      <c r="B151" s="5" t="e">
        <f>'Energia Elétrica e térmica'!#REF!</f>
        <v>#REF!</v>
      </c>
      <c r="C151" s="38" t="str">
        <f>'Energia Elétrica e térmica'!G130</f>
        <v/>
      </c>
      <c r="D151" s="5" t="e">
        <f t="shared" si="8"/>
        <v>#REF!</v>
      </c>
      <c r="E151" s="5" t="e">
        <f t="shared" si="9"/>
        <v>#REF!</v>
      </c>
      <c r="F151" s="5" t="e">
        <f t="shared" si="10"/>
        <v>#REF!</v>
      </c>
      <c r="H151" s="5" t="e">
        <f>'Energia Elétrica e térmica'!#REF!</f>
        <v>#REF!</v>
      </c>
      <c r="I151" s="38">
        <f>'Energia Elétrica e térmica'!D251</f>
        <v>0</v>
      </c>
      <c r="J151" s="5" t="e">
        <f t="shared" si="11"/>
        <v>#REF!</v>
      </c>
      <c r="K151" s="5" t="e">
        <f t="shared" si="12"/>
        <v>#REF!</v>
      </c>
      <c r="L151" s="5" t="e">
        <f t="shared" si="13"/>
        <v>#REF!</v>
      </c>
    </row>
    <row r="152" spans="2:12" x14ac:dyDescent="0.25">
      <c r="B152" s="5" t="e">
        <f>'Energia Elétrica e térmica'!#REF!</f>
        <v>#REF!</v>
      </c>
      <c r="C152" s="38" t="str">
        <f>'Energia Elétrica e térmica'!G131</f>
        <v/>
      </c>
      <c r="D152" s="5" t="e">
        <f t="shared" si="8"/>
        <v>#REF!</v>
      </c>
      <c r="E152" s="5" t="e">
        <f t="shared" si="9"/>
        <v>#REF!</v>
      </c>
      <c r="F152" s="5" t="e">
        <f t="shared" si="10"/>
        <v>#REF!</v>
      </c>
      <c r="H152" s="5" t="e">
        <f>'Energia Elétrica e térmica'!#REF!</f>
        <v>#REF!</v>
      </c>
      <c r="I152" s="38">
        <f>'Energia Elétrica e térmica'!D252</f>
        <v>0</v>
      </c>
      <c r="J152" s="5" t="e">
        <f t="shared" si="11"/>
        <v>#REF!</v>
      </c>
      <c r="K152" s="5" t="e">
        <f t="shared" si="12"/>
        <v>#REF!</v>
      </c>
      <c r="L152" s="5" t="e">
        <f t="shared" si="13"/>
        <v>#REF!</v>
      </c>
    </row>
    <row r="153" spans="2:12" x14ac:dyDescent="0.25">
      <c r="B153" s="5" t="e">
        <f>'Energia Elétrica e térmica'!#REF!</f>
        <v>#REF!</v>
      </c>
      <c r="C153" s="38" t="str">
        <f>'Energia Elétrica e térmica'!G132</f>
        <v/>
      </c>
      <c r="D153" s="5" t="e">
        <f t="shared" si="8"/>
        <v>#REF!</v>
      </c>
      <c r="E153" s="5" t="e">
        <f t="shared" si="9"/>
        <v>#REF!</v>
      </c>
      <c r="F153" s="5" t="e">
        <f t="shared" si="10"/>
        <v>#REF!</v>
      </c>
      <c r="H153" s="5" t="e">
        <f>'Energia Elétrica e térmica'!#REF!</f>
        <v>#REF!</v>
      </c>
      <c r="I153" s="38">
        <f>'Energia Elétrica e térmica'!D253</f>
        <v>0</v>
      </c>
      <c r="J153" s="5" t="e">
        <f t="shared" si="11"/>
        <v>#REF!</v>
      </c>
      <c r="K153" s="5" t="e">
        <f t="shared" si="12"/>
        <v>#REF!</v>
      </c>
      <c r="L153" s="5" t="e">
        <f t="shared" si="13"/>
        <v>#REF!</v>
      </c>
    </row>
    <row r="154" spans="2:12" x14ac:dyDescent="0.25">
      <c r="D154" s="5" t="e">
        <f>SUM(D54:D153)</f>
        <v>#REF!</v>
      </c>
      <c r="E154" s="5" t="e">
        <f>SUM(E54:E153)</f>
        <v>#REF!</v>
      </c>
      <c r="F154" s="5" t="e">
        <f>SUM(F54:F153)</f>
        <v>#REF!</v>
      </c>
      <c r="J154" s="5" t="e">
        <f>SUM(J54:J153)</f>
        <v>#REF!</v>
      </c>
      <c r="K154" s="5" t="e">
        <f>SUM(K54:K153)</f>
        <v>#REF!</v>
      </c>
      <c r="L154" s="5" t="e">
        <f>SUM(L54:L153)</f>
        <v>#REF!</v>
      </c>
    </row>
    <row r="155" spans="2:12" ht="19.5" x14ac:dyDescent="0.25">
      <c r="D155" s="13" t="e">
        <f>D53</f>
        <v>#REF!</v>
      </c>
      <c r="E155" s="14" t="e">
        <f>E53</f>
        <v>#REF!</v>
      </c>
      <c r="F155" s="15" t="e">
        <f>F53</f>
        <v>#REF!</v>
      </c>
      <c r="J155" s="13" t="e">
        <f>J53</f>
        <v>#REF!</v>
      </c>
      <c r="K155" s="14" t="e">
        <f>K53</f>
        <v>#REF!</v>
      </c>
      <c r="L155" s="15" t="e">
        <f>L53</f>
        <v>#REF!</v>
      </c>
    </row>
    <row r="163" spans="2:10" ht="19.5" x14ac:dyDescent="0.25">
      <c r="B163" s="1270"/>
      <c r="C163" s="1270"/>
      <c r="D163" s="1270"/>
      <c r="E163" s="1271" t="s">
        <v>554</v>
      </c>
      <c r="F163" s="1271"/>
      <c r="G163" s="1271"/>
      <c r="H163" s="1271" t="s">
        <v>555</v>
      </c>
      <c r="I163" s="1271"/>
      <c r="J163" s="1271"/>
    </row>
    <row r="164" spans="2:10" ht="19.5" x14ac:dyDescent="0.25">
      <c r="B164" s="1270"/>
      <c r="C164" s="1270"/>
      <c r="D164" s="1270"/>
      <c r="E164" s="13" t="e">
        <f>D155</f>
        <v>#REF!</v>
      </c>
      <c r="F164" s="14" t="e">
        <f>E155</f>
        <v>#REF!</v>
      </c>
      <c r="G164" s="15" t="e">
        <f>F155</f>
        <v>#REF!</v>
      </c>
      <c r="H164" s="13" t="e">
        <f>J155</f>
        <v>#REF!</v>
      </c>
      <c r="I164" s="14" t="e">
        <f>K155</f>
        <v>#REF!</v>
      </c>
      <c r="J164" s="15" t="e">
        <f>L155</f>
        <v>#REF!</v>
      </c>
    </row>
    <row r="165" spans="2:10" ht="19.5" x14ac:dyDescent="0.25">
      <c r="B165" s="1271" t="s">
        <v>495</v>
      </c>
      <c r="C165" s="1271"/>
      <c r="D165" s="1271"/>
      <c r="E165" s="78" t="e">
        <f>D154</f>
        <v>#REF!</v>
      </c>
      <c r="F165" s="78" t="e">
        <f>E154</f>
        <v>#REF!</v>
      </c>
      <c r="G165" s="78" t="e">
        <f>F154</f>
        <v>#REF!</v>
      </c>
      <c r="H165" s="78">
        <f>M154</f>
        <v>0</v>
      </c>
      <c r="I165" s="78">
        <f>N154</f>
        <v>0</v>
      </c>
      <c r="J165" s="78">
        <f>O154</f>
        <v>0</v>
      </c>
    </row>
    <row r="166" spans="2:10" ht="19.5" x14ac:dyDescent="0.25">
      <c r="B166" s="1272" t="s">
        <v>496</v>
      </c>
      <c r="C166" s="1273"/>
      <c r="D166" s="1273"/>
      <c r="E166" s="79"/>
      <c r="F166" s="76" t="e">
        <f>SUM(E165:G165)</f>
        <v>#REF!</v>
      </c>
      <c r="G166" s="77"/>
      <c r="H166" s="79"/>
      <c r="I166" s="76">
        <f>SUM(H165:J165)</f>
        <v>0</v>
      </c>
      <c r="J166" s="77"/>
    </row>
  </sheetData>
  <mergeCells count="5">
    <mergeCell ref="B163:D164"/>
    <mergeCell ref="E163:G163"/>
    <mergeCell ref="B165:D165"/>
    <mergeCell ref="B166:D166"/>
    <mergeCell ref="H163:J16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843D3-586B-4AE6-9CF4-5EBF4A0B7A74}">
  <sheetPr>
    <tabColor theme="4"/>
  </sheetPr>
  <dimension ref="A1:XFC258"/>
  <sheetViews>
    <sheetView showGridLines="0" zoomScale="70" zoomScaleNormal="70" workbookViewId="0">
      <selection activeCell="B36" sqref="B36"/>
    </sheetView>
  </sheetViews>
  <sheetFormatPr defaultColWidth="0" defaultRowHeight="15.75" zeroHeight="1" outlineLevelRow="2" x14ac:dyDescent="0.25"/>
  <cols>
    <col min="1" max="1" width="13.25" style="166" customWidth="1"/>
    <col min="2" max="2" width="29.875" style="166" customWidth="1"/>
    <col min="3" max="3" width="37.25" style="166" customWidth="1"/>
    <col min="4" max="4" width="34.5" style="168" customWidth="1"/>
    <col min="5" max="5" width="35.5" style="166" customWidth="1"/>
    <col min="6" max="6" width="29.25" style="166" customWidth="1"/>
    <col min="7" max="7" width="23.625" style="166" customWidth="1"/>
    <col min="8" max="8" width="19.625" style="166" customWidth="1"/>
    <col min="9" max="9" width="41.25" style="166" customWidth="1"/>
    <col min="10" max="10" width="17.625" style="166" customWidth="1"/>
    <col min="11" max="11" width="25.25" style="166" customWidth="1"/>
    <col min="12" max="13" width="8.625" style="166" customWidth="1"/>
    <col min="14" max="14" width="3.5" style="166" customWidth="1"/>
    <col min="15" max="15" width="4.75" style="166" customWidth="1"/>
    <col min="16" max="16" width="5.25" style="166" customWidth="1"/>
    <col min="17" max="17" width="4.875" style="166" customWidth="1"/>
    <col min="18" max="16383" width="7.625" style="166" hidden="1"/>
    <col min="16384" max="16384" width="8.75" style="166" customWidth="1"/>
  </cols>
  <sheetData>
    <row r="1" spans="2:14" x14ac:dyDescent="0.25">
      <c r="D1" s="166"/>
    </row>
    <row r="2" spans="2:14" x14ac:dyDescent="0.25">
      <c r="D2" s="166"/>
    </row>
    <row r="3" spans="2:14" x14ac:dyDescent="0.25">
      <c r="D3" s="166"/>
    </row>
    <row r="4" spans="2:14" x14ac:dyDescent="0.25">
      <c r="D4" s="166"/>
    </row>
    <row r="5" spans="2:14" x14ac:dyDescent="0.25">
      <c r="D5" s="166"/>
    </row>
    <row r="6" spans="2:14" x14ac:dyDescent="0.25">
      <c r="C6" s="168"/>
      <c r="I6" s="168"/>
      <c r="J6" s="168"/>
    </row>
    <row r="7" spans="2:14" ht="18.75" x14ac:dyDescent="0.3">
      <c r="E7" s="836"/>
      <c r="F7" s="836"/>
      <c r="G7" s="836"/>
      <c r="H7" s="836"/>
    </row>
    <row r="8" spans="2:14" x14ac:dyDescent="0.25">
      <c r="D8" s="774"/>
      <c r="E8" s="774"/>
      <c r="F8" s="774"/>
      <c r="G8" s="774"/>
      <c r="H8" s="774"/>
    </row>
    <row r="9" spans="2:14" ht="26.25" x14ac:dyDescent="0.4">
      <c r="B9" s="891" t="str">
        <f>IF(Triagem!C29="", "Não indicou na TRIAGEM se esta folha de adequa ao projeto", IF(Triagem!C29="Não", "Não necessita de preencher esta folha", "Folha a ser preenchida"))</f>
        <v>Não indicou na TRIAGEM se esta folha de adequa ao projeto</v>
      </c>
      <c r="D9" s="774"/>
      <c r="E9" s="774"/>
      <c r="F9" s="774"/>
      <c r="G9" s="774"/>
      <c r="H9" s="774"/>
    </row>
    <row r="10" spans="2:14" x14ac:dyDescent="0.25">
      <c r="D10" s="774"/>
      <c r="E10" s="774"/>
      <c r="F10" s="774"/>
      <c r="G10" s="774"/>
      <c r="H10" s="774"/>
    </row>
    <row r="11" spans="2:14" x14ac:dyDescent="0.25">
      <c r="D11" s="774"/>
      <c r="E11" s="774"/>
      <c r="F11" s="774"/>
      <c r="G11" s="774"/>
      <c r="H11" s="774"/>
    </row>
    <row r="12" spans="2:14" x14ac:dyDescent="0.25">
      <c r="B12" s="837" t="s">
        <v>0</v>
      </c>
      <c r="C12" s="778"/>
      <c r="D12" s="892"/>
      <c r="E12" s="892"/>
      <c r="F12" s="892"/>
      <c r="G12" s="892"/>
      <c r="H12" s="892"/>
      <c r="I12" s="778"/>
      <c r="J12" s="778"/>
    </row>
    <row r="13" spans="2:14" ht="39" customHeight="1" outlineLevel="1" x14ac:dyDescent="0.25">
      <c r="B13" s="1241" t="s">
        <v>1729</v>
      </c>
      <c r="C13" s="1241"/>
      <c r="D13" s="1241"/>
      <c r="E13" s="1241"/>
      <c r="F13" s="1241"/>
      <c r="G13" s="1241"/>
      <c r="H13" s="1241"/>
      <c r="I13" s="1241"/>
      <c r="J13" s="1241"/>
      <c r="K13" s="893"/>
      <c r="L13" s="893"/>
      <c r="M13" s="893"/>
      <c r="N13" s="893"/>
    </row>
    <row r="14" spans="2:14" ht="22.5" customHeight="1" outlineLevel="1" x14ac:dyDescent="0.25">
      <c r="B14" s="1209" t="s">
        <v>1536</v>
      </c>
      <c r="C14" s="1209"/>
      <c r="D14" s="778"/>
      <c r="E14" s="778"/>
      <c r="F14" s="778"/>
      <c r="G14" s="778"/>
      <c r="H14" s="778"/>
      <c r="I14" s="778"/>
      <c r="J14" s="778"/>
    </row>
    <row r="15" spans="2:14" outlineLevel="1" x14ac:dyDescent="0.25">
      <c r="B15" s="1100" t="s">
        <v>1255</v>
      </c>
      <c r="C15" s="778" t="s">
        <v>1533</v>
      </c>
      <c r="D15" s="778"/>
      <c r="E15" s="778"/>
      <c r="F15" s="778"/>
      <c r="G15" s="778"/>
      <c r="H15" s="778"/>
      <c r="I15" s="778"/>
      <c r="J15" s="778"/>
    </row>
    <row r="16" spans="2:14" outlineLevel="1" x14ac:dyDescent="0.25">
      <c r="B16" s="1100" t="s">
        <v>1256</v>
      </c>
      <c r="C16" s="778" t="s">
        <v>1534</v>
      </c>
      <c r="D16" s="778"/>
      <c r="E16" s="778"/>
      <c r="F16" s="778"/>
      <c r="G16" s="778"/>
      <c r="H16" s="778"/>
      <c r="I16" s="778"/>
      <c r="J16" s="778"/>
    </row>
    <row r="17" spans="2:16" outlineLevel="1" x14ac:dyDescent="0.25">
      <c r="B17" s="1100" t="s">
        <v>900</v>
      </c>
      <c r="C17" s="778" t="s">
        <v>1535</v>
      </c>
      <c r="D17" s="778"/>
      <c r="E17" s="778"/>
      <c r="F17" s="778"/>
      <c r="G17" s="778"/>
      <c r="H17" s="778"/>
      <c r="I17" s="778"/>
      <c r="J17" s="778"/>
    </row>
    <row r="18" spans="2:16" outlineLevel="1" x14ac:dyDescent="0.25">
      <c r="B18" s="894"/>
      <c r="C18" s="778"/>
      <c r="D18" s="778"/>
      <c r="E18" s="778"/>
      <c r="F18" s="778"/>
      <c r="G18" s="778"/>
      <c r="H18" s="778"/>
      <c r="I18" s="778"/>
      <c r="J18" s="778"/>
    </row>
    <row r="19" spans="2:16" ht="21.75" customHeight="1" outlineLevel="1" x14ac:dyDescent="0.25">
      <c r="B19" s="1209" t="s">
        <v>1537</v>
      </c>
      <c r="C19" s="1209"/>
      <c r="D19" s="1209"/>
      <c r="E19" s="1209"/>
      <c r="F19" s="1209"/>
      <c r="G19" s="1209"/>
      <c r="H19" s="1209"/>
      <c r="I19" s="1209"/>
      <c r="J19" s="1209"/>
    </row>
    <row r="20" spans="2:16" outlineLevel="1" x14ac:dyDescent="0.25">
      <c r="B20" s="249"/>
      <c r="D20" s="166"/>
    </row>
    <row r="21" spans="2:16" outlineLevel="1" x14ac:dyDescent="0.25">
      <c r="D21" s="166"/>
    </row>
    <row r="22" spans="2:16" s="895" customFormat="1" ht="30" customHeight="1" x14ac:dyDescent="0.25">
      <c r="B22" s="231" t="s">
        <v>1437</v>
      </c>
      <c r="C22" s="332"/>
      <c r="D22" s="332"/>
      <c r="E22" s="332"/>
      <c r="F22" s="332"/>
      <c r="G22" s="332"/>
      <c r="H22" s="332"/>
      <c r="I22" s="332"/>
      <c r="J22" s="332"/>
    </row>
    <row r="23" spans="2:16" x14ac:dyDescent="0.25">
      <c r="D23" s="166"/>
    </row>
    <row r="24" spans="2:16" outlineLevel="1" x14ac:dyDescent="0.25">
      <c r="B24" s="837" t="s">
        <v>24</v>
      </c>
      <c r="C24" s="778"/>
      <c r="D24" s="778"/>
      <c r="E24" s="778"/>
      <c r="F24" s="778"/>
      <c r="G24" s="778"/>
      <c r="H24" s="778"/>
      <c r="I24" s="778"/>
      <c r="J24" s="778"/>
      <c r="K24" s="168"/>
      <c r="L24" s="168"/>
      <c r="M24" s="168"/>
      <c r="N24" s="168"/>
    </row>
    <row r="25" spans="2:16" outlineLevel="1" x14ac:dyDescent="0.25">
      <c r="B25" s="896" t="s">
        <v>671</v>
      </c>
      <c r="C25" s="896"/>
      <c r="D25" s="778"/>
      <c r="E25" s="778"/>
      <c r="F25" s="778"/>
      <c r="G25" s="778"/>
      <c r="H25" s="778"/>
      <c r="I25" s="778"/>
      <c r="J25" s="780"/>
      <c r="K25" s="897"/>
      <c r="L25" s="897"/>
      <c r="M25" s="897"/>
      <c r="N25" s="897"/>
      <c r="O25" s="765"/>
      <c r="P25" s="765"/>
    </row>
    <row r="26" spans="2:16" outlineLevel="1" x14ac:dyDescent="0.25">
      <c r="B26" s="896" t="s">
        <v>1538</v>
      </c>
      <c r="C26" s="896"/>
      <c r="D26" s="778"/>
      <c r="E26" s="778"/>
      <c r="F26" s="778"/>
      <c r="G26" s="778"/>
      <c r="H26" s="778"/>
      <c r="I26" s="778"/>
      <c r="J26" s="780"/>
      <c r="K26" s="897"/>
      <c r="L26" s="897"/>
      <c r="M26" s="897"/>
      <c r="N26" s="897"/>
      <c r="O26" s="765"/>
      <c r="P26" s="765"/>
    </row>
    <row r="27" spans="2:16" outlineLevel="1" x14ac:dyDescent="0.25">
      <c r="B27" s="896" t="s">
        <v>1539</v>
      </c>
      <c r="C27" s="896"/>
      <c r="D27" s="778"/>
      <c r="E27" s="778"/>
      <c r="F27" s="778"/>
      <c r="G27" s="778"/>
      <c r="H27" s="778"/>
      <c r="I27" s="778"/>
      <c r="J27" s="780"/>
      <c r="K27" s="897"/>
      <c r="L27" s="897"/>
      <c r="M27" s="897"/>
      <c r="N27" s="897"/>
      <c r="O27" s="765"/>
      <c r="P27" s="765"/>
    </row>
    <row r="28" spans="2:16" outlineLevel="1" x14ac:dyDescent="0.25">
      <c r="B28" s="896" t="s">
        <v>1540</v>
      </c>
      <c r="C28" s="896"/>
      <c r="D28" s="778"/>
      <c r="E28" s="778"/>
      <c r="F28" s="778"/>
      <c r="G28" s="778"/>
      <c r="H28" s="778"/>
      <c r="I28" s="778"/>
      <c r="J28" s="780"/>
      <c r="K28" s="897"/>
      <c r="L28" s="897"/>
      <c r="M28" s="897"/>
      <c r="N28" s="897"/>
      <c r="O28" s="765"/>
      <c r="P28" s="765"/>
    </row>
    <row r="29" spans="2:16" s="898" customFormat="1" ht="25.9" customHeight="1" outlineLevel="1" x14ac:dyDescent="0.25">
      <c r="B29" s="899" t="s">
        <v>1541</v>
      </c>
      <c r="C29" s="899"/>
      <c r="D29" s="900"/>
      <c r="E29" s="900"/>
      <c r="F29" s="900"/>
      <c r="G29" s="900"/>
      <c r="H29" s="900"/>
      <c r="I29" s="900"/>
      <c r="J29" s="901"/>
      <c r="K29" s="902"/>
      <c r="L29" s="902"/>
      <c r="M29" s="902"/>
      <c r="N29" s="902"/>
      <c r="O29" s="903"/>
      <c r="P29" s="903"/>
    </row>
    <row r="30" spans="2:16" outlineLevel="1" x14ac:dyDescent="0.25">
      <c r="H30" s="168"/>
      <c r="J30" s="765"/>
      <c r="K30" s="765"/>
      <c r="L30" s="765"/>
      <c r="M30" s="765"/>
      <c r="N30" s="765"/>
      <c r="O30" s="765"/>
      <c r="P30" s="765"/>
    </row>
    <row r="31" spans="2:16" outlineLevel="1" x14ac:dyDescent="0.25">
      <c r="B31" s="765" t="s">
        <v>886</v>
      </c>
      <c r="H31" s="168"/>
    </row>
    <row r="32" spans="2:16" ht="21.4" customHeight="1" outlineLevel="1" x14ac:dyDescent="0.25">
      <c r="B32" s="1274" t="s">
        <v>181</v>
      </c>
      <c r="C32" s="1283" t="s">
        <v>1532</v>
      </c>
      <c r="D32" s="1284"/>
      <c r="E32" s="1285"/>
      <c r="F32" s="1204" t="s">
        <v>643</v>
      </c>
      <c r="G32" s="1277" t="s">
        <v>644</v>
      </c>
      <c r="H32" s="1278"/>
      <c r="I32" s="1204" t="s">
        <v>1693</v>
      </c>
      <c r="J32" s="1204" t="s">
        <v>1643</v>
      </c>
      <c r="K32" s="1184" t="s">
        <v>1649</v>
      </c>
    </row>
    <row r="33" spans="1:14" ht="30" customHeight="1" outlineLevel="1" x14ac:dyDescent="0.25">
      <c r="B33" s="1275"/>
      <c r="C33" s="803" t="s">
        <v>645</v>
      </c>
      <c r="D33" s="803" t="s">
        <v>1642</v>
      </c>
      <c r="E33" s="1185" t="s">
        <v>1697</v>
      </c>
      <c r="F33" s="1205"/>
      <c r="G33" s="1279"/>
      <c r="H33" s="1280"/>
      <c r="I33" s="1205"/>
      <c r="J33" s="1205"/>
      <c r="K33" s="1185"/>
    </row>
    <row r="34" spans="1:14" ht="30" customHeight="1" outlineLevel="1" x14ac:dyDescent="0.25">
      <c r="B34" s="1276"/>
      <c r="C34" s="904" t="s">
        <v>180</v>
      </c>
      <c r="D34" s="904" t="s">
        <v>180</v>
      </c>
      <c r="E34" s="1186"/>
      <c r="F34" s="1206"/>
      <c r="G34" s="1281"/>
      <c r="H34" s="1282"/>
      <c r="I34" s="1206"/>
      <c r="J34" s="1206"/>
      <c r="K34" s="1186"/>
    </row>
    <row r="35" spans="1:14" s="268" customFormat="1" ht="30" customHeight="1" outlineLevel="1" x14ac:dyDescent="0.25">
      <c r="A35" s="242" t="s">
        <v>36</v>
      </c>
      <c r="B35" s="595" t="s">
        <v>885</v>
      </c>
      <c r="C35" s="596">
        <v>2000</v>
      </c>
      <c r="D35" s="597"/>
      <c r="E35" s="597"/>
      <c r="F35" s="598" t="s">
        <v>502</v>
      </c>
      <c r="G35" s="682"/>
      <c r="H35" s="598" t="s">
        <v>647</v>
      </c>
      <c r="I35" s="599">
        <v>10</v>
      </c>
      <c r="J35" s="600">
        <v>10</v>
      </c>
      <c r="K35" s="597">
        <v>30</v>
      </c>
      <c r="N35" s="166"/>
    </row>
    <row r="36" spans="1:14" s="268" customFormat="1" ht="30" customHeight="1" outlineLevel="1" x14ac:dyDescent="0.25">
      <c r="B36" s="269"/>
      <c r="C36" s="601" t="str">
        <f>IF(B36="","",VLOOKUP(B36,FAEF!$C$18:$J$26,7,FALSE))</f>
        <v/>
      </c>
      <c r="D36" s="334"/>
      <c r="E36" s="334"/>
      <c r="F36" s="270"/>
      <c r="G36" s="270"/>
      <c r="H36" s="270"/>
      <c r="I36" s="271"/>
      <c r="J36" s="602" t="str">
        <f>IFERROR(IF(F36="","",IF(F36="Sim",VLOOKUP(G36,'Fatores de Emissão'!$C$262:$E$373,3,FALSE),IF(H36=FAEF!$B$11,10,VLOOKUP(B36,FAEF!$C$18:$J$26,8,FALSE)))),"")</f>
        <v/>
      </c>
      <c r="K36" s="603" t="str">
        <f>IFERROR(FAEF!R31/1000,"")</f>
        <v/>
      </c>
      <c r="N36" s="166"/>
    </row>
    <row r="37" spans="1:14" s="268" customFormat="1" ht="30" customHeight="1" outlineLevel="1" x14ac:dyDescent="0.25">
      <c r="B37" s="269"/>
      <c r="C37" s="601" t="str">
        <f>IF(B37="","",VLOOKUP(B37,FAEF!$C$18:$J$26,7,FALSE))</f>
        <v/>
      </c>
      <c r="D37" s="334"/>
      <c r="E37" s="334"/>
      <c r="F37" s="270"/>
      <c r="G37" s="270"/>
      <c r="H37" s="270"/>
      <c r="I37" s="271"/>
      <c r="J37" s="602" t="str">
        <f>IFERROR(IF(F37="","",IF(F37="Sim",VLOOKUP(G37,'Fatores de Emissão'!$C$262:$E$373,3,FALSE),IF(H37=FAEF!$B$11,10,VLOOKUP(B37,FAEF!$C$18:$J$26,8,FALSE)))),"")</f>
        <v/>
      </c>
      <c r="K37" s="603" t="str">
        <f>IFERROR(FAEF!R32/1000,"")</f>
        <v/>
      </c>
      <c r="N37" s="166"/>
    </row>
    <row r="38" spans="1:14" s="268" customFormat="1" ht="30" customHeight="1" outlineLevel="1" x14ac:dyDescent="0.25">
      <c r="B38" s="269"/>
      <c r="C38" s="601" t="str">
        <f>IF(B38="","",VLOOKUP(B38,FAEF!$C$18:$J$26,7,FALSE))</f>
        <v/>
      </c>
      <c r="D38" s="334"/>
      <c r="E38" s="334"/>
      <c r="F38" s="270"/>
      <c r="G38" s="270"/>
      <c r="H38" s="270"/>
      <c r="I38" s="271"/>
      <c r="J38" s="602" t="str">
        <f>IFERROR(IF(F38="","",IF(F38="Sim",VLOOKUP(G38,'Fatores de Emissão'!$C$262:$E$373,3,FALSE),IF(H38=FAEF!$B$11,10,VLOOKUP(B38,FAEF!$C$18:$J$26,8,FALSE)))),"")</f>
        <v/>
      </c>
      <c r="K38" s="603" t="str">
        <f>IFERROR(FAEF!R33/1000,"")</f>
        <v/>
      </c>
      <c r="N38" s="166"/>
    </row>
    <row r="39" spans="1:14" s="268" customFormat="1" ht="30" customHeight="1" outlineLevel="1" x14ac:dyDescent="0.25">
      <c r="B39" s="269"/>
      <c r="C39" s="601" t="str">
        <f>IF(B39="","",VLOOKUP(B39,FAEF!$C$18:$J$26,7,FALSE))</f>
        <v/>
      </c>
      <c r="D39" s="334"/>
      <c r="E39" s="334"/>
      <c r="F39" s="270"/>
      <c r="G39" s="270"/>
      <c r="H39" s="270"/>
      <c r="I39" s="271"/>
      <c r="J39" s="602" t="str">
        <f>IFERROR(IF(F39="","",IF(F39="Sim",VLOOKUP(G39,'Fatores de Emissão'!$C$262:$E$373,3,FALSE),IF(H39=FAEF!$B$11,10,VLOOKUP(B39,FAEF!$C$18:$J$26,8,FALSE)))),"")</f>
        <v/>
      </c>
      <c r="K39" s="603" t="str">
        <f>IFERROR(FAEF!R34/1000,"")</f>
        <v/>
      </c>
      <c r="N39" s="166"/>
    </row>
    <row r="40" spans="1:14" s="268" customFormat="1" ht="30" customHeight="1" outlineLevel="1" x14ac:dyDescent="0.25">
      <c r="B40" s="269"/>
      <c r="C40" s="601" t="str">
        <f>IF(B40="","",VLOOKUP(B40,FAEF!$C$18:$J$26,7,FALSE))</f>
        <v/>
      </c>
      <c r="D40" s="334"/>
      <c r="E40" s="334"/>
      <c r="F40" s="270"/>
      <c r="G40" s="270"/>
      <c r="H40" s="270"/>
      <c r="I40" s="271"/>
      <c r="J40" s="602" t="str">
        <f>IFERROR(IF(F40="","",IF(F40="Sim",VLOOKUP(G40,'Fatores de Emissão'!$C$262:$E$373,3,FALSE),IF(H40=FAEF!$B$11,10,VLOOKUP(B40,FAEF!$C$18:$J$26,8,FALSE)))),"")</f>
        <v/>
      </c>
      <c r="K40" s="603" t="str">
        <f>IFERROR(FAEF!R35/1000,"")</f>
        <v/>
      </c>
      <c r="N40" s="166"/>
    </row>
    <row r="41" spans="1:14" s="268" customFormat="1" ht="30" customHeight="1" outlineLevel="1" x14ac:dyDescent="0.25">
      <c r="B41" s="269"/>
      <c r="C41" s="601" t="str">
        <f>IF(B41="","",VLOOKUP(B41,FAEF!$C$18:$J$26,7,FALSE))</f>
        <v/>
      </c>
      <c r="D41" s="334"/>
      <c r="E41" s="334"/>
      <c r="F41" s="270"/>
      <c r="G41" s="270"/>
      <c r="H41" s="270"/>
      <c r="I41" s="271"/>
      <c r="J41" s="602" t="str">
        <f>IFERROR(IF(F41="","",IF(F41="Sim",VLOOKUP(G41,'Fatores de Emissão'!$C$262:$E$373,3,FALSE),IF(H41=FAEF!$B$11,10,VLOOKUP(B41,FAEF!$C$18:$J$26,8,FALSE)))),"")</f>
        <v/>
      </c>
      <c r="K41" s="603" t="str">
        <f>IFERROR(FAEF!R36/1000,"")</f>
        <v/>
      </c>
      <c r="N41" s="166"/>
    </row>
    <row r="42" spans="1:14" s="268" customFormat="1" ht="30" customHeight="1" outlineLevel="1" x14ac:dyDescent="0.25">
      <c r="B42" s="269"/>
      <c r="C42" s="601" t="str">
        <f>IF(B42="","",VLOOKUP(B42,FAEF!$C$18:$J$26,7,FALSE))</f>
        <v/>
      </c>
      <c r="D42" s="334"/>
      <c r="E42" s="334"/>
      <c r="F42" s="270"/>
      <c r="G42" s="270"/>
      <c r="H42" s="270"/>
      <c r="I42" s="271"/>
      <c r="J42" s="602" t="str">
        <f>IFERROR(IF(F42="","",IF(F42="Sim",VLOOKUP(G42,'Fatores de Emissão'!$C$262:$E$373,3,FALSE),IF(H42=FAEF!$B$11,10,VLOOKUP(B42,FAEF!$C$18:$J$26,8,FALSE)))),"")</f>
        <v/>
      </c>
      <c r="K42" s="603" t="str">
        <f>IFERROR(FAEF!R37/1000,"")</f>
        <v/>
      </c>
      <c r="N42" s="166"/>
    </row>
    <row r="43" spans="1:14" s="268" customFormat="1" ht="30" customHeight="1" outlineLevel="1" x14ac:dyDescent="0.25">
      <c r="B43" s="269"/>
      <c r="C43" s="601" t="str">
        <f>IF(B43="","",VLOOKUP(B43,FAEF!$C$18:$J$26,7,FALSE))</f>
        <v/>
      </c>
      <c r="D43" s="334"/>
      <c r="E43" s="334"/>
      <c r="F43" s="270"/>
      <c r="G43" s="270"/>
      <c r="H43" s="270"/>
      <c r="I43" s="271"/>
      <c r="J43" s="602" t="str">
        <f>IFERROR(IF(F43="","",IF(F43="Sim",VLOOKUP(G43,'Fatores de Emissão'!$C$262:$E$373,3,FALSE),IF(H43=FAEF!$B$11,10,VLOOKUP(B43,FAEF!$C$18:$J$26,8,FALSE)))),"")</f>
        <v/>
      </c>
      <c r="K43" s="603" t="str">
        <f>IFERROR(FAEF!R38/1000,"")</f>
        <v/>
      </c>
      <c r="N43" s="166"/>
    </row>
    <row r="44" spans="1:14" s="268" customFormat="1" ht="30" customHeight="1" outlineLevel="1" x14ac:dyDescent="0.25">
      <c r="B44" s="269"/>
      <c r="C44" s="601" t="str">
        <f>IF(B44="","",VLOOKUP(B44,FAEF!$C$18:$J$26,7,FALSE))</f>
        <v/>
      </c>
      <c r="D44" s="334"/>
      <c r="E44" s="334"/>
      <c r="F44" s="270"/>
      <c r="G44" s="270"/>
      <c r="H44" s="270"/>
      <c r="I44" s="271"/>
      <c r="J44" s="602" t="str">
        <f>IFERROR(IF(F44="","",IF(F44="Sim",VLOOKUP(G44,'Fatores de Emissão'!$C$262:$E$373,3,FALSE),IF(H44=FAEF!$B$11,10,VLOOKUP(B44,FAEF!$C$18:$J$26,8,FALSE)))),"")</f>
        <v/>
      </c>
      <c r="K44" s="603" t="str">
        <f>IFERROR(FAEF!R39/1000,"")</f>
        <v/>
      </c>
      <c r="N44" s="166"/>
    </row>
    <row r="45" spans="1:14" s="268" customFormat="1" ht="30" customHeight="1" outlineLevel="1" x14ac:dyDescent="0.25">
      <c r="B45" s="269"/>
      <c r="C45" s="601" t="str">
        <f>IF(B45="","",VLOOKUP(B45,FAEF!$C$18:$J$26,7,FALSE))</f>
        <v/>
      </c>
      <c r="D45" s="334"/>
      <c r="E45" s="334"/>
      <c r="F45" s="270"/>
      <c r="G45" s="270"/>
      <c r="H45" s="270"/>
      <c r="I45" s="271"/>
      <c r="J45" s="602" t="str">
        <f>IFERROR(IF(F45="","",IF(F45="Sim",VLOOKUP(G45,'Fatores de Emissão'!$C$262:$E$373,3,FALSE),IF(H45=FAEF!$B$11,10,VLOOKUP(B45,FAEF!$C$18:$J$26,8,FALSE)))),"")</f>
        <v/>
      </c>
      <c r="K45" s="603" t="str">
        <f>IFERROR(FAEF!R40/1000,"")</f>
        <v/>
      </c>
      <c r="N45" s="166"/>
    </row>
    <row r="46" spans="1:14" s="268" customFormat="1" ht="30" customHeight="1" outlineLevel="1" x14ac:dyDescent="0.25">
      <c r="B46" s="269"/>
      <c r="C46" s="601" t="str">
        <f>IF(B46="","",VLOOKUP(B46,FAEF!$C$18:$J$26,7,FALSE))</f>
        <v/>
      </c>
      <c r="D46" s="334"/>
      <c r="E46" s="334"/>
      <c r="F46" s="270"/>
      <c r="G46" s="270"/>
      <c r="H46" s="270"/>
      <c r="I46" s="271"/>
      <c r="J46" s="602" t="str">
        <f>IFERROR(IF(F46="","",IF(F46="Sim",VLOOKUP(G46,'Fatores de Emissão'!$C$262:$E$373,3,FALSE),IF(H46=FAEF!$B$11,10,VLOOKUP(B46,FAEF!$C$18:$J$26,8,FALSE)))),"")</f>
        <v/>
      </c>
      <c r="K46" s="603" t="str">
        <f>IFERROR(FAEF!R41/1000,"")</f>
        <v/>
      </c>
      <c r="N46" s="166"/>
    </row>
    <row r="47" spans="1:14" s="268" customFormat="1" ht="30" customHeight="1" outlineLevel="1" x14ac:dyDescent="0.25">
      <c r="B47" s="269"/>
      <c r="C47" s="601" t="str">
        <f>IF(B47="","",VLOOKUP(B47,FAEF!$C$18:$J$26,7,FALSE))</f>
        <v/>
      </c>
      <c r="D47" s="334"/>
      <c r="E47" s="334"/>
      <c r="F47" s="270"/>
      <c r="G47" s="270"/>
      <c r="H47" s="270"/>
      <c r="I47" s="271"/>
      <c r="J47" s="602" t="str">
        <f>IFERROR(IF(F47="","",IF(F47="Sim",VLOOKUP(G47,'Fatores de Emissão'!$C$262:$E$373,3,FALSE),IF(H47=FAEF!$B$11,10,VLOOKUP(B47,FAEF!$C$18:$J$26,8,FALSE)))),"")</f>
        <v/>
      </c>
      <c r="K47" s="603" t="str">
        <f>IFERROR(FAEF!R42/1000,"")</f>
        <v/>
      </c>
      <c r="N47" s="166"/>
    </row>
    <row r="48" spans="1:14" s="268" customFormat="1" ht="30" customHeight="1" outlineLevel="1" x14ac:dyDescent="0.25">
      <c r="B48" s="269"/>
      <c r="C48" s="601" t="str">
        <f>IF(B48="","",VLOOKUP(B48,FAEF!$C$18:$J$26,7,FALSE))</f>
        <v/>
      </c>
      <c r="D48" s="334"/>
      <c r="E48" s="334"/>
      <c r="F48" s="270"/>
      <c r="G48" s="270"/>
      <c r="H48" s="270"/>
      <c r="I48" s="271"/>
      <c r="J48" s="602" t="str">
        <f>IFERROR(IF(F48="","",IF(F48="Sim",VLOOKUP(G48,'Fatores de Emissão'!$C$262:$E$373,3,FALSE),IF(H48=FAEF!$B$11,10,VLOOKUP(B48,FAEF!$C$18:$J$26,8,FALSE)))),"")</f>
        <v/>
      </c>
      <c r="K48" s="603" t="str">
        <f>IFERROR(FAEF!R43/1000,"")</f>
        <v/>
      </c>
      <c r="N48" s="166"/>
    </row>
    <row r="49" spans="2:14" s="268" customFormat="1" ht="30" customHeight="1" outlineLevel="1" x14ac:dyDescent="0.25">
      <c r="B49" s="269"/>
      <c r="C49" s="601" t="str">
        <f>IF(B49="","",VLOOKUP(B49,FAEF!$C$18:$J$26,7,FALSE))</f>
        <v/>
      </c>
      <c r="D49" s="334"/>
      <c r="E49" s="334"/>
      <c r="F49" s="270"/>
      <c r="G49" s="270"/>
      <c r="H49" s="270"/>
      <c r="I49" s="271"/>
      <c r="J49" s="602" t="str">
        <f>IFERROR(IF(F49="","",IF(F49="Sim",VLOOKUP(G49,'Fatores de Emissão'!$C$262:$E$373,3,FALSE),IF(H49=FAEF!$B$11,10,VLOOKUP(B49,FAEF!$C$18:$J$26,8,FALSE)))),"")</f>
        <v/>
      </c>
      <c r="K49" s="603" t="str">
        <f>IFERROR(FAEF!R44/1000,"")</f>
        <v/>
      </c>
      <c r="N49" s="166"/>
    </row>
    <row r="50" spans="2:14" s="268" customFormat="1" ht="30" customHeight="1" outlineLevel="1" x14ac:dyDescent="0.25">
      <c r="B50" s="269"/>
      <c r="C50" s="601" t="str">
        <f>IF(B50="","",VLOOKUP(B50,FAEF!$C$18:$J$26,7,FALSE))</f>
        <v/>
      </c>
      <c r="D50" s="334"/>
      <c r="E50" s="334"/>
      <c r="F50" s="270"/>
      <c r="G50" s="270"/>
      <c r="H50" s="270"/>
      <c r="I50" s="271"/>
      <c r="J50" s="602" t="str">
        <f>IFERROR(IF(F50="","",IF(F50="Sim",VLOOKUP(G50,'Fatores de Emissão'!$C$262:$E$373,3,FALSE),IF(H50=FAEF!$B$11,10,VLOOKUP(B50,FAEF!$C$18:$J$26,8,FALSE)))),"")</f>
        <v/>
      </c>
      <c r="K50" s="603" t="str">
        <f>IFERROR(FAEF!R45/1000,"")</f>
        <v/>
      </c>
      <c r="N50" s="166"/>
    </row>
    <row r="51" spans="2:14" s="268" customFormat="1" ht="30" customHeight="1" outlineLevel="1" x14ac:dyDescent="0.25">
      <c r="B51" s="269"/>
      <c r="C51" s="601" t="str">
        <f>IF(B51="","",VLOOKUP(B51,FAEF!$C$18:$J$26,7,FALSE))</f>
        <v/>
      </c>
      <c r="D51" s="334"/>
      <c r="E51" s="334"/>
      <c r="F51" s="270"/>
      <c r="G51" s="270"/>
      <c r="H51" s="270"/>
      <c r="I51" s="271"/>
      <c r="J51" s="602" t="str">
        <f>IFERROR(IF(F51="","",IF(F51="Sim",VLOOKUP(G51,'Fatores de Emissão'!$C$262:$E$373,3,FALSE),IF(H51=FAEF!$B$11,10,VLOOKUP(B51,FAEF!$C$18:$J$26,8,FALSE)))),"")</f>
        <v/>
      </c>
      <c r="K51" s="603" t="str">
        <f>IFERROR(FAEF!R46/1000,"")</f>
        <v/>
      </c>
      <c r="N51" s="166"/>
    </row>
    <row r="52" spans="2:14" s="268" customFormat="1" ht="30" customHeight="1" outlineLevel="1" x14ac:dyDescent="0.25">
      <c r="B52" s="269"/>
      <c r="C52" s="601" t="str">
        <f>IF(B52="","",VLOOKUP(B52,FAEF!$C$18:$J$26,7,FALSE))</f>
        <v/>
      </c>
      <c r="D52" s="334"/>
      <c r="E52" s="334"/>
      <c r="F52" s="270"/>
      <c r="G52" s="270"/>
      <c r="H52" s="270"/>
      <c r="I52" s="271"/>
      <c r="J52" s="602" t="str">
        <f>IFERROR(IF(F52="","",IF(F52="Sim",VLOOKUP(G52,'Fatores de Emissão'!$C$262:$E$373,3,FALSE),IF(H52=FAEF!$B$11,10,VLOOKUP(B52,FAEF!$C$18:$J$26,8,FALSE)))),"")</f>
        <v/>
      </c>
      <c r="K52" s="603" t="str">
        <f>IFERROR(FAEF!R47/1000,"")</f>
        <v/>
      </c>
      <c r="N52" s="166"/>
    </row>
    <row r="53" spans="2:14" s="268" customFormat="1" ht="30" customHeight="1" outlineLevel="1" x14ac:dyDescent="0.25">
      <c r="B53" s="269"/>
      <c r="C53" s="601" t="str">
        <f>IF(B53="","",VLOOKUP(B53,FAEF!$C$18:$J$26,7,FALSE))</f>
        <v/>
      </c>
      <c r="D53" s="334"/>
      <c r="E53" s="334"/>
      <c r="F53" s="270"/>
      <c r="G53" s="270"/>
      <c r="H53" s="270"/>
      <c r="I53" s="271"/>
      <c r="J53" s="602" t="str">
        <f>IFERROR(IF(F53="","",IF(F53="Sim",VLOOKUP(G53,'Fatores de Emissão'!$C$262:$E$373,3,FALSE),IF(H53=FAEF!$B$11,10,VLOOKUP(B53,FAEF!$C$18:$J$26,8,FALSE)))),"")</f>
        <v/>
      </c>
      <c r="K53" s="603" t="str">
        <f>IFERROR(FAEF!R48/1000,"")</f>
        <v/>
      </c>
      <c r="N53" s="166"/>
    </row>
    <row r="54" spans="2:14" s="268" customFormat="1" ht="30" customHeight="1" outlineLevel="1" x14ac:dyDescent="0.25">
      <c r="B54" s="269"/>
      <c r="C54" s="601" t="str">
        <f>IF(B54="","",VLOOKUP(B54,FAEF!$C$18:$J$26,7,FALSE))</f>
        <v/>
      </c>
      <c r="D54" s="334"/>
      <c r="E54" s="334"/>
      <c r="F54" s="270"/>
      <c r="G54" s="270"/>
      <c r="H54" s="270"/>
      <c r="I54" s="271"/>
      <c r="J54" s="602" t="str">
        <f>IFERROR(IF(F54="","",IF(F54="Sim",VLOOKUP(G54,'Fatores de Emissão'!$C$262:$E$373,3,FALSE),IF(H54=FAEF!$B$11,10,VLOOKUP(B54,FAEF!$C$18:$J$26,8,FALSE)))),"")</f>
        <v/>
      </c>
      <c r="K54" s="603" t="str">
        <f>IFERROR(FAEF!R49/1000,"")</f>
        <v/>
      </c>
      <c r="N54" s="166"/>
    </row>
    <row r="55" spans="2:14" s="268" customFormat="1" ht="30" customHeight="1" outlineLevel="1" x14ac:dyDescent="0.25">
      <c r="B55" s="269"/>
      <c r="C55" s="601" t="str">
        <f>IF(B55="","",VLOOKUP(B55,FAEF!$C$18:$J$26,7,FALSE))</f>
        <v/>
      </c>
      <c r="D55" s="334"/>
      <c r="E55" s="334"/>
      <c r="F55" s="270"/>
      <c r="G55" s="270"/>
      <c r="H55" s="270"/>
      <c r="I55" s="271"/>
      <c r="J55" s="602" t="str">
        <f>IFERROR(IF(F55="","",IF(F55="Sim",VLOOKUP(G55,'Fatores de Emissão'!$C$262:$E$373,3,FALSE),IF(H55=FAEF!$B$11,10,VLOOKUP(B55,FAEF!$C$18:$J$26,8,FALSE)))),"")</f>
        <v/>
      </c>
      <c r="K55" s="603" t="str">
        <f>IFERROR(FAEF!R50/1000,"")</f>
        <v/>
      </c>
      <c r="N55" s="166"/>
    </row>
    <row r="56" spans="2:14" s="268" customFormat="1" ht="30" customHeight="1" outlineLevel="1" x14ac:dyDescent="0.25">
      <c r="B56" s="269"/>
      <c r="C56" s="601" t="str">
        <f>IF(B56="","",VLOOKUP(B56,FAEF!$C$18:$J$26,7,FALSE))</f>
        <v/>
      </c>
      <c r="D56" s="334"/>
      <c r="E56" s="334"/>
      <c r="F56" s="270"/>
      <c r="G56" s="270"/>
      <c r="H56" s="270"/>
      <c r="I56" s="271"/>
      <c r="J56" s="602" t="str">
        <f>IFERROR(IF(F56="","",IF(F56="Sim",VLOOKUP(G56,'Fatores de Emissão'!$C$262:$E$373,3,FALSE),IF(H56=FAEF!$B$11,10,VLOOKUP(B56,FAEF!$C$18:$J$26,8,FALSE)))),"")</f>
        <v/>
      </c>
      <c r="K56" s="603" t="str">
        <f>IFERROR(FAEF!R51/1000,"")</f>
        <v/>
      </c>
      <c r="N56" s="166"/>
    </row>
    <row r="57" spans="2:14" ht="30" customHeight="1" outlineLevel="1" x14ac:dyDescent="0.25">
      <c r="B57" s="604" t="s">
        <v>37</v>
      </c>
      <c r="C57" s="605"/>
      <c r="D57" s="605"/>
      <c r="E57" s="605"/>
      <c r="F57" s="605"/>
      <c r="G57" s="605"/>
      <c r="H57" s="605"/>
      <c r="I57" s="605"/>
      <c r="J57" s="605"/>
      <c r="K57" s="684">
        <f>SUM(K36:K56)</f>
        <v>0</v>
      </c>
    </row>
    <row r="58" spans="2:14" outlineLevel="1" x14ac:dyDescent="0.25">
      <c r="H58" s="168"/>
    </row>
    <row r="59" spans="2:14" outlineLevel="1" x14ac:dyDescent="0.25">
      <c r="H59" s="168"/>
    </row>
    <row r="60" spans="2:14" s="895" customFormat="1" ht="30" customHeight="1" x14ac:dyDescent="0.25">
      <c r="B60" s="231" t="s">
        <v>642</v>
      </c>
      <c r="C60" s="332"/>
      <c r="D60" s="332"/>
      <c r="E60" s="332"/>
      <c r="F60" s="332"/>
      <c r="G60" s="332"/>
      <c r="H60" s="332"/>
      <c r="I60" s="332"/>
      <c r="J60" s="332"/>
    </row>
    <row r="61" spans="2:14" x14ac:dyDescent="0.25"/>
    <row r="62" spans="2:14" outlineLevel="1" x14ac:dyDescent="0.25">
      <c r="B62" s="837" t="s">
        <v>24</v>
      </c>
      <c r="C62" s="778"/>
      <c r="D62" s="778"/>
      <c r="E62" s="778"/>
      <c r="F62" s="778"/>
      <c r="G62" s="778"/>
      <c r="H62" s="778"/>
      <c r="I62" s="168"/>
      <c r="J62" s="168"/>
    </row>
    <row r="63" spans="2:14" s="267" customFormat="1" ht="21" customHeight="1" outlineLevel="1" x14ac:dyDescent="0.25">
      <c r="B63" s="905" t="s">
        <v>759</v>
      </c>
      <c r="C63" s="905"/>
      <c r="D63" s="905"/>
      <c r="E63" s="905"/>
      <c r="F63" s="905"/>
      <c r="G63" s="905"/>
      <c r="H63" s="905"/>
      <c r="I63" s="734"/>
      <c r="J63" s="734"/>
    </row>
    <row r="64" spans="2:14" s="267" customFormat="1" ht="21" customHeight="1" outlineLevel="1" x14ac:dyDescent="0.25">
      <c r="B64" s="905" t="s">
        <v>1542</v>
      </c>
      <c r="C64" s="906"/>
      <c r="D64" s="905"/>
      <c r="E64" s="905"/>
      <c r="F64" s="905"/>
      <c r="G64" s="905"/>
      <c r="H64" s="905"/>
      <c r="I64" s="734"/>
      <c r="J64" s="734"/>
    </row>
    <row r="65" spans="1:11" s="267" customFormat="1" ht="21" customHeight="1" outlineLevel="1" x14ac:dyDescent="0.25">
      <c r="B65" s="1289" t="s">
        <v>1543</v>
      </c>
      <c r="C65" s="1289"/>
      <c r="D65" s="1289"/>
      <c r="E65" s="1289"/>
      <c r="F65" s="1289"/>
      <c r="G65" s="1289"/>
      <c r="H65" s="1289"/>
      <c r="I65" s="907"/>
      <c r="J65" s="907"/>
    </row>
    <row r="66" spans="1:11" s="267" customFormat="1" ht="21" customHeight="1" outlineLevel="1" x14ac:dyDescent="0.25">
      <c r="B66" s="1289" t="s">
        <v>1544</v>
      </c>
      <c r="C66" s="1289"/>
      <c r="D66" s="1289"/>
      <c r="E66" s="1289"/>
      <c r="F66" s="1289"/>
      <c r="G66" s="1289"/>
      <c r="H66" s="1289"/>
      <c r="I66" s="907"/>
      <c r="J66" s="907"/>
    </row>
    <row r="67" spans="1:11" outlineLevel="1" x14ac:dyDescent="0.25">
      <c r="C67" s="908"/>
      <c r="H67" s="168"/>
    </row>
    <row r="68" spans="1:11" ht="18.75" outlineLevel="1" x14ac:dyDescent="0.35">
      <c r="B68" s="765" t="s">
        <v>1332</v>
      </c>
      <c r="H68" s="168"/>
    </row>
    <row r="69" spans="1:11" s="240" customFormat="1" ht="51.6" customHeight="1" outlineLevel="1" x14ac:dyDescent="0.25">
      <c r="B69" s="1274" t="s">
        <v>674</v>
      </c>
      <c r="C69" s="1290" t="s">
        <v>703</v>
      </c>
      <c r="D69" s="1291"/>
      <c r="E69" s="1291"/>
      <c r="F69" s="1292"/>
      <c r="G69" s="1283" t="s">
        <v>1699</v>
      </c>
      <c r="H69" s="1284"/>
      <c r="I69" s="1285"/>
      <c r="J69" s="1184" t="s">
        <v>1649</v>
      </c>
      <c r="K69" s="1288"/>
    </row>
    <row r="70" spans="1:11" s="240" customFormat="1" ht="54.75" customHeight="1" outlineLevel="1" x14ac:dyDescent="0.25">
      <c r="B70" s="1275"/>
      <c r="C70" s="1286" t="s">
        <v>675</v>
      </c>
      <c r="D70" s="1204" t="s">
        <v>1648</v>
      </c>
      <c r="E70" s="1286" t="s">
        <v>29</v>
      </c>
      <c r="F70" s="1277" t="s">
        <v>1698</v>
      </c>
      <c r="G70" s="1078" t="s">
        <v>523</v>
      </c>
      <c r="H70" s="1286" t="s">
        <v>29</v>
      </c>
      <c r="I70" s="1277" t="s">
        <v>1700</v>
      </c>
      <c r="J70" s="1185"/>
      <c r="K70" s="1288"/>
    </row>
    <row r="71" spans="1:11" s="240" customFormat="1" ht="38.25" customHeight="1" outlineLevel="1" x14ac:dyDescent="0.25">
      <c r="B71" s="1276"/>
      <c r="C71" s="1287"/>
      <c r="D71" s="1206"/>
      <c r="E71" s="1287"/>
      <c r="F71" s="1281"/>
      <c r="G71" s="1076" t="str">
        <f>IF(COUNTIF(K73:K172,"Erro, confira o valor da quantidade utilizada")&gt;0,"Erro: confira of valores desta coluna","")</f>
        <v/>
      </c>
      <c r="H71" s="1287"/>
      <c r="I71" s="1281"/>
      <c r="J71" s="1186"/>
      <c r="K71" s="1077"/>
    </row>
    <row r="72" spans="1:11" s="249" customFormat="1" ht="73.5" customHeight="1" outlineLevel="1" x14ac:dyDescent="0.25">
      <c r="A72" s="242" t="s">
        <v>36</v>
      </c>
      <c r="B72" s="606" t="s">
        <v>1324</v>
      </c>
      <c r="C72" s="807"/>
      <c r="D72" s="909"/>
      <c r="E72" s="910" t="str">
        <f>IF(B72=FAEF!$B$65,"kgCO2e/kg subst.",IF(B72=FAEF!$B$80,"kgCO2e/kg subst.",""))</f>
        <v/>
      </c>
      <c r="F72" s="910"/>
      <c r="G72" s="1094">
        <v>1000</v>
      </c>
      <c r="H72" s="807" t="s">
        <v>1330</v>
      </c>
      <c r="I72" s="1092"/>
      <c r="J72" s="607">
        <v>2190</v>
      </c>
      <c r="K72" s="608"/>
    </row>
    <row r="73" spans="1:11" ht="30" customHeight="1" outlineLevel="1" x14ac:dyDescent="0.25">
      <c r="B73" s="715"/>
      <c r="C73" s="920"/>
      <c r="D73" s="921"/>
      <c r="E73" s="911" t="str">
        <f>IF(B73=FAEF!$B$65,"kgCO2e/kg subst.",IF(B73=FAEF!$B$80,"kgCO2e/kg "&amp;C73,""))</f>
        <v/>
      </c>
      <c r="F73" s="911"/>
      <c r="G73" s="922"/>
      <c r="H73" s="850" t="str">
        <f>IFERROR(IF(VLOOKUP(B73,FAEF!$B$59:$E$80,4,FALSE)="","",VLOOKUP(B73,FAEF!$B$59:$E$80,4,FALSE)),"")</f>
        <v/>
      </c>
      <c r="I73" s="1095"/>
      <c r="J73" s="610" t="str">
        <f>IFERROR(IF(G73="","",FAEF!X117/1000),"")</f>
        <v/>
      </c>
      <c r="K73" s="1093" t="str">
        <f>IF(G73="","",IFERROR(G73*1,"Erro, confira o valor da quantidade utilizada"))</f>
        <v/>
      </c>
    </row>
    <row r="74" spans="1:11" ht="30" customHeight="1" outlineLevel="1" x14ac:dyDescent="0.25">
      <c r="B74" s="715"/>
      <c r="C74" s="920"/>
      <c r="D74" s="921"/>
      <c r="E74" s="911" t="str">
        <f>IF(B74=FAEF!$B$65,"kgCO2e/kg subst.",IF(B74=FAEF!$B$80,"kgCO2e/kg subst.",""))</f>
        <v/>
      </c>
      <c r="F74" s="911"/>
      <c r="G74" s="923"/>
      <c r="H74" s="850" t="str">
        <f>IFERROR(IF(VLOOKUP(B74,FAEF!$B$59:$E$80,4,FALSE)="","",VLOOKUP(B74,FAEF!$B$59:$E$80,4,FALSE)),"")</f>
        <v/>
      </c>
      <c r="I74" s="1095"/>
      <c r="J74" s="610" t="str">
        <f>IFERROR(IF(G74="","",FAEF!X118/1000),"")</f>
        <v/>
      </c>
      <c r="K74" s="1093" t="str">
        <f t="shared" ref="K74:K137" si="0">IF(G74="","",IFERROR(G74*1,"Erro, confira o valor da quantidade utilizada"))</f>
        <v/>
      </c>
    </row>
    <row r="75" spans="1:11" ht="30" customHeight="1" outlineLevel="1" x14ac:dyDescent="0.25">
      <c r="B75" s="715"/>
      <c r="C75" s="920"/>
      <c r="D75" s="921"/>
      <c r="E75" s="911" t="str">
        <f>IF(B75=FAEF!$B$65,"kgCO2e/kg subst.",IF(B75=FAEF!$B$80,"kgCO2e/kg subst.",""))</f>
        <v/>
      </c>
      <c r="F75" s="911"/>
      <c r="G75" s="923"/>
      <c r="H75" s="850" t="str">
        <f>IFERROR(IF(VLOOKUP(B75,FAEF!$B$59:$E$80,4,FALSE)="","",VLOOKUP(B75,FAEF!$B$59:$E$80,4,FALSE)),"")</f>
        <v/>
      </c>
      <c r="I75" s="1095"/>
      <c r="J75" s="610" t="str">
        <f>IFERROR(IF(G75="","",FAEF!X119/1000),"")</f>
        <v/>
      </c>
      <c r="K75" s="1093" t="str">
        <f t="shared" si="0"/>
        <v/>
      </c>
    </row>
    <row r="76" spans="1:11" ht="30" customHeight="1" outlineLevel="1" x14ac:dyDescent="0.25">
      <c r="B76" s="715"/>
      <c r="C76" s="920"/>
      <c r="D76" s="921"/>
      <c r="E76" s="911" t="str">
        <f>IF(B76=FAEF!$B$65,"kgCO2e/kg subst.",IF(B76=FAEF!$B$80,"kgCO2e/kg subst.",""))</f>
        <v/>
      </c>
      <c r="F76" s="911"/>
      <c r="G76" s="923"/>
      <c r="H76" s="850" t="str">
        <f>IFERROR(IF(VLOOKUP(B76,FAEF!$B$59:$E$80,4,FALSE)="","",VLOOKUP(B76,FAEF!$B$59:$E$80,4,FALSE)),"")</f>
        <v/>
      </c>
      <c r="I76" s="1095"/>
      <c r="J76" s="610" t="str">
        <f>IFERROR(IF(G76="","",FAEF!X120/1000),"")</f>
        <v/>
      </c>
      <c r="K76" s="1093" t="str">
        <f t="shared" si="0"/>
        <v/>
      </c>
    </row>
    <row r="77" spans="1:11" ht="30" customHeight="1" outlineLevel="1" x14ac:dyDescent="0.25">
      <c r="B77" s="715"/>
      <c r="C77" s="920"/>
      <c r="D77" s="921"/>
      <c r="E77" s="911" t="str">
        <f>IF(B77=FAEF!$B$65,"kgCO2e/kg subst.",IF(B77=FAEF!$B$80,"kgCO2e/kg subst.",""))</f>
        <v/>
      </c>
      <c r="F77" s="911"/>
      <c r="G77" s="923"/>
      <c r="H77" s="850" t="str">
        <f>IFERROR(IF(VLOOKUP(B77,FAEF!$B$59:$E$80,4,FALSE)="","",VLOOKUP(B77,FAEF!$B$59:$E$80,4,FALSE)),"")</f>
        <v/>
      </c>
      <c r="I77" s="1095"/>
      <c r="J77" s="610" t="str">
        <f>IFERROR(IF(G77="","",FAEF!X121/1000),"")</f>
        <v/>
      </c>
      <c r="K77" s="1093" t="str">
        <f t="shared" si="0"/>
        <v/>
      </c>
    </row>
    <row r="78" spans="1:11" ht="30" customHeight="1" outlineLevel="1" x14ac:dyDescent="0.25">
      <c r="B78" s="715"/>
      <c r="C78" s="920"/>
      <c r="D78" s="921"/>
      <c r="E78" s="911" t="str">
        <f>IF(B78=FAEF!$B$65,"kgCO2e/kg subst.",IF(B78=FAEF!$B$80,"kgCO2e/kg subst.",""))</f>
        <v/>
      </c>
      <c r="F78" s="911"/>
      <c r="G78" s="923"/>
      <c r="H78" s="850" t="str">
        <f>IFERROR(IF(VLOOKUP(B78,FAEF!$B$59:$E$80,4,FALSE)="","",VLOOKUP(B78,FAEF!$B$59:$E$80,4,FALSE)),"")</f>
        <v/>
      </c>
      <c r="I78" s="1095"/>
      <c r="J78" s="610" t="str">
        <f>IFERROR(IF(G78="","",FAEF!X122/1000),"")</f>
        <v/>
      </c>
      <c r="K78" s="1093" t="str">
        <f t="shared" si="0"/>
        <v/>
      </c>
    </row>
    <row r="79" spans="1:11" ht="30" customHeight="1" outlineLevel="1" x14ac:dyDescent="0.25">
      <c r="B79" s="715"/>
      <c r="C79" s="920"/>
      <c r="D79" s="921"/>
      <c r="E79" s="911" t="str">
        <f>IF(B79=FAEF!$B$65,"kgCO2e/kg subst.",IF(B79=FAEF!$B$80,"kgCO2e/kg subst.",""))</f>
        <v/>
      </c>
      <c r="F79" s="911"/>
      <c r="G79" s="923"/>
      <c r="H79" s="850" t="str">
        <f>IFERROR(IF(VLOOKUP(B79,FAEF!$B$59:$E$80,4,FALSE)="","",VLOOKUP(B79,FAEF!$B$59:$E$80,4,FALSE)),"")</f>
        <v/>
      </c>
      <c r="I79" s="1095"/>
      <c r="J79" s="610" t="str">
        <f>IFERROR(IF(G79="","",FAEF!X123/1000),"")</f>
        <v/>
      </c>
      <c r="K79" s="1093" t="str">
        <f t="shared" si="0"/>
        <v/>
      </c>
    </row>
    <row r="80" spans="1:11" ht="30" customHeight="1" outlineLevel="1" x14ac:dyDescent="0.25">
      <c r="B80" s="715"/>
      <c r="C80" s="920"/>
      <c r="D80" s="921"/>
      <c r="E80" s="911" t="str">
        <f>IF(B80=FAEF!$B$65,"kgCO2e/kg subst.",IF(B80=FAEF!$B$80,"kgCO2e/kg subst.",""))</f>
        <v/>
      </c>
      <c r="F80" s="911"/>
      <c r="G80" s="923"/>
      <c r="H80" s="850" t="str">
        <f>IFERROR(IF(VLOOKUP(B80,FAEF!$B$59:$E$80,4,FALSE)="","",VLOOKUP(B80,FAEF!$B$59:$E$80,4,FALSE)),"")</f>
        <v/>
      </c>
      <c r="I80" s="1095"/>
      <c r="J80" s="610" t="str">
        <f>IFERROR(IF(G80="","",FAEF!X124/1000),"")</f>
        <v/>
      </c>
      <c r="K80" s="1093" t="str">
        <f t="shared" si="0"/>
        <v/>
      </c>
    </row>
    <row r="81" spans="2:11" ht="30" customHeight="1" outlineLevel="1" x14ac:dyDescent="0.25">
      <c r="B81" s="715"/>
      <c r="C81" s="920"/>
      <c r="D81" s="921"/>
      <c r="E81" s="911" t="str">
        <f>IF(B81=FAEF!$B$65,"kgCO2e/kg subst.",IF(B81=FAEF!$B$80,"kgCO2e/kg subst.",""))</f>
        <v/>
      </c>
      <c r="F81" s="911"/>
      <c r="G81" s="923"/>
      <c r="H81" s="850" t="str">
        <f>IFERROR(IF(VLOOKUP(B81,FAEF!$B$59:$E$80,4,FALSE)="","",VLOOKUP(B81,FAEF!$B$59:$E$80,4,FALSE)),"")</f>
        <v/>
      </c>
      <c r="I81" s="1095"/>
      <c r="J81" s="610" t="str">
        <f>IFERROR(IF(G81="","",FAEF!X125/1000),"")</f>
        <v/>
      </c>
      <c r="K81" s="1093" t="str">
        <f t="shared" si="0"/>
        <v/>
      </c>
    </row>
    <row r="82" spans="2:11" ht="30" customHeight="1" outlineLevel="1" x14ac:dyDescent="0.25">
      <c r="B82" s="715"/>
      <c r="C82" s="920"/>
      <c r="D82" s="921"/>
      <c r="E82" s="911" t="str">
        <f>IF(B82=FAEF!$B$65,"kgCO2e/kg subst.",IF(B82=FAEF!$B$80,"kgCO2e/kg subst.",""))</f>
        <v/>
      </c>
      <c r="F82" s="911"/>
      <c r="G82" s="923"/>
      <c r="H82" s="850" t="str">
        <f>IFERROR(IF(VLOOKUP(B82,FAEF!$B$59:$E$80,4,FALSE)="","",VLOOKUP(B82,FAEF!$B$59:$E$80,4,FALSE)),"")</f>
        <v/>
      </c>
      <c r="I82" s="1095"/>
      <c r="J82" s="610" t="str">
        <f>IFERROR(IF(G82="","",FAEF!X126/1000),"")</f>
        <v/>
      </c>
      <c r="K82" s="1093" t="str">
        <f t="shared" si="0"/>
        <v/>
      </c>
    </row>
    <row r="83" spans="2:11" ht="30" customHeight="1" outlineLevel="1" x14ac:dyDescent="0.25">
      <c r="B83" s="715"/>
      <c r="C83" s="920"/>
      <c r="D83" s="921"/>
      <c r="E83" s="911" t="str">
        <f>IF(B83=FAEF!$B$65,"kgCO2e/kg subst.",IF(B83=FAEF!$B$80,"kgCO2e/kg subst.",""))</f>
        <v/>
      </c>
      <c r="F83" s="911"/>
      <c r="G83" s="923"/>
      <c r="H83" s="850" t="str">
        <f>IFERROR(IF(VLOOKUP(B83,FAEF!$B$59:$E$80,4,FALSE)="","",VLOOKUP(B83,FAEF!$B$59:$E$80,4,FALSE)),"")</f>
        <v/>
      </c>
      <c r="I83" s="1095"/>
      <c r="J83" s="610" t="str">
        <f>IFERROR(IF(G83="","",FAEF!X127/1000),"")</f>
        <v/>
      </c>
      <c r="K83" s="1093" t="str">
        <f t="shared" si="0"/>
        <v/>
      </c>
    </row>
    <row r="84" spans="2:11" ht="30" hidden="1" customHeight="1" outlineLevel="2" x14ac:dyDescent="0.25">
      <c r="B84" s="715"/>
      <c r="C84" s="920"/>
      <c r="D84" s="921"/>
      <c r="E84" s="911" t="str">
        <f>IF(B84=FAEF!$B$65,"kgCO2e/kg subst.",IF(B84=FAEF!$B$80,"kgCO2e/kg subst.",""))</f>
        <v/>
      </c>
      <c r="F84" s="911"/>
      <c r="G84" s="923"/>
      <c r="H84" s="850" t="str">
        <f>IFERROR(IF(VLOOKUP(B84,FAEF!$B$59:$E$80,4,FALSE)="","",VLOOKUP(B84,FAEF!$B$59:$E$80,4,FALSE)),"")</f>
        <v/>
      </c>
      <c r="I84" s="1095"/>
      <c r="J84" s="610" t="str">
        <f>IFERROR(IF(G84="","",FAEF!X128/1000),"")</f>
        <v/>
      </c>
      <c r="K84" s="1093" t="str">
        <f t="shared" si="0"/>
        <v/>
      </c>
    </row>
    <row r="85" spans="2:11" ht="30" hidden="1" customHeight="1" outlineLevel="2" x14ac:dyDescent="0.25">
      <c r="B85" s="715"/>
      <c r="C85" s="920"/>
      <c r="D85" s="921"/>
      <c r="E85" s="911" t="str">
        <f>IF(B85=FAEF!$B$65,"kgCO2e/kg subst.",IF(B85=FAEF!$B$80,"kgCO2e/kg subst.",""))</f>
        <v/>
      </c>
      <c r="F85" s="911"/>
      <c r="G85" s="923"/>
      <c r="H85" s="850" t="str">
        <f>IFERROR(IF(VLOOKUP(B85,FAEF!$B$59:$E$80,4,FALSE)="","",VLOOKUP(B85,FAEF!$B$59:$E$80,4,FALSE)),"")</f>
        <v/>
      </c>
      <c r="I85" s="1095"/>
      <c r="J85" s="610" t="str">
        <f>IFERROR(IF(G85="","",FAEF!X129/1000),"")</f>
        <v/>
      </c>
      <c r="K85" s="1093" t="str">
        <f t="shared" si="0"/>
        <v/>
      </c>
    </row>
    <row r="86" spans="2:11" ht="30" hidden="1" customHeight="1" outlineLevel="2" x14ac:dyDescent="0.25">
      <c r="B86" s="715"/>
      <c r="C86" s="920"/>
      <c r="D86" s="921"/>
      <c r="E86" s="911" t="str">
        <f>IF(B86=FAEF!$B$65,"kgCO2e/kg subst.",IF(B86=FAEF!$B$80,"kgCO2e/kg subst.",""))</f>
        <v/>
      </c>
      <c r="F86" s="911"/>
      <c r="G86" s="923"/>
      <c r="H86" s="850" t="str">
        <f>IFERROR(IF(VLOOKUP(B86,FAEF!$B$59:$E$80,4,FALSE)="","",VLOOKUP(B86,FAEF!$B$59:$E$80,4,FALSE)),"")</f>
        <v/>
      </c>
      <c r="I86" s="1095"/>
      <c r="J86" s="610" t="str">
        <f>IFERROR(IF(G86="","",FAEF!X130/1000),"")</f>
        <v/>
      </c>
      <c r="K86" s="1093" t="str">
        <f t="shared" si="0"/>
        <v/>
      </c>
    </row>
    <row r="87" spans="2:11" ht="30" hidden="1" customHeight="1" outlineLevel="2" x14ac:dyDescent="0.25">
      <c r="B87" s="715"/>
      <c r="C87" s="920"/>
      <c r="D87" s="921"/>
      <c r="E87" s="911" t="str">
        <f>IF(B87=FAEF!$B$65,"kgCO2e/kg subst.",IF(B87=FAEF!$B$80,"kgCO2e/kg subst.",""))</f>
        <v/>
      </c>
      <c r="F87" s="911"/>
      <c r="G87" s="923"/>
      <c r="H87" s="850" t="str">
        <f>IFERROR(IF(VLOOKUP(B87,FAEF!$B$59:$E$80,4,FALSE)="","",VLOOKUP(B87,FAEF!$B$59:$E$80,4,FALSE)),"")</f>
        <v/>
      </c>
      <c r="I87" s="1095"/>
      <c r="J87" s="610" t="str">
        <f>IFERROR(IF(G87="","",FAEF!X131/1000),"")</f>
        <v/>
      </c>
      <c r="K87" s="1093" t="str">
        <f t="shared" si="0"/>
        <v/>
      </c>
    </row>
    <row r="88" spans="2:11" ht="30" hidden="1" customHeight="1" outlineLevel="2" x14ac:dyDescent="0.25">
      <c r="B88" s="715"/>
      <c r="C88" s="920"/>
      <c r="D88" s="921"/>
      <c r="E88" s="911" t="str">
        <f>IF(B88=FAEF!$B$65,"kgCO2e/kg subst.",IF(B88=FAEF!$B$80,"kgCO2e/kg subst.",""))</f>
        <v/>
      </c>
      <c r="F88" s="911"/>
      <c r="G88" s="923"/>
      <c r="H88" s="850" t="str">
        <f>IFERROR(IF(VLOOKUP(B88,FAEF!$B$59:$E$80,4,FALSE)="","",VLOOKUP(B88,FAEF!$B$59:$E$80,4,FALSE)),"")</f>
        <v/>
      </c>
      <c r="I88" s="1095"/>
      <c r="J88" s="610" t="str">
        <f>IFERROR(IF(G88="","",FAEF!X132/1000),"")</f>
        <v/>
      </c>
      <c r="K88" s="1093" t="str">
        <f t="shared" si="0"/>
        <v/>
      </c>
    </row>
    <row r="89" spans="2:11" ht="30" hidden="1" customHeight="1" outlineLevel="2" x14ac:dyDescent="0.25">
      <c r="B89" s="715"/>
      <c r="C89" s="920"/>
      <c r="D89" s="921"/>
      <c r="E89" s="911" t="str">
        <f>IF(B89=FAEF!$B$65,"kgCO2e/kg subst.",IF(B89=FAEF!$B$80,"kgCO2e/kg subst.",""))</f>
        <v/>
      </c>
      <c r="F89" s="911"/>
      <c r="G89" s="923"/>
      <c r="H89" s="850" t="str">
        <f>IFERROR(IF(VLOOKUP(B89,FAEF!$B$59:$E$80,4,FALSE)="","",VLOOKUP(B89,FAEF!$B$59:$E$80,4,FALSE)),"")</f>
        <v/>
      </c>
      <c r="I89" s="1095"/>
      <c r="J89" s="610" t="str">
        <f>IFERROR(IF(G89="","",FAEF!X133/1000),"")</f>
        <v/>
      </c>
      <c r="K89" s="1093" t="str">
        <f t="shared" si="0"/>
        <v/>
      </c>
    </row>
    <row r="90" spans="2:11" ht="30" hidden="1" customHeight="1" outlineLevel="2" x14ac:dyDescent="0.25">
      <c r="B90" s="715"/>
      <c r="C90" s="920"/>
      <c r="D90" s="921"/>
      <c r="E90" s="911" t="str">
        <f>IF(B90=FAEF!$B$65,"kgCO2e/kg subst.",IF(B90=FAEF!$B$80,"kgCO2e/kg subst.",""))</f>
        <v/>
      </c>
      <c r="F90" s="911"/>
      <c r="G90" s="923"/>
      <c r="H90" s="850" t="str">
        <f>IFERROR(IF(VLOOKUP(B90,FAEF!$B$59:$E$80,4,FALSE)="","",VLOOKUP(B90,FAEF!$B$59:$E$80,4,FALSE)),"")</f>
        <v/>
      </c>
      <c r="I90" s="1095"/>
      <c r="J90" s="610" t="str">
        <f>IFERROR(IF(G90="","",FAEF!X134/1000),"")</f>
        <v/>
      </c>
      <c r="K90" s="1093" t="str">
        <f t="shared" si="0"/>
        <v/>
      </c>
    </row>
    <row r="91" spans="2:11" ht="30" hidden="1" customHeight="1" outlineLevel="2" x14ac:dyDescent="0.25">
      <c r="B91" s="715"/>
      <c r="C91" s="920"/>
      <c r="D91" s="921"/>
      <c r="E91" s="911" t="str">
        <f>IF(B91=FAEF!$B$65,"kgCO2e/kg subst.",IF(B91=FAEF!$B$80,"kgCO2e/kg subst.",""))</f>
        <v/>
      </c>
      <c r="F91" s="911"/>
      <c r="G91" s="923"/>
      <c r="H91" s="850" t="str">
        <f>IFERROR(IF(VLOOKUP(B91,FAEF!$B$59:$E$80,4,FALSE)="","",VLOOKUP(B91,FAEF!$B$59:$E$80,4,FALSE)),"")</f>
        <v/>
      </c>
      <c r="I91" s="1095"/>
      <c r="J91" s="610" t="str">
        <f>IFERROR(IF(G91="","",FAEF!X135/1000),"")</f>
        <v/>
      </c>
      <c r="K91" s="1093" t="str">
        <f t="shared" si="0"/>
        <v/>
      </c>
    </row>
    <row r="92" spans="2:11" ht="30" hidden="1" customHeight="1" outlineLevel="2" x14ac:dyDescent="0.25">
      <c r="B92" s="715"/>
      <c r="C92" s="920"/>
      <c r="D92" s="921"/>
      <c r="E92" s="911" t="str">
        <f>IF(B92=FAEF!$B$65,"kgCO2e/kg subst.",IF(B92=FAEF!$B$80,"kgCO2e/kg subst.",""))</f>
        <v/>
      </c>
      <c r="F92" s="911"/>
      <c r="G92" s="923"/>
      <c r="H92" s="850" t="str">
        <f>IFERROR(IF(VLOOKUP(B92,FAEF!$B$59:$E$80,4,FALSE)="","",VLOOKUP(B92,FAEF!$B$59:$E$80,4,FALSE)),"")</f>
        <v/>
      </c>
      <c r="I92" s="1095"/>
      <c r="J92" s="610" t="str">
        <f>IFERROR(IF(G92="","",FAEF!X136/1000),"")</f>
        <v/>
      </c>
      <c r="K92" s="1093" t="str">
        <f t="shared" si="0"/>
        <v/>
      </c>
    </row>
    <row r="93" spans="2:11" ht="30" hidden="1" customHeight="1" outlineLevel="2" x14ac:dyDescent="0.25">
      <c r="B93" s="715"/>
      <c r="C93" s="920"/>
      <c r="D93" s="921"/>
      <c r="E93" s="911" t="str">
        <f>IF(B93=FAEF!$B$65,"kgCO2e/kg subst.",IF(B93=FAEF!$B$80,"kgCO2e/kg subst.",""))</f>
        <v/>
      </c>
      <c r="F93" s="911"/>
      <c r="G93" s="923"/>
      <c r="H93" s="850" t="str">
        <f>IFERROR(IF(VLOOKUP(B93,FAEF!$B$59:$E$80,4,FALSE)="","",VLOOKUP(B93,FAEF!$B$59:$E$80,4,FALSE)),"")</f>
        <v/>
      </c>
      <c r="I93" s="1095"/>
      <c r="J93" s="610" t="str">
        <f>IFERROR(IF(G93="","",FAEF!X137/1000),"")</f>
        <v/>
      </c>
      <c r="K93" s="1093" t="str">
        <f t="shared" si="0"/>
        <v/>
      </c>
    </row>
    <row r="94" spans="2:11" ht="30" hidden="1" customHeight="1" outlineLevel="2" x14ac:dyDescent="0.25">
      <c r="B94" s="715"/>
      <c r="C94" s="920"/>
      <c r="D94" s="921"/>
      <c r="E94" s="911" t="str">
        <f>IF(B94=FAEF!$B$65,"kgCO2e/kg subst.",IF(B94=FAEF!$B$80,"kgCO2e/kg subst.",""))</f>
        <v/>
      </c>
      <c r="F94" s="911"/>
      <c r="G94" s="923"/>
      <c r="H94" s="850" t="str">
        <f>IFERROR(IF(VLOOKUP(B94,FAEF!$B$59:$E$80,4,FALSE)="","",VLOOKUP(B94,FAEF!$B$59:$E$80,4,FALSE)),"")</f>
        <v/>
      </c>
      <c r="I94" s="1095"/>
      <c r="J94" s="610" t="str">
        <f>IFERROR(IF(G94="","",FAEF!X138/1000),"")</f>
        <v/>
      </c>
      <c r="K94" s="1093" t="str">
        <f t="shared" si="0"/>
        <v/>
      </c>
    </row>
    <row r="95" spans="2:11" ht="30" hidden="1" customHeight="1" outlineLevel="2" x14ac:dyDescent="0.25">
      <c r="B95" s="715"/>
      <c r="C95" s="920"/>
      <c r="D95" s="921"/>
      <c r="E95" s="911" t="str">
        <f>IF(B95=FAEF!$B$65,"kgCO2e/kg subst.",IF(B95=FAEF!$B$80,"kgCO2e/kg subst.",""))</f>
        <v/>
      </c>
      <c r="F95" s="911"/>
      <c r="G95" s="923"/>
      <c r="H95" s="850" t="str">
        <f>IFERROR(IF(VLOOKUP(B95,FAEF!$B$59:$E$80,4,FALSE)="","",VLOOKUP(B95,FAEF!$B$59:$E$80,4,FALSE)),"")</f>
        <v/>
      </c>
      <c r="I95" s="1095"/>
      <c r="J95" s="610" t="str">
        <f>IFERROR(IF(G95="","",FAEF!X139/1000),"")</f>
        <v/>
      </c>
      <c r="K95" s="1093" t="str">
        <f t="shared" si="0"/>
        <v/>
      </c>
    </row>
    <row r="96" spans="2:11" ht="30" hidden="1" customHeight="1" outlineLevel="2" x14ac:dyDescent="0.25">
      <c r="B96" s="715"/>
      <c r="C96" s="920"/>
      <c r="D96" s="921"/>
      <c r="E96" s="911" t="str">
        <f>IF(B96=FAEF!$B$65,"kgCO2e/kg subst.",IF(B96=FAEF!$B$80,"kgCO2e/kg subst.",""))</f>
        <v/>
      </c>
      <c r="F96" s="911"/>
      <c r="G96" s="923"/>
      <c r="H96" s="850" t="str">
        <f>IFERROR(IF(VLOOKUP(B96,FAEF!$B$59:$E$80,4,FALSE)="","",VLOOKUP(B96,FAEF!$B$59:$E$80,4,FALSE)),"")</f>
        <v/>
      </c>
      <c r="I96" s="1095"/>
      <c r="J96" s="610" t="str">
        <f>IFERROR(IF(G96="","",FAEF!X140/1000),"")</f>
        <v/>
      </c>
      <c r="K96" s="1093" t="str">
        <f t="shared" si="0"/>
        <v/>
      </c>
    </row>
    <row r="97" spans="2:11" ht="30" hidden="1" customHeight="1" outlineLevel="2" x14ac:dyDescent="0.25">
      <c r="B97" s="715"/>
      <c r="C97" s="920"/>
      <c r="D97" s="921"/>
      <c r="E97" s="911" t="str">
        <f>IF(B97=FAEF!$B$65,"kgCO2e/kg subst.",IF(B97=FAEF!$B$80,"kgCO2e/kg subst.",""))</f>
        <v/>
      </c>
      <c r="F97" s="911"/>
      <c r="G97" s="923"/>
      <c r="H97" s="850" t="str">
        <f>IFERROR(IF(VLOOKUP(B97,FAEF!$B$59:$E$80,4,FALSE)="","",VLOOKUP(B97,FAEF!$B$59:$E$80,4,FALSE)),"")</f>
        <v/>
      </c>
      <c r="I97" s="1095"/>
      <c r="J97" s="610" t="str">
        <f>IFERROR(IF(G97="","",FAEF!X141/1000),"")</f>
        <v/>
      </c>
      <c r="K97" s="1093" t="str">
        <f t="shared" si="0"/>
        <v/>
      </c>
    </row>
    <row r="98" spans="2:11" ht="30" hidden="1" customHeight="1" outlineLevel="2" x14ac:dyDescent="0.25">
      <c r="B98" s="715"/>
      <c r="C98" s="920"/>
      <c r="D98" s="921"/>
      <c r="E98" s="911" t="str">
        <f>IF(B98=FAEF!$B$65,"kgCO2e/kg subst.",IF(B98=FAEF!$B$80,"kgCO2e/kg subst.",""))</f>
        <v/>
      </c>
      <c r="F98" s="911"/>
      <c r="G98" s="923"/>
      <c r="H98" s="850" t="str">
        <f>IFERROR(IF(VLOOKUP(B98,FAEF!$B$59:$E$80,4,FALSE)="","",VLOOKUP(B98,FAEF!$B$59:$E$80,4,FALSE)),"")</f>
        <v/>
      </c>
      <c r="I98" s="1095"/>
      <c r="J98" s="610" t="str">
        <f>IFERROR(IF(G98="","",FAEF!X142/1000),"")</f>
        <v/>
      </c>
      <c r="K98" s="1093" t="str">
        <f t="shared" si="0"/>
        <v/>
      </c>
    </row>
    <row r="99" spans="2:11" ht="30" hidden="1" customHeight="1" outlineLevel="2" x14ac:dyDescent="0.25">
      <c r="B99" s="715"/>
      <c r="C99" s="920"/>
      <c r="D99" s="921"/>
      <c r="E99" s="911" t="str">
        <f>IF(B99=FAEF!$B$65,"kgCO2e/kg subst.",IF(B99=FAEF!$B$80,"kgCO2e/kg subst.",""))</f>
        <v/>
      </c>
      <c r="F99" s="911"/>
      <c r="G99" s="923"/>
      <c r="H99" s="850" t="str">
        <f>IFERROR(IF(VLOOKUP(B99,FAEF!$B$59:$E$80,4,FALSE)="","",VLOOKUP(B99,FAEF!$B$59:$E$80,4,FALSE)),"")</f>
        <v/>
      </c>
      <c r="I99" s="1095"/>
      <c r="J99" s="610" t="str">
        <f>IFERROR(IF(G99="","",FAEF!X143/1000),"")</f>
        <v/>
      </c>
      <c r="K99" s="1093" t="str">
        <f t="shared" si="0"/>
        <v/>
      </c>
    </row>
    <row r="100" spans="2:11" ht="30" hidden="1" customHeight="1" outlineLevel="2" x14ac:dyDescent="0.25">
      <c r="B100" s="715"/>
      <c r="C100" s="920"/>
      <c r="D100" s="921"/>
      <c r="E100" s="911" t="str">
        <f>IF(B100=FAEF!$B$65,"kgCO2e/kg subst.",IF(B100=FAEF!$B$80,"kgCO2e/kg subst.",""))</f>
        <v/>
      </c>
      <c r="F100" s="911"/>
      <c r="G100" s="923"/>
      <c r="H100" s="850" t="str">
        <f>IFERROR(IF(VLOOKUP(B100,FAEF!$B$59:$E$80,4,FALSE)="","",VLOOKUP(B100,FAEF!$B$59:$E$80,4,FALSE)),"")</f>
        <v/>
      </c>
      <c r="I100" s="1095"/>
      <c r="J100" s="610" t="str">
        <f>IFERROR(IF(G100="","",FAEF!X144/1000),"")</f>
        <v/>
      </c>
      <c r="K100" s="1093" t="str">
        <f t="shared" si="0"/>
        <v/>
      </c>
    </row>
    <row r="101" spans="2:11" ht="30" hidden="1" customHeight="1" outlineLevel="2" x14ac:dyDescent="0.25">
      <c r="B101" s="715"/>
      <c r="C101" s="920"/>
      <c r="D101" s="921"/>
      <c r="E101" s="911" t="str">
        <f>IF(B101=FAEF!$B$65,"kgCO2e/kg subst.",IF(B101=FAEF!$B$80,"kgCO2e/kg subst.",""))</f>
        <v/>
      </c>
      <c r="F101" s="911"/>
      <c r="G101" s="923"/>
      <c r="H101" s="850" t="str">
        <f>IFERROR(IF(VLOOKUP(B101,FAEF!$B$59:$E$80,4,FALSE)="","",VLOOKUP(B101,FAEF!$B$59:$E$80,4,FALSE)),"")</f>
        <v/>
      </c>
      <c r="I101" s="1095"/>
      <c r="J101" s="610" t="str">
        <f>IFERROR(IF(G101="","",FAEF!X145/1000),"")</f>
        <v/>
      </c>
      <c r="K101" s="1093" t="str">
        <f t="shared" si="0"/>
        <v/>
      </c>
    </row>
    <row r="102" spans="2:11" ht="30" hidden="1" customHeight="1" outlineLevel="2" x14ac:dyDescent="0.25">
      <c r="B102" s="715"/>
      <c r="C102" s="920"/>
      <c r="D102" s="921"/>
      <c r="E102" s="911" t="str">
        <f>IF(B102=FAEF!$B$65,"kgCO2e/kg subst.",IF(B102=FAEF!$B$80,"kgCO2e/kg subst.",""))</f>
        <v/>
      </c>
      <c r="F102" s="911"/>
      <c r="G102" s="923"/>
      <c r="H102" s="850" t="str">
        <f>IFERROR(IF(VLOOKUP(B102,FAEF!$B$59:$E$80,4,FALSE)="","",VLOOKUP(B102,FAEF!$B$59:$E$80,4,FALSE)),"")</f>
        <v/>
      </c>
      <c r="I102" s="1095"/>
      <c r="J102" s="610" t="str">
        <f>IFERROR(IF(G102="","",FAEF!X146/1000),"")</f>
        <v/>
      </c>
      <c r="K102" s="1093" t="str">
        <f t="shared" si="0"/>
        <v/>
      </c>
    </row>
    <row r="103" spans="2:11" ht="30" hidden="1" customHeight="1" outlineLevel="2" x14ac:dyDescent="0.25">
      <c r="B103" s="715"/>
      <c r="C103" s="920"/>
      <c r="D103" s="921"/>
      <c r="E103" s="911" t="str">
        <f>IF(B103=FAEF!$B$65,"kgCO2e/kg subst.",IF(B103=FAEF!$B$80,"kgCO2e/kg subst.",""))</f>
        <v/>
      </c>
      <c r="F103" s="911"/>
      <c r="G103" s="923"/>
      <c r="H103" s="850" t="str">
        <f>IFERROR(IF(VLOOKUP(B103,FAEF!$B$59:$E$80,4,FALSE)="","",VLOOKUP(B103,FAEF!$B$59:$E$80,4,FALSE)),"")</f>
        <v/>
      </c>
      <c r="I103" s="1095"/>
      <c r="J103" s="610" t="str">
        <f>IFERROR(IF(G103="","",FAEF!X147/1000),"")</f>
        <v/>
      </c>
      <c r="K103" s="1093" t="str">
        <f t="shared" si="0"/>
        <v/>
      </c>
    </row>
    <row r="104" spans="2:11" ht="30" hidden="1" customHeight="1" outlineLevel="2" x14ac:dyDescent="0.25">
      <c r="B104" s="715"/>
      <c r="C104" s="920"/>
      <c r="D104" s="921"/>
      <c r="E104" s="911" t="str">
        <f>IF(B104=FAEF!$B$65,"kgCO2e/kg subst.",IF(B104=FAEF!$B$80,"kgCO2e/kg subst.",""))</f>
        <v/>
      </c>
      <c r="F104" s="911"/>
      <c r="G104" s="923"/>
      <c r="H104" s="850" t="str">
        <f>IFERROR(IF(VLOOKUP(B104,FAEF!$B$59:$E$80,4,FALSE)="","",VLOOKUP(B104,FAEF!$B$59:$E$80,4,FALSE)),"")</f>
        <v/>
      </c>
      <c r="I104" s="1095"/>
      <c r="J104" s="610" t="str">
        <f>IFERROR(IF(G104="","",FAEF!X148/1000),"")</f>
        <v/>
      </c>
      <c r="K104" s="1093" t="str">
        <f t="shared" si="0"/>
        <v/>
      </c>
    </row>
    <row r="105" spans="2:11" ht="30" hidden="1" customHeight="1" outlineLevel="2" x14ac:dyDescent="0.25">
      <c r="B105" s="715"/>
      <c r="C105" s="920"/>
      <c r="D105" s="921"/>
      <c r="E105" s="911" t="str">
        <f>IF(B105=FAEF!$B$65,"kgCO2e/kg subst.",IF(B105=FAEF!$B$80,"kgCO2e/kg subst.",""))</f>
        <v/>
      </c>
      <c r="F105" s="911"/>
      <c r="G105" s="923"/>
      <c r="H105" s="850" t="str">
        <f>IFERROR(IF(VLOOKUP(B105,FAEF!$B$59:$E$80,4,FALSE)="","",VLOOKUP(B105,FAEF!$B$59:$E$80,4,FALSE)),"")</f>
        <v/>
      </c>
      <c r="I105" s="1095"/>
      <c r="J105" s="610" t="str">
        <f>IFERROR(IF(G105="","",FAEF!X149/1000),"")</f>
        <v/>
      </c>
      <c r="K105" s="1093" t="str">
        <f t="shared" si="0"/>
        <v/>
      </c>
    </row>
    <row r="106" spans="2:11" ht="30" hidden="1" customHeight="1" outlineLevel="2" x14ac:dyDescent="0.25">
      <c r="B106" s="715"/>
      <c r="C106" s="920"/>
      <c r="D106" s="921"/>
      <c r="E106" s="911" t="str">
        <f>IF(B106=FAEF!$B$65,"kgCO2e/kg subst.",IF(B106=FAEF!$B$80,"kgCO2e/kg subst.",""))</f>
        <v/>
      </c>
      <c r="F106" s="911"/>
      <c r="G106" s="923"/>
      <c r="H106" s="850" t="str">
        <f>IFERROR(IF(VLOOKUP(B106,FAEF!$B$59:$E$80,4,FALSE)="","",VLOOKUP(B106,FAEF!$B$59:$E$80,4,FALSE)),"")</f>
        <v/>
      </c>
      <c r="I106" s="1095"/>
      <c r="J106" s="610" t="str">
        <f>IFERROR(IF(G106="","",FAEF!X150/1000),"")</f>
        <v/>
      </c>
      <c r="K106" s="1093" t="str">
        <f t="shared" si="0"/>
        <v/>
      </c>
    </row>
    <row r="107" spans="2:11" ht="30" hidden="1" customHeight="1" outlineLevel="2" x14ac:dyDescent="0.25">
      <c r="B107" s="715"/>
      <c r="C107" s="920"/>
      <c r="D107" s="921"/>
      <c r="E107" s="911" t="str">
        <f>IF(B107=FAEF!$B$65,"kgCO2e/kg subst.",IF(B107=FAEF!$B$80,"kgCO2e/kg subst.",""))</f>
        <v/>
      </c>
      <c r="F107" s="911"/>
      <c r="G107" s="923"/>
      <c r="H107" s="850" t="str">
        <f>IFERROR(IF(VLOOKUP(B107,FAEF!$B$59:$E$80,4,FALSE)="","",VLOOKUP(B107,FAEF!$B$59:$E$80,4,FALSE)),"")</f>
        <v/>
      </c>
      <c r="I107" s="1095"/>
      <c r="J107" s="610" t="str">
        <f>IFERROR(IF(G107="","",FAEF!X151/1000),"")</f>
        <v/>
      </c>
      <c r="K107" s="1093" t="str">
        <f t="shared" si="0"/>
        <v/>
      </c>
    </row>
    <row r="108" spans="2:11" ht="30" hidden="1" customHeight="1" outlineLevel="2" x14ac:dyDescent="0.25">
      <c r="B108" s="715"/>
      <c r="C108" s="920"/>
      <c r="D108" s="921"/>
      <c r="E108" s="911" t="str">
        <f>IF(B108=FAEF!$B$65,"kgCO2e/kg subst.",IF(B108=FAEF!$B$80,"kgCO2e/kg subst.",""))</f>
        <v/>
      </c>
      <c r="F108" s="911"/>
      <c r="G108" s="923"/>
      <c r="H108" s="850" t="str">
        <f>IFERROR(IF(VLOOKUP(B108,FAEF!$B$59:$E$80,4,FALSE)="","",VLOOKUP(B108,FAEF!$B$59:$E$80,4,FALSE)),"")</f>
        <v/>
      </c>
      <c r="I108" s="1095"/>
      <c r="J108" s="610" t="str">
        <f>IFERROR(IF(G108="","",FAEF!X152/1000),"")</f>
        <v/>
      </c>
      <c r="K108" s="1093" t="str">
        <f t="shared" si="0"/>
        <v/>
      </c>
    </row>
    <row r="109" spans="2:11" ht="30" hidden="1" customHeight="1" outlineLevel="2" x14ac:dyDescent="0.25">
      <c r="B109" s="715"/>
      <c r="C109" s="920"/>
      <c r="D109" s="921"/>
      <c r="E109" s="911" t="str">
        <f>IF(B109=FAEF!$B$65,"kgCO2e/kg subst.",IF(B109=FAEF!$B$80,"kgCO2e/kg subst.",""))</f>
        <v/>
      </c>
      <c r="F109" s="911"/>
      <c r="G109" s="923"/>
      <c r="H109" s="850" t="str">
        <f>IFERROR(IF(VLOOKUP(B109,FAEF!$B$59:$E$80,4,FALSE)="","",VLOOKUP(B109,FAEF!$B$59:$E$80,4,FALSE)),"")</f>
        <v/>
      </c>
      <c r="I109" s="1095"/>
      <c r="J109" s="610" t="str">
        <f>IFERROR(IF(G109="","",FAEF!X153/1000),"")</f>
        <v/>
      </c>
      <c r="K109" s="1093" t="str">
        <f t="shared" si="0"/>
        <v/>
      </c>
    </row>
    <row r="110" spans="2:11" ht="30" hidden="1" customHeight="1" outlineLevel="2" x14ac:dyDescent="0.25">
      <c r="B110" s="715"/>
      <c r="C110" s="920"/>
      <c r="D110" s="921"/>
      <c r="E110" s="911" t="str">
        <f>IF(B110=FAEF!$B$65,"kgCO2e/kg subst.",IF(B110=FAEF!$B$80,"kgCO2e/kg subst.",""))</f>
        <v/>
      </c>
      <c r="F110" s="911"/>
      <c r="G110" s="923"/>
      <c r="H110" s="850" t="str">
        <f>IFERROR(IF(VLOOKUP(B110,FAEF!$B$59:$E$80,4,FALSE)="","",VLOOKUP(B110,FAEF!$B$59:$E$80,4,FALSE)),"")</f>
        <v/>
      </c>
      <c r="I110" s="1095"/>
      <c r="J110" s="610" t="str">
        <f>IFERROR(IF(G110="","",FAEF!X154/1000),"")</f>
        <v/>
      </c>
      <c r="K110" s="1093" t="str">
        <f t="shared" si="0"/>
        <v/>
      </c>
    </row>
    <row r="111" spans="2:11" ht="30" hidden="1" customHeight="1" outlineLevel="2" x14ac:dyDescent="0.25">
      <c r="B111" s="715"/>
      <c r="C111" s="920"/>
      <c r="D111" s="921"/>
      <c r="E111" s="911" t="str">
        <f>IF(B111=FAEF!$B$65,"kgCO2e/kg subst.",IF(B111=FAEF!$B$80,"kgCO2e/kg subst.",""))</f>
        <v/>
      </c>
      <c r="F111" s="911"/>
      <c r="G111" s="923"/>
      <c r="H111" s="850" t="str">
        <f>IFERROR(IF(VLOOKUP(B111,FAEF!$B$59:$E$80,4,FALSE)="","",VLOOKUP(B111,FAEF!$B$59:$E$80,4,FALSE)),"")</f>
        <v/>
      </c>
      <c r="I111" s="1095"/>
      <c r="J111" s="610" t="str">
        <f>IFERROR(IF(G111="","",FAEF!X155/1000),"")</f>
        <v/>
      </c>
      <c r="K111" s="1093" t="str">
        <f t="shared" si="0"/>
        <v/>
      </c>
    </row>
    <row r="112" spans="2:11" ht="30" hidden="1" customHeight="1" outlineLevel="2" x14ac:dyDescent="0.25">
      <c r="B112" s="715"/>
      <c r="C112" s="920"/>
      <c r="D112" s="921"/>
      <c r="E112" s="911" t="str">
        <f>IF(B112=FAEF!$B$65,"kgCO2e/kg subst.",IF(B112=FAEF!$B$80,"kgCO2e/kg subst.",""))</f>
        <v/>
      </c>
      <c r="F112" s="911"/>
      <c r="G112" s="923"/>
      <c r="H112" s="850" t="str">
        <f>IFERROR(IF(VLOOKUP(B112,FAEF!$B$59:$E$80,4,FALSE)="","",VLOOKUP(B112,FAEF!$B$59:$E$80,4,FALSE)),"")</f>
        <v/>
      </c>
      <c r="I112" s="1095"/>
      <c r="J112" s="610" t="str">
        <f>IFERROR(IF(G112="","",FAEF!X156/1000),"")</f>
        <v/>
      </c>
      <c r="K112" s="1093" t="str">
        <f t="shared" si="0"/>
        <v/>
      </c>
    </row>
    <row r="113" spans="2:11" ht="30" hidden="1" customHeight="1" outlineLevel="2" x14ac:dyDescent="0.25">
      <c r="B113" s="715"/>
      <c r="C113" s="920"/>
      <c r="D113" s="921"/>
      <c r="E113" s="911" t="str">
        <f>IF(B113=FAEF!$B$65,"kgCO2e/kg subst.",IF(B113=FAEF!$B$80,"kgCO2e/kg subst.",""))</f>
        <v/>
      </c>
      <c r="F113" s="911"/>
      <c r="G113" s="923"/>
      <c r="H113" s="850" t="str">
        <f>IFERROR(IF(VLOOKUP(B113,FAEF!$B$59:$E$80,4,FALSE)="","",VLOOKUP(B113,FAEF!$B$59:$E$80,4,FALSE)),"")</f>
        <v/>
      </c>
      <c r="I113" s="1095"/>
      <c r="J113" s="610" t="str">
        <f>IFERROR(IF(G113="","",FAEF!X157/1000),"")</f>
        <v/>
      </c>
      <c r="K113" s="1093" t="str">
        <f t="shared" si="0"/>
        <v/>
      </c>
    </row>
    <row r="114" spans="2:11" ht="30" hidden="1" customHeight="1" outlineLevel="2" x14ac:dyDescent="0.25">
      <c r="B114" s="715"/>
      <c r="C114" s="920"/>
      <c r="D114" s="921"/>
      <c r="E114" s="911" t="str">
        <f>IF(B114=FAEF!$B$65,"kgCO2e/kg subst.",IF(B114=FAEF!$B$80,"kgCO2e/kg subst.",""))</f>
        <v/>
      </c>
      <c r="F114" s="911"/>
      <c r="G114" s="923"/>
      <c r="H114" s="850" t="str">
        <f>IFERROR(IF(VLOOKUP(B114,FAEF!$B$59:$E$80,4,FALSE)="","",VLOOKUP(B114,FAEF!$B$59:$E$80,4,FALSE)),"")</f>
        <v/>
      </c>
      <c r="I114" s="1095"/>
      <c r="J114" s="610" t="str">
        <f>IFERROR(IF(G114="","",FAEF!X158/1000),"")</f>
        <v/>
      </c>
      <c r="K114" s="1093" t="str">
        <f t="shared" si="0"/>
        <v/>
      </c>
    </row>
    <row r="115" spans="2:11" ht="30" hidden="1" customHeight="1" outlineLevel="2" x14ac:dyDescent="0.25">
      <c r="B115" s="715"/>
      <c r="C115" s="920"/>
      <c r="D115" s="921"/>
      <c r="E115" s="911" t="str">
        <f>IF(B115=FAEF!$B$65,"kgCO2e/kg subst.",IF(B115=FAEF!$B$80,"kgCO2e/kg subst.",""))</f>
        <v/>
      </c>
      <c r="F115" s="911"/>
      <c r="G115" s="923"/>
      <c r="H115" s="850" t="str">
        <f>IFERROR(IF(VLOOKUP(B115,FAEF!$B$59:$E$80,4,FALSE)="","",VLOOKUP(B115,FAEF!$B$59:$E$80,4,FALSE)),"")</f>
        <v/>
      </c>
      <c r="I115" s="1095"/>
      <c r="J115" s="610" t="str">
        <f>IFERROR(IF(G115="","",FAEF!X159/1000),"")</f>
        <v/>
      </c>
      <c r="K115" s="1093" t="str">
        <f t="shared" si="0"/>
        <v/>
      </c>
    </row>
    <row r="116" spans="2:11" ht="30" hidden="1" customHeight="1" outlineLevel="2" x14ac:dyDescent="0.25">
      <c r="B116" s="715"/>
      <c r="C116" s="920"/>
      <c r="D116" s="921"/>
      <c r="E116" s="911" t="str">
        <f>IF(B116=FAEF!$B$65,"kgCO2e/kg subst.",IF(B116=FAEF!$B$80,"kgCO2e/kg subst.",""))</f>
        <v/>
      </c>
      <c r="F116" s="911"/>
      <c r="G116" s="923"/>
      <c r="H116" s="850" t="str">
        <f>IFERROR(IF(VLOOKUP(B116,FAEF!$B$59:$E$80,4,FALSE)="","",VLOOKUP(B116,FAEF!$B$59:$E$80,4,FALSE)),"")</f>
        <v/>
      </c>
      <c r="I116" s="1095"/>
      <c r="J116" s="610" t="str">
        <f>IFERROR(IF(G116="","",FAEF!X160/1000),"")</f>
        <v/>
      </c>
      <c r="K116" s="1093" t="str">
        <f t="shared" si="0"/>
        <v/>
      </c>
    </row>
    <row r="117" spans="2:11" ht="30" hidden="1" customHeight="1" outlineLevel="2" x14ac:dyDescent="0.25">
      <c r="B117" s="715"/>
      <c r="C117" s="920"/>
      <c r="D117" s="921"/>
      <c r="E117" s="911" t="str">
        <f>IF(B117=FAEF!$B$65,"kgCO2e/kg subst.",IF(B117=FAEF!$B$80,"kgCO2e/kg subst.",""))</f>
        <v/>
      </c>
      <c r="F117" s="911"/>
      <c r="G117" s="923"/>
      <c r="H117" s="850" t="str">
        <f>IFERROR(IF(VLOOKUP(B117,FAEF!$B$59:$E$80,4,FALSE)="","",VLOOKUP(B117,FAEF!$B$59:$E$80,4,FALSE)),"")</f>
        <v/>
      </c>
      <c r="I117" s="1095"/>
      <c r="J117" s="610" t="str">
        <f>IFERROR(IF(G117="","",FAEF!X161/1000),"")</f>
        <v/>
      </c>
      <c r="K117" s="1093" t="str">
        <f t="shared" si="0"/>
        <v/>
      </c>
    </row>
    <row r="118" spans="2:11" ht="30" hidden="1" customHeight="1" outlineLevel="2" x14ac:dyDescent="0.25">
      <c r="B118" s="715"/>
      <c r="C118" s="920"/>
      <c r="D118" s="921"/>
      <c r="E118" s="911" t="str">
        <f>IF(B118=FAEF!$B$65,"kgCO2e/kg subst.",IF(B118=FAEF!$B$80,"kgCO2e/kg subst.",""))</f>
        <v/>
      </c>
      <c r="F118" s="911"/>
      <c r="G118" s="923"/>
      <c r="H118" s="850" t="str">
        <f>IFERROR(IF(VLOOKUP(B118,FAEF!$B$59:$E$80,4,FALSE)="","",VLOOKUP(B118,FAEF!$B$59:$E$80,4,FALSE)),"")</f>
        <v/>
      </c>
      <c r="I118" s="1095"/>
      <c r="J118" s="610" t="str">
        <f>IFERROR(IF(G118="","",FAEF!X162/1000),"")</f>
        <v/>
      </c>
      <c r="K118" s="1093" t="str">
        <f t="shared" si="0"/>
        <v/>
      </c>
    </row>
    <row r="119" spans="2:11" ht="30" hidden="1" customHeight="1" outlineLevel="2" x14ac:dyDescent="0.25">
      <c r="B119" s="715"/>
      <c r="C119" s="920"/>
      <c r="D119" s="921"/>
      <c r="E119" s="911" t="str">
        <f>IF(B119=FAEF!$B$65,"kgCO2e/kg subst.",IF(B119=FAEF!$B$80,"kgCO2e/kg subst.",""))</f>
        <v/>
      </c>
      <c r="F119" s="911"/>
      <c r="G119" s="923"/>
      <c r="H119" s="850" t="str">
        <f>IFERROR(IF(VLOOKUP(B119,FAEF!$B$59:$E$80,4,FALSE)="","",VLOOKUP(B119,FAEF!$B$59:$E$80,4,FALSE)),"")</f>
        <v/>
      </c>
      <c r="I119" s="1095"/>
      <c r="J119" s="610" t="str">
        <f>IFERROR(IF(G119="","",FAEF!X163/1000),"")</f>
        <v/>
      </c>
      <c r="K119" s="1093" t="str">
        <f t="shared" si="0"/>
        <v/>
      </c>
    </row>
    <row r="120" spans="2:11" ht="30" hidden="1" customHeight="1" outlineLevel="2" x14ac:dyDescent="0.25">
      <c r="B120" s="715"/>
      <c r="C120" s="920"/>
      <c r="D120" s="921"/>
      <c r="E120" s="911" t="str">
        <f>IF(B120=FAEF!$B$65,"kgCO2e/kg subst.",IF(B120=FAEF!$B$80,"kgCO2e/kg subst.",""))</f>
        <v/>
      </c>
      <c r="F120" s="911"/>
      <c r="G120" s="923"/>
      <c r="H120" s="850" t="str">
        <f>IFERROR(IF(VLOOKUP(B120,FAEF!$B$59:$E$80,4,FALSE)="","",VLOOKUP(B120,FAEF!$B$59:$E$80,4,FALSE)),"")</f>
        <v/>
      </c>
      <c r="I120" s="1095"/>
      <c r="J120" s="610" t="str">
        <f>IFERROR(IF(G120="","",FAEF!X164/1000),"")</f>
        <v/>
      </c>
      <c r="K120" s="1093" t="str">
        <f t="shared" si="0"/>
        <v/>
      </c>
    </row>
    <row r="121" spans="2:11" ht="30" hidden="1" customHeight="1" outlineLevel="2" x14ac:dyDescent="0.25">
      <c r="B121" s="715"/>
      <c r="C121" s="920"/>
      <c r="D121" s="921"/>
      <c r="E121" s="911" t="str">
        <f>IF(B121=FAEF!$B$65,"kgCO2e/kg subst.",IF(B121=FAEF!$B$80,"kgCO2e/kg subst.",""))</f>
        <v/>
      </c>
      <c r="F121" s="911"/>
      <c r="G121" s="923"/>
      <c r="H121" s="850" t="str">
        <f>IFERROR(IF(VLOOKUP(B121,FAEF!$B$59:$E$80,4,FALSE)="","",VLOOKUP(B121,FAEF!$B$59:$E$80,4,FALSE)),"")</f>
        <v/>
      </c>
      <c r="I121" s="1095"/>
      <c r="J121" s="610" t="str">
        <f>IFERROR(IF(G121="","",FAEF!X165/1000),"")</f>
        <v/>
      </c>
      <c r="K121" s="1093" t="str">
        <f t="shared" si="0"/>
        <v/>
      </c>
    </row>
    <row r="122" spans="2:11" ht="30" hidden="1" customHeight="1" outlineLevel="2" x14ac:dyDescent="0.25">
      <c r="B122" s="715"/>
      <c r="C122" s="920"/>
      <c r="D122" s="921"/>
      <c r="E122" s="911" t="str">
        <f>IF(B122=FAEF!$B$65,"kgCO2e/kg subst.",IF(B122=FAEF!$B$80,"kgCO2e/kg subst.",""))</f>
        <v/>
      </c>
      <c r="F122" s="911"/>
      <c r="G122" s="923"/>
      <c r="H122" s="850" t="str">
        <f>IFERROR(IF(VLOOKUP(B122,FAEF!$B$59:$E$80,4,FALSE)="","",VLOOKUP(B122,FAEF!$B$59:$E$80,4,FALSE)),"")</f>
        <v/>
      </c>
      <c r="I122" s="1095"/>
      <c r="J122" s="610" t="str">
        <f>IFERROR(IF(G122="","",FAEF!X166/1000),"")</f>
        <v/>
      </c>
      <c r="K122" s="1093" t="str">
        <f t="shared" si="0"/>
        <v/>
      </c>
    </row>
    <row r="123" spans="2:11" ht="30" hidden="1" customHeight="1" outlineLevel="2" x14ac:dyDescent="0.25">
      <c r="B123" s="715"/>
      <c r="C123" s="920"/>
      <c r="D123" s="921"/>
      <c r="E123" s="911" t="str">
        <f>IF(B123=FAEF!$B$65,"kgCO2e/kg subst.",IF(B123=FAEF!$B$80,"kgCO2e/kg subst.",""))</f>
        <v/>
      </c>
      <c r="F123" s="911"/>
      <c r="G123" s="923"/>
      <c r="H123" s="850" t="str">
        <f>IFERROR(IF(VLOOKUP(B123,FAEF!$B$59:$E$80,4,FALSE)="","",VLOOKUP(B123,FAEF!$B$59:$E$80,4,FALSE)),"")</f>
        <v/>
      </c>
      <c r="I123" s="1095"/>
      <c r="J123" s="610" t="str">
        <f>IFERROR(IF(G123="","",FAEF!X167/1000),"")</f>
        <v/>
      </c>
      <c r="K123" s="1093" t="str">
        <f t="shared" si="0"/>
        <v/>
      </c>
    </row>
    <row r="124" spans="2:11" ht="30" hidden="1" customHeight="1" outlineLevel="2" x14ac:dyDescent="0.25">
      <c r="B124" s="715"/>
      <c r="C124" s="920"/>
      <c r="D124" s="921"/>
      <c r="E124" s="911" t="str">
        <f>IF(B124=FAEF!$B$65,"kgCO2e/kg subst.",IF(B124=FAEF!$B$80,"kgCO2e/kg subst.",""))</f>
        <v/>
      </c>
      <c r="F124" s="911"/>
      <c r="G124" s="923"/>
      <c r="H124" s="850" t="str">
        <f>IFERROR(IF(VLOOKUP(B124,FAEF!$B$59:$E$80,4,FALSE)="","",VLOOKUP(B124,FAEF!$B$59:$E$80,4,FALSE)),"")</f>
        <v/>
      </c>
      <c r="I124" s="1095"/>
      <c r="J124" s="610" t="str">
        <f>IFERROR(IF(G124="","",FAEF!X168/1000),"")</f>
        <v/>
      </c>
      <c r="K124" s="1093" t="str">
        <f t="shared" si="0"/>
        <v/>
      </c>
    </row>
    <row r="125" spans="2:11" ht="30" hidden="1" customHeight="1" outlineLevel="2" x14ac:dyDescent="0.25">
      <c r="B125" s="715"/>
      <c r="C125" s="920"/>
      <c r="D125" s="921"/>
      <c r="E125" s="911" t="str">
        <f>IF(B125=FAEF!$B$65,"kgCO2e/kg subst.",IF(B125=FAEF!$B$80,"kgCO2e/kg subst.",""))</f>
        <v/>
      </c>
      <c r="F125" s="911"/>
      <c r="G125" s="923"/>
      <c r="H125" s="850" t="str">
        <f>IFERROR(IF(VLOOKUP(B125,FAEF!$B$59:$E$80,4,FALSE)="","",VLOOKUP(B125,FAEF!$B$59:$E$80,4,FALSE)),"")</f>
        <v/>
      </c>
      <c r="I125" s="1095"/>
      <c r="J125" s="610" t="str">
        <f>IFERROR(IF(G125="","",FAEF!X169/1000),"")</f>
        <v/>
      </c>
      <c r="K125" s="1093" t="str">
        <f t="shared" si="0"/>
        <v/>
      </c>
    </row>
    <row r="126" spans="2:11" ht="30" hidden="1" customHeight="1" outlineLevel="2" x14ac:dyDescent="0.25">
      <c r="B126" s="715"/>
      <c r="C126" s="920"/>
      <c r="D126" s="921"/>
      <c r="E126" s="911" t="str">
        <f>IF(B126=FAEF!$B$65,"kgCO2e/kg subst.",IF(B126=FAEF!$B$80,"kgCO2e/kg subst.",""))</f>
        <v/>
      </c>
      <c r="F126" s="911"/>
      <c r="G126" s="923"/>
      <c r="H126" s="850" t="str">
        <f>IFERROR(IF(VLOOKUP(B126,FAEF!$B$59:$E$80,4,FALSE)="","",VLOOKUP(B126,FAEF!$B$59:$E$80,4,FALSE)),"")</f>
        <v/>
      </c>
      <c r="I126" s="1095"/>
      <c r="J126" s="610" t="str">
        <f>IFERROR(IF(G126="","",FAEF!X170/1000),"")</f>
        <v/>
      </c>
      <c r="K126" s="1093" t="str">
        <f t="shared" si="0"/>
        <v/>
      </c>
    </row>
    <row r="127" spans="2:11" ht="30" hidden="1" customHeight="1" outlineLevel="2" x14ac:dyDescent="0.25">
      <c r="B127" s="715"/>
      <c r="C127" s="920"/>
      <c r="D127" s="921"/>
      <c r="E127" s="911" t="str">
        <f>IF(B127=FAEF!$B$65,"kgCO2e/kg subst.",IF(B127=FAEF!$B$80,"kgCO2e/kg subst.",""))</f>
        <v/>
      </c>
      <c r="F127" s="911"/>
      <c r="G127" s="923"/>
      <c r="H127" s="850" t="str">
        <f>IFERROR(IF(VLOOKUP(B127,FAEF!$B$59:$E$80,4,FALSE)="","",VLOOKUP(B127,FAEF!$B$59:$E$80,4,FALSE)),"")</f>
        <v/>
      </c>
      <c r="I127" s="1095"/>
      <c r="J127" s="610" t="str">
        <f>IFERROR(IF(G127="","",FAEF!X171/1000),"")</f>
        <v/>
      </c>
      <c r="K127" s="1093" t="str">
        <f t="shared" si="0"/>
        <v/>
      </c>
    </row>
    <row r="128" spans="2:11" ht="30" hidden="1" customHeight="1" outlineLevel="2" x14ac:dyDescent="0.25">
      <c r="B128" s="715"/>
      <c r="C128" s="920"/>
      <c r="D128" s="921"/>
      <c r="E128" s="911" t="str">
        <f>IF(B128=FAEF!$B$65,"kgCO2e/kg subst.",IF(B128=FAEF!$B$80,"kgCO2e/kg subst.",""))</f>
        <v/>
      </c>
      <c r="F128" s="911"/>
      <c r="G128" s="923"/>
      <c r="H128" s="850" t="str">
        <f>IFERROR(IF(VLOOKUP(B128,FAEF!$B$59:$E$80,4,FALSE)="","",VLOOKUP(B128,FAEF!$B$59:$E$80,4,FALSE)),"")</f>
        <v/>
      </c>
      <c r="I128" s="1095"/>
      <c r="J128" s="610" t="str">
        <f>IFERROR(IF(G128="","",FAEF!X172/1000),"")</f>
        <v/>
      </c>
      <c r="K128" s="1093" t="str">
        <f t="shared" si="0"/>
        <v/>
      </c>
    </row>
    <row r="129" spans="2:11" ht="30" hidden="1" customHeight="1" outlineLevel="2" x14ac:dyDescent="0.25">
      <c r="B129" s="715"/>
      <c r="C129" s="920"/>
      <c r="D129" s="921"/>
      <c r="E129" s="911" t="str">
        <f>IF(B129=FAEF!$B$65,"kgCO2e/kg subst.",IF(B129=FAEF!$B$80,"kgCO2e/kg subst.",""))</f>
        <v/>
      </c>
      <c r="F129" s="911"/>
      <c r="G129" s="923"/>
      <c r="H129" s="850" t="str">
        <f>IFERROR(IF(VLOOKUP(B129,FAEF!$B$59:$E$80,4,FALSE)="","",VLOOKUP(B129,FAEF!$B$59:$E$80,4,FALSE)),"")</f>
        <v/>
      </c>
      <c r="I129" s="1095"/>
      <c r="J129" s="610" t="str">
        <f>IFERROR(IF(G129="","",FAEF!X173/1000),"")</f>
        <v/>
      </c>
      <c r="K129" s="1093" t="str">
        <f t="shared" si="0"/>
        <v/>
      </c>
    </row>
    <row r="130" spans="2:11" ht="30" hidden="1" customHeight="1" outlineLevel="2" x14ac:dyDescent="0.25">
      <c r="B130" s="715"/>
      <c r="C130" s="920"/>
      <c r="D130" s="921"/>
      <c r="E130" s="911" t="str">
        <f>IF(B130=FAEF!$B$65,"kgCO2e/kg subst.",IF(B130=FAEF!$B$80,"kgCO2e/kg subst.",""))</f>
        <v/>
      </c>
      <c r="F130" s="911"/>
      <c r="G130" s="923"/>
      <c r="H130" s="850" t="str">
        <f>IFERROR(IF(VLOOKUP(B130,FAEF!$B$59:$E$80,4,FALSE)="","",VLOOKUP(B130,FAEF!$B$59:$E$80,4,FALSE)),"")</f>
        <v/>
      </c>
      <c r="I130" s="1095"/>
      <c r="J130" s="610" t="str">
        <f>IFERROR(IF(G130="","",FAEF!X174/1000),"")</f>
        <v/>
      </c>
      <c r="K130" s="1093" t="str">
        <f t="shared" si="0"/>
        <v/>
      </c>
    </row>
    <row r="131" spans="2:11" ht="30" hidden="1" customHeight="1" outlineLevel="2" x14ac:dyDescent="0.25">
      <c r="B131" s="715"/>
      <c r="C131" s="920"/>
      <c r="D131" s="921"/>
      <c r="E131" s="911" t="str">
        <f>IF(B131=FAEF!$B$65,"kgCO2e/kg subst.",IF(B131=FAEF!$B$80,"kgCO2e/kg subst.",""))</f>
        <v/>
      </c>
      <c r="F131" s="911"/>
      <c r="G131" s="923"/>
      <c r="H131" s="850" t="str">
        <f>IFERROR(IF(VLOOKUP(B131,FAEF!$B$59:$E$80,4,FALSE)="","",VLOOKUP(B131,FAEF!$B$59:$E$80,4,FALSE)),"")</f>
        <v/>
      </c>
      <c r="I131" s="1095"/>
      <c r="J131" s="610" t="str">
        <f>IFERROR(IF(G131="","",FAEF!X175/1000),"")</f>
        <v/>
      </c>
      <c r="K131" s="1093" t="str">
        <f t="shared" si="0"/>
        <v/>
      </c>
    </row>
    <row r="132" spans="2:11" ht="30" hidden="1" customHeight="1" outlineLevel="2" x14ac:dyDescent="0.25">
      <c r="B132" s="715"/>
      <c r="C132" s="920"/>
      <c r="D132" s="921"/>
      <c r="E132" s="911" t="str">
        <f>IF(B132=FAEF!$B$65,"kgCO2e/kg subst.",IF(B132=FAEF!$B$80,"kgCO2e/kg subst.",""))</f>
        <v/>
      </c>
      <c r="F132" s="911"/>
      <c r="G132" s="923"/>
      <c r="H132" s="850" t="str">
        <f>IFERROR(IF(VLOOKUP(B132,FAEF!$B$59:$E$80,4,FALSE)="","",VLOOKUP(B132,FAEF!$B$59:$E$80,4,FALSE)),"")</f>
        <v/>
      </c>
      <c r="I132" s="1095"/>
      <c r="J132" s="610" t="str">
        <f>IFERROR(IF(G132="","",FAEF!X176/1000),"")</f>
        <v/>
      </c>
      <c r="K132" s="1093" t="str">
        <f t="shared" si="0"/>
        <v/>
      </c>
    </row>
    <row r="133" spans="2:11" ht="30" hidden="1" customHeight="1" outlineLevel="2" x14ac:dyDescent="0.25">
      <c r="B133" s="715"/>
      <c r="C133" s="920"/>
      <c r="D133" s="921"/>
      <c r="E133" s="911" t="str">
        <f>IF(B133=FAEF!$B$65,"kgCO2e/kg subst.",IF(B133=FAEF!$B$80,"kgCO2e/kg subst.",""))</f>
        <v/>
      </c>
      <c r="F133" s="911"/>
      <c r="G133" s="923"/>
      <c r="H133" s="850" t="str">
        <f>IFERROR(IF(VLOOKUP(B133,FAEF!$B$59:$E$80,4,FALSE)="","",VLOOKUP(B133,FAEF!$B$59:$E$80,4,FALSE)),"")</f>
        <v/>
      </c>
      <c r="I133" s="1095"/>
      <c r="J133" s="610" t="str">
        <f>IFERROR(IF(G133="","",FAEF!X177/1000),"")</f>
        <v/>
      </c>
      <c r="K133" s="1093" t="str">
        <f t="shared" si="0"/>
        <v/>
      </c>
    </row>
    <row r="134" spans="2:11" ht="30" hidden="1" customHeight="1" outlineLevel="2" x14ac:dyDescent="0.25">
      <c r="B134" s="715"/>
      <c r="C134" s="920"/>
      <c r="D134" s="921"/>
      <c r="E134" s="911" t="str">
        <f>IF(B134=FAEF!$B$65,"kgCO2e/kg subst.",IF(B134=FAEF!$B$80,"kgCO2e/kg subst.",""))</f>
        <v/>
      </c>
      <c r="F134" s="911"/>
      <c r="G134" s="923"/>
      <c r="H134" s="850" t="str">
        <f>IFERROR(IF(VLOOKUP(B134,FAEF!$B$59:$E$80,4,FALSE)="","",VLOOKUP(B134,FAEF!$B$59:$E$80,4,FALSE)),"")</f>
        <v/>
      </c>
      <c r="I134" s="1095"/>
      <c r="J134" s="610" t="str">
        <f>IFERROR(IF(G134="","",FAEF!X178/1000),"")</f>
        <v/>
      </c>
      <c r="K134" s="1093" t="str">
        <f t="shared" si="0"/>
        <v/>
      </c>
    </row>
    <row r="135" spans="2:11" ht="30" hidden="1" customHeight="1" outlineLevel="2" x14ac:dyDescent="0.25">
      <c r="B135" s="715"/>
      <c r="C135" s="920"/>
      <c r="D135" s="921"/>
      <c r="E135" s="911" t="str">
        <f>IF(B135=FAEF!$B$65,"kgCO2e/kg subst.",IF(B135=FAEF!$B$80,"kgCO2e/kg subst.",""))</f>
        <v/>
      </c>
      <c r="F135" s="911"/>
      <c r="G135" s="923"/>
      <c r="H135" s="850" t="str">
        <f>IFERROR(IF(VLOOKUP(B135,FAEF!$B$59:$E$80,4,FALSE)="","",VLOOKUP(B135,FAEF!$B$59:$E$80,4,FALSE)),"")</f>
        <v/>
      </c>
      <c r="I135" s="1095"/>
      <c r="J135" s="610" t="str">
        <f>IFERROR(IF(G135="","",FAEF!X179/1000),"")</f>
        <v/>
      </c>
      <c r="K135" s="1093" t="str">
        <f t="shared" si="0"/>
        <v/>
      </c>
    </row>
    <row r="136" spans="2:11" ht="30" hidden="1" customHeight="1" outlineLevel="2" x14ac:dyDescent="0.25">
      <c r="B136" s="715"/>
      <c r="C136" s="920"/>
      <c r="D136" s="921"/>
      <c r="E136" s="911" t="str">
        <f>IF(B136=FAEF!$B$65,"kgCO2e/kg subst.",IF(B136=FAEF!$B$80,"kgCO2e/kg subst.",""))</f>
        <v/>
      </c>
      <c r="F136" s="911"/>
      <c r="G136" s="923"/>
      <c r="H136" s="850" t="str">
        <f>IFERROR(IF(VLOOKUP(B136,FAEF!$B$59:$E$80,4,FALSE)="","",VLOOKUP(B136,FAEF!$B$59:$E$80,4,FALSE)),"")</f>
        <v/>
      </c>
      <c r="I136" s="1095"/>
      <c r="J136" s="610" t="str">
        <f>IFERROR(IF(G136="","",FAEF!X180/1000),"")</f>
        <v/>
      </c>
      <c r="K136" s="1093" t="str">
        <f t="shared" si="0"/>
        <v/>
      </c>
    </row>
    <row r="137" spans="2:11" ht="30" hidden="1" customHeight="1" outlineLevel="2" x14ac:dyDescent="0.25">
      <c r="B137" s="715"/>
      <c r="C137" s="920"/>
      <c r="D137" s="921"/>
      <c r="E137" s="911" t="str">
        <f>IF(B137=FAEF!$B$65,"kgCO2e/kg subst.",IF(B137=FAEF!$B$80,"kgCO2e/kg subst.",""))</f>
        <v/>
      </c>
      <c r="F137" s="911"/>
      <c r="G137" s="923"/>
      <c r="H137" s="850" t="str">
        <f>IFERROR(IF(VLOOKUP(B137,FAEF!$B$59:$E$80,4,FALSE)="","",VLOOKUP(B137,FAEF!$B$59:$E$80,4,FALSE)),"")</f>
        <v/>
      </c>
      <c r="I137" s="1095"/>
      <c r="J137" s="610" t="str">
        <f>IFERROR(IF(G137="","",FAEF!X181/1000),"")</f>
        <v/>
      </c>
      <c r="K137" s="1093" t="str">
        <f t="shared" si="0"/>
        <v/>
      </c>
    </row>
    <row r="138" spans="2:11" ht="30" hidden="1" customHeight="1" outlineLevel="2" x14ac:dyDescent="0.25">
      <c r="B138" s="715"/>
      <c r="C138" s="920"/>
      <c r="D138" s="921"/>
      <c r="E138" s="911" t="str">
        <f>IF(B138=FAEF!$B$65,"kgCO2e/kg subst.",IF(B138=FAEF!$B$80,"kgCO2e/kg subst.",""))</f>
        <v/>
      </c>
      <c r="F138" s="911"/>
      <c r="G138" s="923"/>
      <c r="H138" s="850" t="str">
        <f>IFERROR(IF(VLOOKUP(B138,FAEF!$B$59:$E$80,4,FALSE)="","",VLOOKUP(B138,FAEF!$B$59:$E$80,4,FALSE)),"")</f>
        <v/>
      </c>
      <c r="I138" s="1095"/>
      <c r="J138" s="610" t="str">
        <f>IFERROR(IF(G138="","",FAEF!X182/1000),"")</f>
        <v/>
      </c>
      <c r="K138" s="1093" t="str">
        <f t="shared" ref="K138:K172" si="1">IF(G138="","",IFERROR(G138*1,"Erro, confira o valor da quantidade utilizada"))</f>
        <v/>
      </c>
    </row>
    <row r="139" spans="2:11" ht="30" hidden="1" customHeight="1" outlineLevel="2" x14ac:dyDescent="0.25">
      <c r="B139" s="715"/>
      <c r="C139" s="920"/>
      <c r="D139" s="921"/>
      <c r="E139" s="911" t="str">
        <f>IF(B139=FAEF!$B$65,"kgCO2e/kg subst.",IF(B139=FAEF!$B$80,"kgCO2e/kg subst.",""))</f>
        <v/>
      </c>
      <c r="F139" s="911"/>
      <c r="G139" s="923"/>
      <c r="H139" s="850" t="str">
        <f>IFERROR(IF(VLOOKUP(B139,FAEF!$B$59:$E$80,4,FALSE)="","",VLOOKUP(B139,FAEF!$B$59:$E$80,4,FALSE)),"")</f>
        <v/>
      </c>
      <c r="I139" s="1095"/>
      <c r="J139" s="610" t="str">
        <f>IFERROR(IF(G139="","",FAEF!X183/1000),"")</f>
        <v/>
      </c>
      <c r="K139" s="1093" t="str">
        <f t="shared" si="1"/>
        <v/>
      </c>
    </row>
    <row r="140" spans="2:11" ht="30" hidden="1" customHeight="1" outlineLevel="2" x14ac:dyDescent="0.25">
      <c r="B140" s="715"/>
      <c r="C140" s="920"/>
      <c r="D140" s="921"/>
      <c r="E140" s="911" t="str">
        <f>IF(B140=FAEF!$B$65,"kgCO2e/kg subst.",IF(B140=FAEF!$B$80,"kgCO2e/kg subst.",""))</f>
        <v/>
      </c>
      <c r="F140" s="911"/>
      <c r="G140" s="923"/>
      <c r="H140" s="850" t="str">
        <f>IFERROR(IF(VLOOKUP(B140,FAEF!$B$59:$E$80,4,FALSE)="","",VLOOKUP(B140,FAEF!$B$59:$E$80,4,FALSE)),"")</f>
        <v/>
      </c>
      <c r="I140" s="1095"/>
      <c r="J140" s="610" t="str">
        <f>IFERROR(IF(G140="","",FAEF!X184/1000),"")</f>
        <v/>
      </c>
      <c r="K140" s="1093" t="str">
        <f t="shared" si="1"/>
        <v/>
      </c>
    </row>
    <row r="141" spans="2:11" ht="30" hidden="1" customHeight="1" outlineLevel="2" x14ac:dyDescent="0.25">
      <c r="B141" s="715"/>
      <c r="C141" s="920"/>
      <c r="D141" s="921"/>
      <c r="E141" s="911" t="str">
        <f>IF(B141=FAEF!$B$65,"kgCO2e/kg subst.",IF(B141=FAEF!$B$80,"kgCO2e/kg subst.",""))</f>
        <v/>
      </c>
      <c r="F141" s="911"/>
      <c r="G141" s="923"/>
      <c r="H141" s="850" t="str">
        <f>IFERROR(IF(VLOOKUP(B141,FAEF!$B$59:$E$80,4,FALSE)="","",VLOOKUP(B141,FAEF!$B$59:$E$80,4,FALSE)),"")</f>
        <v/>
      </c>
      <c r="I141" s="1095"/>
      <c r="J141" s="610" t="str">
        <f>IFERROR(IF(G141="","",FAEF!X185/1000),"")</f>
        <v/>
      </c>
      <c r="K141" s="1093" t="str">
        <f t="shared" si="1"/>
        <v/>
      </c>
    </row>
    <row r="142" spans="2:11" ht="30" hidden="1" customHeight="1" outlineLevel="2" x14ac:dyDescent="0.25">
      <c r="B142" s="715"/>
      <c r="C142" s="920"/>
      <c r="D142" s="921"/>
      <c r="E142" s="911" t="str">
        <f>IF(B142=FAEF!$B$65,"kgCO2e/kg subst.",IF(B142=FAEF!$B$80,"kgCO2e/kg subst.",""))</f>
        <v/>
      </c>
      <c r="F142" s="911"/>
      <c r="G142" s="923"/>
      <c r="H142" s="850" t="str">
        <f>IFERROR(IF(VLOOKUP(B142,FAEF!$B$59:$E$80,4,FALSE)="","",VLOOKUP(B142,FAEF!$B$59:$E$80,4,FALSE)),"")</f>
        <v/>
      </c>
      <c r="I142" s="1095"/>
      <c r="J142" s="610" t="str">
        <f>IFERROR(IF(G142="","",FAEF!X186/1000),"")</f>
        <v/>
      </c>
      <c r="K142" s="1093" t="str">
        <f t="shared" si="1"/>
        <v/>
      </c>
    </row>
    <row r="143" spans="2:11" ht="30" hidden="1" customHeight="1" outlineLevel="2" x14ac:dyDescent="0.25">
      <c r="B143" s="715"/>
      <c r="C143" s="920"/>
      <c r="D143" s="921"/>
      <c r="E143" s="911" t="str">
        <f>IF(B143=FAEF!$B$65,"kgCO2e/kg subst.",IF(B143=FAEF!$B$80,"kgCO2e/kg subst.",""))</f>
        <v/>
      </c>
      <c r="F143" s="911"/>
      <c r="G143" s="923"/>
      <c r="H143" s="850" t="str">
        <f>IFERROR(IF(VLOOKUP(B143,FAEF!$B$59:$E$80,4,FALSE)="","",VLOOKUP(B143,FAEF!$B$59:$E$80,4,FALSE)),"")</f>
        <v/>
      </c>
      <c r="I143" s="1095"/>
      <c r="J143" s="610" t="str">
        <f>IFERROR(IF(G143="","",FAEF!X187/1000),"")</f>
        <v/>
      </c>
      <c r="K143" s="1093" t="str">
        <f t="shared" si="1"/>
        <v/>
      </c>
    </row>
    <row r="144" spans="2:11" ht="30" hidden="1" customHeight="1" outlineLevel="2" x14ac:dyDescent="0.25">
      <c r="B144" s="715"/>
      <c r="C144" s="920"/>
      <c r="D144" s="921"/>
      <c r="E144" s="911" t="str">
        <f>IF(B144=FAEF!$B$65,"kgCO2e/kg subst.",IF(B144=FAEF!$B$80,"kgCO2e/kg subst.",""))</f>
        <v/>
      </c>
      <c r="F144" s="911"/>
      <c r="G144" s="923"/>
      <c r="H144" s="850" t="str">
        <f>IFERROR(IF(VLOOKUP(B144,FAEF!$B$59:$E$80,4,FALSE)="","",VLOOKUP(B144,FAEF!$B$59:$E$80,4,FALSE)),"")</f>
        <v/>
      </c>
      <c r="I144" s="1095"/>
      <c r="J144" s="610" t="str">
        <f>IFERROR(IF(G144="","",FAEF!X188/1000),"")</f>
        <v/>
      </c>
      <c r="K144" s="1093" t="str">
        <f t="shared" si="1"/>
        <v/>
      </c>
    </row>
    <row r="145" spans="2:11" ht="30" hidden="1" customHeight="1" outlineLevel="2" x14ac:dyDescent="0.25">
      <c r="B145" s="715"/>
      <c r="C145" s="920"/>
      <c r="D145" s="921"/>
      <c r="E145" s="911" t="str">
        <f>IF(B145=FAEF!$B$65,"kgCO2e/kg subst.",IF(B145=FAEF!$B$80,"kgCO2e/kg subst.",""))</f>
        <v/>
      </c>
      <c r="F145" s="911"/>
      <c r="G145" s="923"/>
      <c r="H145" s="850" t="str">
        <f>IFERROR(IF(VLOOKUP(B145,FAEF!$B$59:$E$80,4,FALSE)="","",VLOOKUP(B145,FAEF!$B$59:$E$80,4,FALSE)),"")</f>
        <v/>
      </c>
      <c r="I145" s="1095"/>
      <c r="J145" s="610" t="str">
        <f>IFERROR(IF(G145="","",FAEF!X189/1000),"")</f>
        <v/>
      </c>
      <c r="K145" s="1093" t="str">
        <f t="shared" si="1"/>
        <v/>
      </c>
    </row>
    <row r="146" spans="2:11" ht="30" hidden="1" customHeight="1" outlineLevel="2" x14ac:dyDescent="0.25">
      <c r="B146" s="715"/>
      <c r="C146" s="920"/>
      <c r="D146" s="921"/>
      <c r="E146" s="911" t="str">
        <f>IF(B146=FAEF!$B$65,"kgCO2e/kg subst.",IF(B146=FAEF!$B$80,"kgCO2e/kg subst.",""))</f>
        <v/>
      </c>
      <c r="F146" s="911"/>
      <c r="G146" s="923"/>
      <c r="H146" s="850" t="str">
        <f>IFERROR(IF(VLOOKUP(B146,FAEF!$B$59:$E$80,4,FALSE)="","",VLOOKUP(B146,FAEF!$B$59:$E$80,4,FALSE)),"")</f>
        <v/>
      </c>
      <c r="I146" s="1095"/>
      <c r="J146" s="610" t="str">
        <f>IFERROR(IF(G146="","",FAEF!X190/1000),"")</f>
        <v/>
      </c>
      <c r="K146" s="1093" t="str">
        <f t="shared" si="1"/>
        <v/>
      </c>
    </row>
    <row r="147" spans="2:11" ht="30" hidden="1" customHeight="1" outlineLevel="2" x14ac:dyDescent="0.25">
      <c r="B147" s="715"/>
      <c r="C147" s="920"/>
      <c r="D147" s="921"/>
      <c r="E147" s="911" t="str">
        <f>IF(B147=FAEF!$B$65,"kgCO2e/kg subst.",IF(B147=FAEF!$B$80,"kgCO2e/kg subst.",""))</f>
        <v/>
      </c>
      <c r="F147" s="911"/>
      <c r="G147" s="923"/>
      <c r="H147" s="850" t="str">
        <f>IFERROR(IF(VLOOKUP(B147,FAEF!$B$59:$E$80,4,FALSE)="","",VLOOKUP(B147,FAEF!$B$59:$E$80,4,FALSE)),"")</f>
        <v/>
      </c>
      <c r="I147" s="1095"/>
      <c r="J147" s="610" t="str">
        <f>IFERROR(IF(G147="","",FAEF!X191/1000),"")</f>
        <v/>
      </c>
      <c r="K147" s="1093" t="str">
        <f t="shared" si="1"/>
        <v/>
      </c>
    </row>
    <row r="148" spans="2:11" ht="30" hidden="1" customHeight="1" outlineLevel="2" x14ac:dyDescent="0.25">
      <c r="B148" s="715"/>
      <c r="C148" s="920"/>
      <c r="D148" s="921"/>
      <c r="E148" s="911" t="str">
        <f>IF(B148=FAEF!$B$65,"kgCO2e/kg subst.",IF(B148=FAEF!$B$80,"kgCO2e/kg subst.",""))</f>
        <v/>
      </c>
      <c r="F148" s="911"/>
      <c r="G148" s="923"/>
      <c r="H148" s="850" t="str">
        <f>IFERROR(IF(VLOOKUP(B148,FAEF!$B$59:$E$80,4,FALSE)="","",VLOOKUP(B148,FAEF!$B$59:$E$80,4,FALSE)),"")</f>
        <v/>
      </c>
      <c r="I148" s="1095"/>
      <c r="J148" s="610" t="str">
        <f>IFERROR(IF(G148="","",FAEF!X192/1000),"")</f>
        <v/>
      </c>
      <c r="K148" s="1093" t="str">
        <f t="shared" si="1"/>
        <v/>
      </c>
    </row>
    <row r="149" spans="2:11" ht="30" hidden="1" customHeight="1" outlineLevel="2" x14ac:dyDescent="0.25">
      <c r="B149" s="715"/>
      <c r="C149" s="920"/>
      <c r="D149" s="921"/>
      <c r="E149" s="911" t="str">
        <f>IF(B149=FAEF!$B$65,"kgCO2e/kg subst.",IF(B149=FAEF!$B$80,"kgCO2e/kg subst.",""))</f>
        <v/>
      </c>
      <c r="F149" s="911"/>
      <c r="G149" s="923"/>
      <c r="H149" s="850" t="str">
        <f>IFERROR(IF(VLOOKUP(B149,FAEF!$B$59:$E$80,4,FALSE)="","",VLOOKUP(B149,FAEF!$B$59:$E$80,4,FALSE)),"")</f>
        <v/>
      </c>
      <c r="I149" s="1095"/>
      <c r="J149" s="610" t="str">
        <f>IFERROR(IF(G149="","",FAEF!X193/1000),"")</f>
        <v/>
      </c>
      <c r="K149" s="1093" t="str">
        <f t="shared" si="1"/>
        <v/>
      </c>
    </row>
    <row r="150" spans="2:11" ht="30" hidden="1" customHeight="1" outlineLevel="2" x14ac:dyDescent="0.25">
      <c r="B150" s="715"/>
      <c r="C150" s="920"/>
      <c r="D150" s="921"/>
      <c r="E150" s="911" t="str">
        <f>IF(B150=FAEF!$B$65,"kgCO2e/kg subst.",IF(B150=FAEF!$B$80,"kgCO2e/kg subst.",""))</f>
        <v/>
      </c>
      <c r="F150" s="911"/>
      <c r="G150" s="923"/>
      <c r="H150" s="850" t="str">
        <f>IFERROR(IF(VLOOKUP(B150,FAEF!$B$59:$E$80,4,FALSE)="","",VLOOKUP(B150,FAEF!$B$59:$E$80,4,FALSE)),"")</f>
        <v/>
      </c>
      <c r="I150" s="1095"/>
      <c r="J150" s="610" t="str">
        <f>IFERROR(IF(G150="","",FAEF!X194/1000),"")</f>
        <v/>
      </c>
      <c r="K150" s="1093" t="str">
        <f t="shared" si="1"/>
        <v/>
      </c>
    </row>
    <row r="151" spans="2:11" ht="30" hidden="1" customHeight="1" outlineLevel="2" x14ac:dyDescent="0.25">
      <c r="B151" s="715"/>
      <c r="C151" s="920"/>
      <c r="D151" s="921"/>
      <c r="E151" s="911" t="str">
        <f>IF(B151=FAEF!$B$65,"kgCO2e/kg subst.",IF(B151=FAEF!$B$80,"kgCO2e/kg subst.",""))</f>
        <v/>
      </c>
      <c r="F151" s="911"/>
      <c r="G151" s="923"/>
      <c r="H151" s="850" t="str">
        <f>IFERROR(IF(VLOOKUP(B151,FAEF!$B$59:$E$80,4,FALSE)="","",VLOOKUP(B151,FAEF!$B$59:$E$80,4,FALSE)),"")</f>
        <v/>
      </c>
      <c r="I151" s="1095"/>
      <c r="J151" s="610" t="str">
        <f>IFERROR(IF(G151="","",FAEF!X195/1000),"")</f>
        <v/>
      </c>
      <c r="K151" s="1093" t="str">
        <f t="shared" si="1"/>
        <v/>
      </c>
    </row>
    <row r="152" spans="2:11" ht="30" hidden="1" customHeight="1" outlineLevel="2" x14ac:dyDescent="0.25">
      <c r="B152" s="715"/>
      <c r="C152" s="920"/>
      <c r="D152" s="921"/>
      <c r="E152" s="911" t="str">
        <f>IF(B152=FAEF!$B$65,"kgCO2e/kg subst.",IF(B152=FAEF!$B$80,"kgCO2e/kg subst.",""))</f>
        <v/>
      </c>
      <c r="F152" s="911"/>
      <c r="G152" s="923"/>
      <c r="H152" s="850" t="str">
        <f>IFERROR(IF(VLOOKUP(B152,FAEF!$B$59:$E$80,4,FALSE)="","",VLOOKUP(B152,FAEF!$B$59:$E$80,4,FALSE)),"")</f>
        <v/>
      </c>
      <c r="I152" s="1095"/>
      <c r="J152" s="610" t="str">
        <f>IFERROR(IF(G152="","",FAEF!X196/1000),"")</f>
        <v/>
      </c>
      <c r="K152" s="1093" t="str">
        <f t="shared" si="1"/>
        <v/>
      </c>
    </row>
    <row r="153" spans="2:11" ht="30" hidden="1" customHeight="1" outlineLevel="2" x14ac:dyDescent="0.25">
      <c r="B153" s="715"/>
      <c r="C153" s="920"/>
      <c r="D153" s="921"/>
      <c r="E153" s="911" t="str">
        <f>IF(B153=FAEF!$B$65,"kgCO2e/kg subst.",IF(B153=FAEF!$B$80,"kgCO2e/kg subst.",""))</f>
        <v/>
      </c>
      <c r="F153" s="911"/>
      <c r="G153" s="923"/>
      <c r="H153" s="850" t="str">
        <f>IFERROR(IF(VLOOKUP(B153,FAEF!$B$59:$E$80,4,FALSE)="","",VLOOKUP(B153,FAEF!$B$59:$E$80,4,FALSE)),"")</f>
        <v/>
      </c>
      <c r="I153" s="1095"/>
      <c r="J153" s="610" t="str">
        <f>IFERROR(IF(G153="","",FAEF!X197/1000),"")</f>
        <v/>
      </c>
      <c r="K153" s="1093" t="str">
        <f t="shared" si="1"/>
        <v/>
      </c>
    </row>
    <row r="154" spans="2:11" ht="30" hidden="1" customHeight="1" outlineLevel="2" x14ac:dyDescent="0.25">
      <c r="B154" s="715"/>
      <c r="C154" s="920"/>
      <c r="D154" s="921"/>
      <c r="E154" s="911" t="str">
        <f>IF(B154=FAEF!$B$65,"kgCO2e/kg subst.",IF(B154=FAEF!$B$80,"kgCO2e/kg subst.",""))</f>
        <v/>
      </c>
      <c r="F154" s="911"/>
      <c r="G154" s="923"/>
      <c r="H154" s="850" t="str">
        <f>IFERROR(IF(VLOOKUP(B154,FAEF!$B$59:$E$80,4,FALSE)="","",VLOOKUP(B154,FAEF!$B$59:$E$80,4,FALSE)),"")</f>
        <v/>
      </c>
      <c r="I154" s="1095"/>
      <c r="J154" s="610" t="str">
        <f>IFERROR(IF(G154="","",FAEF!X198/1000),"")</f>
        <v/>
      </c>
      <c r="K154" s="1093" t="str">
        <f t="shared" si="1"/>
        <v/>
      </c>
    </row>
    <row r="155" spans="2:11" ht="30" hidden="1" customHeight="1" outlineLevel="2" x14ac:dyDescent="0.25">
      <c r="B155" s="715"/>
      <c r="C155" s="920"/>
      <c r="D155" s="921"/>
      <c r="E155" s="911" t="str">
        <f>IF(B155=FAEF!$B$65,"kgCO2e/kg subst.",IF(B155=FAEF!$B$80,"kgCO2e/kg subst.",""))</f>
        <v/>
      </c>
      <c r="F155" s="911"/>
      <c r="G155" s="923"/>
      <c r="H155" s="850" t="str">
        <f>IFERROR(IF(VLOOKUP(B155,FAEF!$B$59:$E$80,4,FALSE)="","",VLOOKUP(B155,FAEF!$B$59:$E$80,4,FALSE)),"")</f>
        <v/>
      </c>
      <c r="I155" s="1095"/>
      <c r="J155" s="610" t="str">
        <f>IFERROR(IF(G155="","",FAEF!X199/1000),"")</f>
        <v/>
      </c>
      <c r="K155" s="1093" t="str">
        <f t="shared" si="1"/>
        <v/>
      </c>
    </row>
    <row r="156" spans="2:11" ht="30" hidden="1" customHeight="1" outlineLevel="2" x14ac:dyDescent="0.25">
      <c r="B156" s="715"/>
      <c r="C156" s="920"/>
      <c r="D156" s="921"/>
      <c r="E156" s="911" t="str">
        <f>IF(B156=FAEF!$B$65,"kgCO2e/kg subst.",IF(B156=FAEF!$B$80,"kgCO2e/kg subst.",""))</f>
        <v/>
      </c>
      <c r="F156" s="911"/>
      <c r="G156" s="923"/>
      <c r="H156" s="850" t="str">
        <f>IFERROR(IF(VLOOKUP(B156,FAEF!$B$59:$E$80,4,FALSE)="","",VLOOKUP(B156,FAEF!$B$59:$E$80,4,FALSE)),"")</f>
        <v/>
      </c>
      <c r="I156" s="1095"/>
      <c r="J156" s="610" t="str">
        <f>IFERROR(IF(G156="","",FAEF!X200/1000),"")</f>
        <v/>
      </c>
      <c r="K156" s="1093" t="str">
        <f t="shared" si="1"/>
        <v/>
      </c>
    </row>
    <row r="157" spans="2:11" ht="30" hidden="1" customHeight="1" outlineLevel="2" x14ac:dyDescent="0.25">
      <c r="B157" s="715"/>
      <c r="C157" s="920"/>
      <c r="D157" s="921"/>
      <c r="E157" s="911" t="str">
        <f>IF(B157=FAEF!$B$65,"kgCO2e/kg subst.",IF(B157=FAEF!$B$80,"kgCO2e/kg subst.",""))</f>
        <v/>
      </c>
      <c r="F157" s="911"/>
      <c r="G157" s="923"/>
      <c r="H157" s="850" t="str">
        <f>IFERROR(IF(VLOOKUP(B157,FAEF!$B$59:$E$80,4,FALSE)="","",VLOOKUP(B157,FAEF!$B$59:$E$80,4,FALSE)),"")</f>
        <v/>
      </c>
      <c r="I157" s="1095"/>
      <c r="J157" s="610" t="str">
        <f>IFERROR(IF(G157="","",FAEF!X201/1000),"")</f>
        <v/>
      </c>
      <c r="K157" s="1093" t="str">
        <f t="shared" si="1"/>
        <v/>
      </c>
    </row>
    <row r="158" spans="2:11" ht="30" hidden="1" customHeight="1" outlineLevel="2" x14ac:dyDescent="0.25">
      <c r="B158" s="715"/>
      <c r="C158" s="920"/>
      <c r="D158" s="921"/>
      <c r="E158" s="911" t="str">
        <f>IF(B158=FAEF!$B$65,"kgCO2e/kg subst.",IF(B158=FAEF!$B$80,"kgCO2e/kg subst.",""))</f>
        <v/>
      </c>
      <c r="F158" s="911"/>
      <c r="G158" s="923"/>
      <c r="H158" s="850" t="str">
        <f>IFERROR(IF(VLOOKUP(B158,FAEF!$B$59:$E$80,4,FALSE)="","",VLOOKUP(B158,FAEF!$B$59:$E$80,4,FALSE)),"")</f>
        <v/>
      </c>
      <c r="I158" s="1095"/>
      <c r="J158" s="610" t="str">
        <f>IFERROR(IF(G158="","",FAEF!X202/1000),"")</f>
        <v/>
      </c>
      <c r="K158" s="1093" t="str">
        <f t="shared" si="1"/>
        <v/>
      </c>
    </row>
    <row r="159" spans="2:11" ht="30" hidden="1" customHeight="1" outlineLevel="2" x14ac:dyDescent="0.25">
      <c r="B159" s="715"/>
      <c r="C159" s="920"/>
      <c r="D159" s="921"/>
      <c r="E159" s="911" t="str">
        <f>IF(B159=FAEF!$B$65,"kgCO2e/kg subst.",IF(B159=FAEF!$B$80,"kgCO2e/kg subst.",""))</f>
        <v/>
      </c>
      <c r="F159" s="911"/>
      <c r="G159" s="923"/>
      <c r="H159" s="850" t="str">
        <f>IFERROR(IF(VLOOKUP(B159,FAEF!$B$59:$E$80,4,FALSE)="","",VLOOKUP(B159,FAEF!$B$59:$E$80,4,FALSE)),"")</f>
        <v/>
      </c>
      <c r="I159" s="1095"/>
      <c r="J159" s="610" t="str">
        <f>IFERROR(IF(G159="","",FAEF!X203/1000),"")</f>
        <v/>
      </c>
      <c r="K159" s="1093" t="str">
        <f t="shared" si="1"/>
        <v/>
      </c>
    </row>
    <row r="160" spans="2:11" ht="30" hidden="1" customHeight="1" outlineLevel="2" x14ac:dyDescent="0.25">
      <c r="B160" s="715"/>
      <c r="C160" s="920"/>
      <c r="D160" s="921"/>
      <c r="E160" s="911" t="str">
        <f>IF(B160=FAEF!$B$65,"kgCO2e/kg subst.",IF(B160=FAEF!$B$80,"kgCO2e/kg subst.",""))</f>
        <v/>
      </c>
      <c r="F160" s="911"/>
      <c r="G160" s="923"/>
      <c r="H160" s="850" t="str">
        <f>IFERROR(IF(VLOOKUP(B160,FAEF!$B$59:$E$80,4,FALSE)="","",VLOOKUP(B160,FAEF!$B$59:$E$80,4,FALSE)),"")</f>
        <v/>
      </c>
      <c r="I160" s="1095"/>
      <c r="J160" s="610" t="str">
        <f>IFERROR(IF(G160="","",FAEF!X204/1000),"")</f>
        <v/>
      </c>
      <c r="K160" s="1093" t="str">
        <f t="shared" si="1"/>
        <v/>
      </c>
    </row>
    <row r="161" spans="2:12" ht="30" hidden="1" customHeight="1" outlineLevel="2" x14ac:dyDescent="0.25">
      <c r="B161" s="715"/>
      <c r="C161" s="920"/>
      <c r="D161" s="921"/>
      <c r="E161" s="911" t="str">
        <f>IF(B161=FAEF!$B$65,"kgCO2e/kg subst.",IF(B161=FAEF!$B$80,"kgCO2e/kg subst.",""))</f>
        <v/>
      </c>
      <c r="F161" s="911"/>
      <c r="G161" s="923"/>
      <c r="H161" s="850" t="str">
        <f>IFERROR(IF(VLOOKUP(B161,FAEF!$B$59:$E$80,4,FALSE)="","",VLOOKUP(B161,FAEF!$B$59:$E$80,4,FALSE)),"")</f>
        <v/>
      </c>
      <c r="I161" s="1095"/>
      <c r="J161" s="610" t="str">
        <f>IFERROR(IF(G161="","",FAEF!X205/1000),"")</f>
        <v/>
      </c>
      <c r="K161" s="1093" t="str">
        <f t="shared" si="1"/>
        <v/>
      </c>
    </row>
    <row r="162" spans="2:12" ht="30" hidden="1" customHeight="1" outlineLevel="2" x14ac:dyDescent="0.25">
      <c r="B162" s="715"/>
      <c r="C162" s="920"/>
      <c r="D162" s="921"/>
      <c r="E162" s="911" t="str">
        <f>IF(B162=FAEF!$B$65,"kgCO2e/kg subst.",IF(B162=FAEF!$B$80,"kgCO2e/kg subst.",""))</f>
        <v/>
      </c>
      <c r="F162" s="911"/>
      <c r="G162" s="923"/>
      <c r="H162" s="850" t="str">
        <f>IFERROR(IF(VLOOKUP(B162,FAEF!$B$59:$E$80,4,FALSE)="","",VLOOKUP(B162,FAEF!$B$59:$E$80,4,FALSE)),"")</f>
        <v/>
      </c>
      <c r="I162" s="1095"/>
      <c r="J162" s="610" t="str">
        <f>IFERROR(IF(G162="","",FAEF!X206/1000),"")</f>
        <v/>
      </c>
      <c r="K162" s="1093" t="str">
        <f t="shared" si="1"/>
        <v/>
      </c>
    </row>
    <row r="163" spans="2:12" ht="30" hidden="1" customHeight="1" outlineLevel="2" x14ac:dyDescent="0.25">
      <c r="B163" s="715"/>
      <c r="C163" s="920"/>
      <c r="D163" s="921"/>
      <c r="E163" s="911" t="str">
        <f>IF(B163=FAEF!$B$65,"kgCO2e/kg subst.",IF(B163=FAEF!$B$80,"kgCO2e/kg subst.",""))</f>
        <v/>
      </c>
      <c r="F163" s="911"/>
      <c r="G163" s="923"/>
      <c r="H163" s="850" t="str">
        <f>IFERROR(IF(VLOOKUP(B163,FAEF!$B$59:$E$80,4,FALSE)="","",VLOOKUP(B163,FAEF!$B$59:$E$80,4,FALSE)),"")</f>
        <v/>
      </c>
      <c r="I163" s="1095"/>
      <c r="J163" s="610" t="str">
        <f>IFERROR(IF(G163="","",FAEF!X207/1000),"")</f>
        <v/>
      </c>
      <c r="K163" s="1093" t="str">
        <f t="shared" si="1"/>
        <v/>
      </c>
    </row>
    <row r="164" spans="2:12" ht="30" hidden="1" customHeight="1" outlineLevel="2" x14ac:dyDescent="0.25">
      <c r="B164" s="715"/>
      <c r="C164" s="920"/>
      <c r="D164" s="921"/>
      <c r="E164" s="911" t="str">
        <f>IF(B164=FAEF!$B$65,"kgCO2e/kg subst.",IF(B164=FAEF!$B$80,"kgCO2e/kg subst.",""))</f>
        <v/>
      </c>
      <c r="F164" s="911"/>
      <c r="G164" s="923"/>
      <c r="H164" s="850" t="str">
        <f>IFERROR(IF(VLOOKUP(B164,FAEF!$B$59:$E$80,4,FALSE)="","",VLOOKUP(B164,FAEF!$B$59:$E$80,4,FALSE)),"")</f>
        <v/>
      </c>
      <c r="I164" s="1095"/>
      <c r="J164" s="610" t="str">
        <f>IFERROR(IF(G164="","",FAEF!X208/1000),"")</f>
        <v/>
      </c>
      <c r="K164" s="1093" t="str">
        <f t="shared" si="1"/>
        <v/>
      </c>
    </row>
    <row r="165" spans="2:12" ht="30" hidden="1" customHeight="1" outlineLevel="2" x14ac:dyDescent="0.25">
      <c r="B165" s="715"/>
      <c r="C165" s="920"/>
      <c r="D165" s="921"/>
      <c r="E165" s="911" t="str">
        <f>IF(B165=FAEF!$B$65,"kgCO2e/kg subst.",IF(B165=FAEF!$B$80,"kgCO2e/kg subst.",""))</f>
        <v/>
      </c>
      <c r="F165" s="911"/>
      <c r="G165" s="923"/>
      <c r="H165" s="850" t="str">
        <f>IFERROR(IF(VLOOKUP(B165,FAEF!$B$59:$E$80,4,FALSE)="","",VLOOKUP(B165,FAEF!$B$59:$E$80,4,FALSE)),"")</f>
        <v/>
      </c>
      <c r="I165" s="1095"/>
      <c r="J165" s="610" t="str">
        <f>IFERROR(IF(G165="","",FAEF!X209/1000),"")</f>
        <v/>
      </c>
      <c r="K165" s="1093" t="str">
        <f t="shared" si="1"/>
        <v/>
      </c>
    </row>
    <row r="166" spans="2:12" ht="30" hidden="1" customHeight="1" outlineLevel="2" x14ac:dyDescent="0.25">
      <c r="B166" s="715"/>
      <c r="C166" s="920"/>
      <c r="D166" s="921"/>
      <c r="E166" s="911" t="str">
        <f>IF(B166=FAEF!$B$65,"kgCO2e/kg subst.",IF(B166=FAEF!$B$80,"kgCO2e/kg subst.",""))</f>
        <v/>
      </c>
      <c r="F166" s="911"/>
      <c r="G166" s="923"/>
      <c r="H166" s="850" t="str">
        <f>IFERROR(IF(VLOOKUP(B166,FAEF!$B$59:$E$80,4,FALSE)="","",VLOOKUP(B166,FAEF!$B$59:$E$80,4,FALSE)),"")</f>
        <v/>
      </c>
      <c r="I166" s="1095"/>
      <c r="J166" s="610" t="str">
        <f>IFERROR(IF(G166="","",FAEF!X210/1000),"")</f>
        <v/>
      </c>
      <c r="K166" s="1093" t="str">
        <f t="shared" si="1"/>
        <v/>
      </c>
    </row>
    <row r="167" spans="2:12" ht="30" hidden="1" customHeight="1" outlineLevel="2" x14ac:dyDescent="0.25">
      <c r="B167" s="715"/>
      <c r="C167" s="920"/>
      <c r="D167" s="921"/>
      <c r="E167" s="911" t="str">
        <f>IF(B167=FAEF!$B$65,"kgCO2e/kg subst.",IF(B167=FAEF!$B$80,"kgCO2e/kg subst.",""))</f>
        <v/>
      </c>
      <c r="F167" s="911"/>
      <c r="G167" s="923"/>
      <c r="H167" s="850" t="str">
        <f>IFERROR(IF(VLOOKUP(B167,FAEF!$B$59:$E$80,4,FALSE)="","",VLOOKUP(B167,FAEF!$B$59:$E$80,4,FALSE)),"")</f>
        <v/>
      </c>
      <c r="I167" s="1095"/>
      <c r="J167" s="610" t="str">
        <f>IFERROR(IF(G167="","",FAEF!X211/1000),"")</f>
        <v/>
      </c>
      <c r="K167" s="1093" t="str">
        <f t="shared" si="1"/>
        <v/>
      </c>
    </row>
    <row r="168" spans="2:12" ht="30" hidden="1" customHeight="1" outlineLevel="2" x14ac:dyDescent="0.25">
      <c r="B168" s="715"/>
      <c r="C168" s="920"/>
      <c r="D168" s="921"/>
      <c r="E168" s="911" t="str">
        <f>IF(B168=FAEF!$B$65,"kgCO2e/kg subst.",IF(B168=FAEF!$B$80,"kgCO2e/kg subst.",""))</f>
        <v/>
      </c>
      <c r="F168" s="911"/>
      <c r="G168" s="923"/>
      <c r="H168" s="850" t="str">
        <f>IFERROR(IF(VLOOKUP(B168,FAEF!$B$59:$E$80,4,FALSE)="","",VLOOKUP(B168,FAEF!$B$59:$E$80,4,FALSE)),"")</f>
        <v/>
      </c>
      <c r="I168" s="1095"/>
      <c r="J168" s="610" t="str">
        <f>IFERROR(IF(G168="","",FAEF!X212/1000),"")</f>
        <v/>
      </c>
      <c r="K168" s="1093" t="str">
        <f t="shared" si="1"/>
        <v/>
      </c>
    </row>
    <row r="169" spans="2:12" ht="30" hidden="1" customHeight="1" outlineLevel="2" x14ac:dyDescent="0.25">
      <c r="B169" s="715"/>
      <c r="C169" s="920"/>
      <c r="D169" s="921"/>
      <c r="E169" s="911" t="str">
        <f>IF(B169=FAEF!$B$65,"kgCO2e/kg subst.",IF(B169=FAEF!$B$80,"kgCO2e/kg subst.",""))</f>
        <v/>
      </c>
      <c r="F169" s="911"/>
      <c r="G169" s="923"/>
      <c r="H169" s="850" t="str">
        <f>IFERROR(IF(VLOOKUP(B169,FAEF!$B$59:$E$80,4,FALSE)="","",VLOOKUP(B169,FAEF!$B$59:$E$80,4,FALSE)),"")</f>
        <v/>
      </c>
      <c r="I169" s="1095"/>
      <c r="J169" s="610" t="str">
        <f>IFERROR(IF(G169="","",FAEF!X213/1000),"")</f>
        <v/>
      </c>
      <c r="K169" s="1093" t="str">
        <f t="shared" si="1"/>
        <v/>
      </c>
    </row>
    <row r="170" spans="2:12" ht="30" hidden="1" customHeight="1" outlineLevel="2" x14ac:dyDescent="0.25">
      <c r="B170" s="715"/>
      <c r="C170" s="920"/>
      <c r="D170" s="921"/>
      <c r="E170" s="911" t="str">
        <f>IF(B170=FAEF!$B$65,"kgCO2e/kg subst.",IF(B170=FAEF!$B$80,"kgCO2e/kg subst.",""))</f>
        <v/>
      </c>
      <c r="F170" s="911"/>
      <c r="G170" s="923"/>
      <c r="H170" s="850" t="str">
        <f>IFERROR(IF(VLOOKUP(B170,FAEF!$B$59:$E$80,4,FALSE)="","",VLOOKUP(B170,FAEF!$B$59:$E$80,4,FALSE)),"")</f>
        <v/>
      </c>
      <c r="I170" s="1095"/>
      <c r="J170" s="610" t="str">
        <f>IFERROR(IF(G170="","",FAEF!X214/1000),"")</f>
        <v/>
      </c>
      <c r="K170" s="1093" t="str">
        <f t="shared" si="1"/>
        <v/>
      </c>
    </row>
    <row r="171" spans="2:12" ht="30" hidden="1" customHeight="1" outlineLevel="2" x14ac:dyDescent="0.25">
      <c r="B171" s="715"/>
      <c r="C171" s="920"/>
      <c r="D171" s="921"/>
      <c r="E171" s="911" t="str">
        <f>IF(B171=FAEF!$B$65,"kgCO2e/kg subst.",IF(B171=FAEF!$B$80,"kgCO2e/kg subst.",""))</f>
        <v/>
      </c>
      <c r="F171" s="911"/>
      <c r="G171" s="923"/>
      <c r="H171" s="850" t="str">
        <f>IFERROR(IF(VLOOKUP(B171,FAEF!$B$59:$E$80,4,FALSE)="","",VLOOKUP(B171,FAEF!$B$59:$E$80,4,FALSE)),"")</f>
        <v/>
      </c>
      <c r="I171" s="1095"/>
      <c r="J171" s="610" t="str">
        <f>IFERROR(IF(G171="","",FAEF!X215/1000),"")</f>
        <v/>
      </c>
      <c r="K171" s="1093" t="str">
        <f t="shared" si="1"/>
        <v/>
      </c>
    </row>
    <row r="172" spans="2:12" ht="30" hidden="1" customHeight="1" outlineLevel="2" x14ac:dyDescent="0.25">
      <c r="B172" s="715"/>
      <c r="C172" s="920"/>
      <c r="D172" s="921"/>
      <c r="E172" s="911" t="str">
        <f>IF(B172=FAEF!$B$65,"kgCO2e/kg subst.",IF(B172=FAEF!$B$80,"kgCO2e/kg subst.",""))</f>
        <v/>
      </c>
      <c r="F172" s="911"/>
      <c r="G172" s="923"/>
      <c r="H172" s="850" t="str">
        <f>IFERROR(IF(VLOOKUP(B172,FAEF!$B$59:$E$80,4,FALSE)="","",VLOOKUP(B172,FAEF!$B$59:$E$80,4,FALSE)),"")</f>
        <v/>
      </c>
      <c r="I172" s="1095"/>
      <c r="J172" s="610" t="str">
        <f>IFERROR(IF(G172="","",FAEF!X216/1000),"")</f>
        <v/>
      </c>
      <c r="K172" s="1093" t="str">
        <f t="shared" si="1"/>
        <v/>
      </c>
    </row>
    <row r="173" spans="2:12" outlineLevel="1" collapsed="1" x14ac:dyDescent="0.25">
      <c r="B173" s="604" t="s">
        <v>37</v>
      </c>
      <c r="C173" s="605"/>
      <c r="D173" s="605"/>
      <c r="E173" s="611"/>
      <c r="F173" s="611"/>
      <c r="G173" s="605"/>
      <c r="H173" s="605"/>
      <c r="I173" s="605"/>
      <c r="J173" s="670">
        <f>SUM(J73:J172)</f>
        <v>0</v>
      </c>
      <c r="L173" s="368"/>
    </row>
    <row r="174" spans="2:12" outlineLevel="1" x14ac:dyDescent="0.25">
      <c r="B174" s="166" t="s">
        <v>1647</v>
      </c>
    </row>
    <row r="175" spans="2:12" outlineLevel="1" x14ac:dyDescent="0.25"/>
    <row r="176" spans="2:12" s="332" customFormat="1" ht="30" customHeight="1" x14ac:dyDescent="0.25">
      <c r="B176" s="231" t="s">
        <v>604</v>
      </c>
    </row>
    <row r="177" spans="1:6" x14ac:dyDescent="0.25"/>
    <row r="178" spans="1:6" x14ac:dyDescent="0.25">
      <c r="D178" s="166"/>
      <c r="E178" s="912"/>
      <c r="F178" s="912"/>
    </row>
    <row r="179" spans="1:6" ht="31.5" x14ac:dyDescent="0.25">
      <c r="D179" s="166"/>
      <c r="E179" s="1031" t="s">
        <v>1649</v>
      </c>
    </row>
    <row r="180" spans="1:6" ht="18.75" x14ac:dyDescent="0.25">
      <c r="B180" s="1238" t="s">
        <v>1650</v>
      </c>
      <c r="C180" s="1239"/>
      <c r="D180" s="1240"/>
      <c r="E180" s="670">
        <f>E181+E182</f>
        <v>0</v>
      </c>
    </row>
    <row r="181" spans="1:6" ht="18.75" x14ac:dyDescent="0.25">
      <c r="A181" s="168"/>
      <c r="B181" s="1238" t="s">
        <v>1651</v>
      </c>
      <c r="C181" s="1239"/>
      <c r="D181" s="1240"/>
      <c r="E181" s="685">
        <f>K57</f>
        <v>0</v>
      </c>
    </row>
    <row r="182" spans="1:6" ht="18.75" x14ac:dyDescent="0.25">
      <c r="B182" s="1238" t="s">
        <v>1333</v>
      </c>
      <c r="C182" s="1239"/>
      <c r="D182" s="1240"/>
      <c r="E182" s="685">
        <f>J173</f>
        <v>0</v>
      </c>
    </row>
    <row r="183" spans="1:6" x14ac:dyDescent="0.25">
      <c r="B183" s="913" t="s">
        <v>1652</v>
      </c>
      <c r="C183" s="914"/>
      <c r="D183" s="915"/>
      <c r="E183" s="686">
        <f>SUMIF(B73:B172,FAEF!B70, J73:J172)+SUMIF(B73:B172,FAEF!B71, J73:J172)+SUMIF(B73:B172,FAEF!B72, J73:J172)+SUMIF(B73:B172,FAEF!B73, J73:J172)+SUMIF(B73:B172,FAEF!B74, J73:J172)+SUMIF(B73:B172,FAEF!B76, J73:J172)+SUMIF(B73:B172,FAEF!B77, J73:J172)+SUMIF(B73:B172,FAEF!B78, J73:J172)+SUMIF(B73:B172,FAEF!B79, J73:J172)</f>
        <v>0</v>
      </c>
    </row>
    <row r="184" spans="1:6" ht="18.75" x14ac:dyDescent="0.25">
      <c r="B184" s="913" t="s">
        <v>1653</v>
      </c>
      <c r="C184" s="914"/>
      <c r="D184" s="915"/>
      <c r="E184" s="686">
        <f>SUMIF(B73:B172,FAEF!B66,'Emissões Fugitivas'!J73:J172)+SUMIF(B73:B172,FAEF!B67,'Emissões Fugitivas'!J73:J172)</f>
        <v>0</v>
      </c>
    </row>
    <row r="185" spans="1:6" x14ac:dyDescent="0.25">
      <c r="B185" s="913" t="s">
        <v>1654</v>
      </c>
      <c r="C185" s="914"/>
      <c r="D185" s="915"/>
      <c r="E185" s="686">
        <f>SUMIF(B73:B172,FAEF!B68,'Emissões Fugitivas'!J73:J172)</f>
        <v>0</v>
      </c>
    </row>
    <row r="186" spans="1:6" x14ac:dyDescent="0.25">
      <c r="B186" s="913" t="s">
        <v>1655</v>
      </c>
      <c r="C186" s="914"/>
      <c r="D186" s="915"/>
      <c r="E186" s="686">
        <f>E182-E183-E184-E185</f>
        <v>0</v>
      </c>
    </row>
    <row r="187" spans="1:6" x14ac:dyDescent="0.25"/>
    <row r="188" spans="1:6" x14ac:dyDescent="0.25">
      <c r="B188" s="916"/>
    </row>
    <row r="189" spans="1:6" x14ac:dyDescent="0.25">
      <c r="B189" s="917"/>
    </row>
    <row r="190" spans="1:6" x14ac:dyDescent="0.25">
      <c r="B190" s="918"/>
    </row>
    <row r="191" spans="1:6" x14ac:dyDescent="0.25">
      <c r="B191" s="918"/>
    </row>
    <row r="192" spans="1:6" x14ac:dyDescent="0.25"/>
    <row r="193" spans="2:2" x14ac:dyDescent="0.25"/>
    <row r="194" spans="2:2" x14ac:dyDescent="0.25"/>
    <row r="195" spans="2:2" x14ac:dyDescent="0.25"/>
    <row r="196" spans="2:2" x14ac:dyDescent="0.25"/>
    <row r="197" spans="2:2" x14ac:dyDescent="0.25"/>
    <row r="198" spans="2:2" x14ac:dyDescent="0.25"/>
    <row r="199" spans="2:2" x14ac:dyDescent="0.25">
      <c r="B199" s="919"/>
    </row>
    <row r="200" spans="2:2" x14ac:dyDescent="0.25"/>
    <row r="201" spans="2:2" x14ac:dyDescent="0.25"/>
    <row r="202" spans="2:2" x14ac:dyDescent="0.25"/>
    <row r="203" spans="2:2" x14ac:dyDescent="0.25"/>
    <row r="204" spans="2:2" x14ac:dyDescent="0.25"/>
    <row r="205" spans="2:2" x14ac:dyDescent="0.25"/>
    <row r="206" spans="2:2" x14ac:dyDescent="0.25"/>
    <row r="207" spans="2:2" x14ac:dyDescent="0.25"/>
    <row r="208" spans="2:2"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sheetData>
  <sheetProtection algorithmName="SHA-512" hashValue="lWSVgl7REmREKjjcrKhrP8fInl5s7AEWeNZfLgToETKiICc/t6DlStaundOk1uMGjB3lxoSi74DyGYBENpbwJw==" saltValue="fnCgpxOcpSqm+5yrONhXhA==" spinCount="100000" sheet="1" formatRows="0" selectLockedCells="1"/>
  <protectedRanges>
    <protectedRange sqref="B73:D172 G73:G172" name="EF2"/>
    <protectedRange sqref="B36:B56 D36:I56" name="EF1"/>
  </protectedRanges>
  <mergeCells count="27">
    <mergeCell ref="K69:K70"/>
    <mergeCell ref="B180:D180"/>
    <mergeCell ref="B65:H65"/>
    <mergeCell ref="B66:H66"/>
    <mergeCell ref="I70:I71"/>
    <mergeCell ref="J69:J71"/>
    <mergeCell ref="E70:E71"/>
    <mergeCell ref="F70:F71"/>
    <mergeCell ref="C69:F69"/>
    <mergeCell ref="H70:H71"/>
    <mergeCell ref="G69:I69"/>
    <mergeCell ref="B182:D182"/>
    <mergeCell ref="B181:D181"/>
    <mergeCell ref="B69:B71"/>
    <mergeCell ref="C70:C71"/>
    <mergeCell ref="D70:D71"/>
    <mergeCell ref="B14:C14"/>
    <mergeCell ref="B19:J19"/>
    <mergeCell ref="B32:B34"/>
    <mergeCell ref="K32:K34"/>
    <mergeCell ref="B13:J13"/>
    <mergeCell ref="F32:F34"/>
    <mergeCell ref="G32:H34"/>
    <mergeCell ref="I32:I34"/>
    <mergeCell ref="J32:J34"/>
    <mergeCell ref="E33:E34"/>
    <mergeCell ref="C32:E32"/>
  </mergeCells>
  <phoneticPr fontId="24" type="noConversion"/>
  <conditionalFormatting sqref="G36:G56">
    <cfRule type="expression" dxfId="48" priority="3">
      <formula>$F36="Não"</formula>
    </cfRule>
  </conditionalFormatting>
  <conditionalFormatting sqref="G71">
    <cfRule type="beginsWith" dxfId="47" priority="1" operator="beginsWith" text="Erro">
      <formula>LEFT(G71,LEN("Erro"))="Erro"</formula>
    </cfRule>
  </conditionalFormatting>
  <conditionalFormatting sqref="H36:H56">
    <cfRule type="expression" dxfId="46" priority="4">
      <formula>$F36="Sim"</formula>
    </cfRule>
  </conditionalFormatting>
  <conditionalFormatting sqref="K73:K172">
    <cfRule type="beginsWith" dxfId="45" priority="2" operator="beginsWith" text="Erro">
      <formula>LEFT(K73,LEN("Erro"))="Erro"</formula>
    </cfRule>
  </conditionalFormatting>
  <dataValidations count="1">
    <dataValidation type="list" allowBlank="1" showInputMessage="1" showErrorMessage="1" sqref="N35:N56 B35" xr:uid="{8BF7AEA2-4C0F-4FA0-8E03-10006F734921}">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 id="{EEDC67A5-CB5C-4FE1-84F5-C1D548730438}">
            <xm:f>Triagem!$C$29="Não"</xm:f>
            <x14:dxf>
              <font>
                <color theme="2" tint="-0.499984740745262"/>
              </font>
            </x14:dxf>
          </x14:cfRule>
          <xm:sqref>B9</xm:sqref>
        </x14:conditionalFormatting>
        <x14:conditionalFormatting xmlns:xm="http://schemas.microsoft.com/office/excel/2006/main">
          <x14:cfRule type="expression" priority="8" id="{E182617C-B542-4A9E-979B-54E43061D144}">
            <xm:f>Triagem!$C$29=""</xm:f>
            <x14:dxf>
              <font>
                <b/>
                <i val="0"/>
                <u val="double"/>
                <color rgb="FFFF0000"/>
              </font>
              <fill>
                <patternFill>
                  <bgColor theme="7" tint="0.79998168889431442"/>
                </patternFill>
              </fill>
            </x14:dxf>
          </x14:cfRule>
          <xm:sqref>B9:D9</xm:sqref>
        </x14:conditionalFormatting>
        <x14:conditionalFormatting xmlns:xm="http://schemas.microsoft.com/office/excel/2006/main">
          <x14:cfRule type="expression" priority="205" id="{A575831E-DEA2-4AFF-925A-3EE9EB18E29D}">
            <xm:f>$B73=FAEF!$B$80</xm:f>
            <x14:dxf>
              <fill>
                <patternFill>
                  <bgColor theme="5" tint="0.79998168889431442"/>
                </patternFill>
              </fill>
            </x14:dxf>
          </x14:cfRule>
          <x14:cfRule type="expression" priority="206" id="{C988CD1C-0804-40A1-93CF-28DC469EFBC7}">
            <xm:f>$B73=FAEF!$B$65</xm:f>
            <x14:dxf>
              <fill>
                <patternFill>
                  <bgColor theme="5" tint="0.79998168889431442"/>
                </patternFill>
              </fill>
            </x14:dxf>
          </x14:cfRule>
          <xm:sqref>C73:D172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CE2E1A2-BE20-4A24-B43F-5712EEE8DC96}">
          <x14:formula1>
            <xm:f>'Fatores de Emissão'!$C$262:$C$373</xm:f>
          </x14:formula1>
          <xm:sqref>G35:G56</xm:sqref>
        </x14:dataValidation>
        <x14:dataValidation type="list" allowBlank="1" showInputMessage="1" showErrorMessage="1" xr:uid="{CE808CC7-58D1-436E-8B64-A10806298926}">
          <x14:formula1>
            <xm:f>FAEF!$B$11:$B$12</xm:f>
          </x14:formula1>
          <xm:sqref>H35:H56</xm:sqref>
        </x14:dataValidation>
        <x14:dataValidation type="list" allowBlank="1" showInputMessage="1" showErrorMessage="1" xr:uid="{82A187DD-FAD4-449A-8E64-3F27A504318B}">
          <x14:formula1>
            <xm:f>FAEF!$C$11:$C$12</xm:f>
          </x14:formula1>
          <xm:sqref>F35:F56</xm:sqref>
        </x14:dataValidation>
        <x14:dataValidation type="list" allowBlank="1" showInputMessage="1" showErrorMessage="1" xr:uid="{3E65464D-A3AB-4136-BE16-B68FA194E854}">
          <x14:formula1>
            <xm:f>FAEF!$C$18:$C$26</xm:f>
          </x14:formula1>
          <xm:sqref>B36:B56</xm:sqref>
        </x14:dataValidation>
        <x14:dataValidation type="list" allowBlank="1" showInputMessage="1" showErrorMessage="1" xr:uid="{1D70BD1B-3624-4A70-905A-6E457EF7E23E}">
          <x14:formula1>
            <xm:f>FAEF!$B$59:$B$80</xm:f>
          </x14:formula1>
          <xm:sqref>B72</xm:sqref>
        </x14:dataValidation>
        <x14:dataValidation type="list" allowBlank="1" showInputMessage="1" showErrorMessage="1" xr:uid="{9503F575-33D8-4B08-ABC8-BACA67840641}">
          <x14:formula1>
            <xm:f>FAEF!$B$66:$B$80</xm:f>
          </x14:formula1>
          <xm:sqref>B73:B172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FB3EE-FE7F-4867-957A-D21C085F7F01}">
  <sheetPr>
    <tabColor theme="4"/>
  </sheetPr>
  <dimension ref="A1:AA168"/>
  <sheetViews>
    <sheetView showGridLines="0" zoomScale="80" zoomScaleNormal="80" workbookViewId="0">
      <selection activeCell="E32" sqref="E32"/>
    </sheetView>
  </sheetViews>
  <sheetFormatPr defaultColWidth="0" defaultRowHeight="15.75" zeroHeight="1" outlineLevelRow="1" x14ac:dyDescent="0.25"/>
  <cols>
    <col min="1" max="1" width="9.25" style="166" customWidth="1"/>
    <col min="2" max="2" width="16.75" style="166" customWidth="1"/>
    <col min="3" max="3" width="40.625" style="166" customWidth="1"/>
    <col min="4" max="4" width="39.625" style="166" customWidth="1"/>
    <col min="5" max="5" width="35.25" style="166" customWidth="1"/>
    <col min="6" max="6" width="19.25" style="166" customWidth="1"/>
    <col min="7" max="7" width="21.625" style="166" customWidth="1"/>
    <col min="8" max="8" width="36.75" style="166" customWidth="1"/>
    <col min="9" max="9" width="17.25" style="166" customWidth="1"/>
    <col min="10" max="10" width="26.625" style="166" customWidth="1"/>
    <col min="11" max="11" width="42.25" style="166" customWidth="1"/>
    <col min="12" max="15" width="21.625" style="166" customWidth="1"/>
    <col min="16" max="16" width="39.75" style="166" customWidth="1"/>
    <col min="17" max="24" width="21.625" style="166" customWidth="1"/>
    <col min="25" max="28" width="5.625" style="166" customWidth="1"/>
    <col min="29" max="16381" width="5" style="166" customWidth="1"/>
    <col min="16382" max="16382" width="5.875" style="166" customWidth="1"/>
    <col min="16383" max="16383" width="9.375" style="166" customWidth="1"/>
    <col min="16384" max="16384" width="8.5" style="166" customWidth="1"/>
  </cols>
  <sheetData>
    <row r="1" spans="2:27" x14ac:dyDescent="0.25"/>
    <row r="2" spans="2:27" x14ac:dyDescent="0.25"/>
    <row r="3" spans="2:27" x14ac:dyDescent="0.25"/>
    <row r="4" spans="2:27" x14ac:dyDescent="0.25"/>
    <row r="5" spans="2:27" x14ac:dyDescent="0.25"/>
    <row r="6" spans="2:27" x14ac:dyDescent="0.25"/>
    <row r="7" spans="2:27" x14ac:dyDescent="0.25"/>
    <row r="8" spans="2:27" x14ac:dyDescent="0.25">
      <c r="E8" s="774"/>
      <c r="F8" s="774"/>
      <c r="G8" s="774"/>
      <c r="H8" s="774"/>
    </row>
    <row r="9" spans="2:27" ht="23.25" x14ac:dyDescent="0.35">
      <c r="B9" s="924" t="str">
        <f>IF(Triagem!C30="", "Não indicou na TRIAGEM se esta folha se adequa ao projeto", IF(Triagem!C30="Não", "Não necessita de preencher esta folha", "Folha a ser preenchida"))</f>
        <v>Não indicou na TRIAGEM se esta folha se adequa ao projeto</v>
      </c>
    </row>
    <row r="10" spans="2:27" x14ac:dyDescent="0.25"/>
    <row r="11" spans="2:27" ht="18.75" x14ac:dyDescent="0.3">
      <c r="B11" s="259" t="s">
        <v>553</v>
      </c>
    </row>
    <row r="12" spans="2:27" ht="19.5" customHeight="1" x14ac:dyDescent="0.25">
      <c r="B12" s="1175" t="s">
        <v>1524</v>
      </c>
      <c r="C12" s="1175"/>
      <c r="D12" s="1175"/>
      <c r="E12" s="1175"/>
      <c r="F12" s="1175"/>
      <c r="G12" s="1175"/>
      <c r="H12" s="1175"/>
      <c r="I12" s="1175"/>
      <c r="J12" s="1175"/>
    </row>
    <row r="13" spans="2:27" ht="19.5" customHeight="1" x14ac:dyDescent="0.25">
      <c r="B13" s="925"/>
      <c r="C13" s="925"/>
      <c r="D13" s="925"/>
      <c r="E13" s="925"/>
      <c r="F13" s="925"/>
      <c r="G13" s="925"/>
      <c r="H13" s="925"/>
      <c r="I13" s="925"/>
      <c r="J13" s="925"/>
    </row>
    <row r="14" spans="2:27" x14ac:dyDescent="0.25">
      <c r="B14" s="837" t="s">
        <v>0</v>
      </c>
      <c r="C14" s="778"/>
      <c r="D14" s="778"/>
      <c r="E14" s="778"/>
      <c r="F14" s="778"/>
      <c r="G14" s="778"/>
      <c r="H14" s="778"/>
      <c r="I14" s="778"/>
      <c r="J14" s="778"/>
      <c r="K14" s="778"/>
      <c r="L14" s="778"/>
      <c r="M14" s="168"/>
      <c r="N14" s="168"/>
      <c r="O14" s="168"/>
      <c r="P14" s="168"/>
      <c r="Q14" s="168"/>
    </row>
    <row r="15" spans="2:27" x14ac:dyDescent="0.25">
      <c r="B15" s="1297" t="s">
        <v>1506</v>
      </c>
      <c r="C15" s="1297"/>
      <c r="D15" s="1297"/>
      <c r="E15" s="1297"/>
      <c r="F15" s="1297"/>
      <c r="G15" s="1297"/>
      <c r="H15" s="1297"/>
      <c r="I15" s="1297"/>
      <c r="J15" s="1297"/>
      <c r="K15" s="1297"/>
      <c r="L15" s="1297"/>
      <c r="M15" s="168"/>
      <c r="N15" s="168"/>
      <c r="O15" s="168"/>
      <c r="P15" s="168"/>
      <c r="Q15" s="168"/>
    </row>
    <row r="16" spans="2:27" ht="19.899999999999999" customHeight="1" x14ac:dyDescent="0.25">
      <c r="B16" s="1296" t="s">
        <v>1252</v>
      </c>
      <c r="C16" s="1296"/>
      <c r="D16" s="1296"/>
      <c r="E16" s="1296"/>
      <c r="F16" s="1296"/>
      <c r="G16" s="1296"/>
      <c r="H16" s="1296"/>
      <c r="I16" s="1296"/>
      <c r="J16" s="1296"/>
      <c r="K16" s="1296"/>
      <c r="L16" s="1296"/>
      <c r="M16" s="926"/>
      <c r="N16" s="926"/>
      <c r="O16" s="926"/>
      <c r="P16" s="927"/>
      <c r="Q16" s="927"/>
      <c r="R16" s="196"/>
      <c r="S16" s="196"/>
      <c r="T16" s="196"/>
      <c r="U16" s="196"/>
      <c r="V16" s="196"/>
      <c r="W16" s="196"/>
      <c r="X16" s="196"/>
      <c r="Y16" s="196"/>
      <c r="Z16" s="196"/>
      <c r="AA16" s="197"/>
    </row>
    <row r="17" spans="1:27" ht="19.899999999999999" customHeight="1" x14ac:dyDescent="0.25">
      <c r="B17" s="1296" t="s">
        <v>1525</v>
      </c>
      <c r="C17" s="1296"/>
      <c r="D17" s="1296"/>
      <c r="E17" s="1296"/>
      <c r="F17" s="1296"/>
      <c r="G17" s="1296"/>
      <c r="H17" s="1296"/>
      <c r="I17" s="1296"/>
      <c r="J17" s="1296"/>
      <c r="K17" s="1296"/>
      <c r="L17" s="1296"/>
      <c r="M17" s="926"/>
      <c r="N17" s="926"/>
      <c r="O17" s="926"/>
      <c r="P17" s="926"/>
      <c r="Q17" s="927"/>
      <c r="R17" s="196"/>
      <c r="S17" s="196"/>
      <c r="T17" s="196"/>
      <c r="U17" s="196"/>
      <c r="V17" s="196"/>
      <c r="W17" s="196"/>
      <c r="X17" s="196"/>
      <c r="Y17" s="196"/>
      <c r="Z17" s="196"/>
      <c r="AA17" s="197"/>
    </row>
    <row r="18" spans="1:27" x14ac:dyDescent="0.25">
      <c r="B18" s="1296" t="s">
        <v>1526</v>
      </c>
      <c r="C18" s="1296"/>
      <c r="D18" s="1296"/>
      <c r="E18" s="1296"/>
      <c r="F18" s="1296"/>
      <c r="G18" s="1296"/>
      <c r="H18" s="1296"/>
      <c r="I18" s="1296"/>
      <c r="J18" s="1296"/>
      <c r="K18" s="1296"/>
      <c r="L18" s="1296"/>
      <c r="M18" s="926"/>
      <c r="N18" s="926"/>
      <c r="O18" s="926"/>
      <c r="P18" s="926"/>
      <c r="Q18" s="927"/>
      <c r="R18" s="198"/>
      <c r="S18" s="198"/>
      <c r="T18" s="198"/>
      <c r="U18" s="198"/>
      <c r="V18" s="198"/>
      <c r="W18" s="198"/>
      <c r="X18" s="198"/>
      <c r="Y18" s="198"/>
      <c r="Z18" s="198"/>
      <c r="AA18" s="198"/>
    </row>
    <row r="19" spans="1:27" ht="19.899999999999999" customHeight="1" x14ac:dyDescent="0.25">
      <c r="B19" s="1295" t="s">
        <v>1527</v>
      </c>
      <c r="C19" s="1295"/>
      <c r="D19" s="1295"/>
      <c r="E19" s="1295"/>
      <c r="F19" s="1295"/>
      <c r="G19" s="1295"/>
      <c r="H19" s="1295"/>
      <c r="I19" s="1295"/>
      <c r="J19" s="1295"/>
      <c r="K19" s="1295"/>
      <c r="L19" s="1295"/>
      <c r="M19" s="926"/>
      <c r="N19" s="926"/>
      <c r="O19" s="926"/>
      <c r="P19" s="926"/>
      <c r="Q19" s="927"/>
      <c r="R19" s="198"/>
      <c r="S19" s="198"/>
      <c r="T19" s="198"/>
      <c r="U19" s="198"/>
      <c r="V19" s="198"/>
      <c r="W19" s="198"/>
      <c r="X19" s="198"/>
      <c r="Y19" s="198"/>
      <c r="Z19" s="198"/>
      <c r="AA19" s="198"/>
    </row>
    <row r="20" spans="1:27" ht="17.25" customHeight="1" x14ac:dyDescent="0.25">
      <c r="B20" s="1294" t="s">
        <v>1656</v>
      </c>
      <c r="C20" s="1294"/>
      <c r="D20" s="1294"/>
      <c r="E20" s="1294"/>
      <c r="F20" s="1294"/>
      <c r="G20" s="1294"/>
      <c r="H20" s="1294"/>
      <c r="I20" s="1294"/>
      <c r="J20" s="1294"/>
      <c r="K20" s="1294"/>
      <c r="L20" s="1294"/>
      <c r="M20" s="929"/>
      <c r="N20" s="929"/>
      <c r="O20" s="929"/>
      <c r="P20" s="929"/>
      <c r="Q20" s="929"/>
      <c r="R20" s="196"/>
      <c r="S20" s="196"/>
      <c r="T20" s="196"/>
      <c r="U20" s="196"/>
      <c r="V20" s="196"/>
      <c r="W20" s="196"/>
      <c r="X20" s="196"/>
      <c r="Y20" s="196"/>
      <c r="Z20" s="196"/>
      <c r="AA20" s="197"/>
    </row>
    <row r="21" spans="1:27" ht="21" customHeight="1" x14ac:dyDescent="0.25">
      <c r="B21" s="1294" t="s">
        <v>1531</v>
      </c>
      <c r="C21" s="1294"/>
      <c r="D21" s="1294"/>
      <c r="E21" s="1294"/>
      <c r="F21" s="1294"/>
      <c r="G21" s="1294"/>
      <c r="H21" s="1294"/>
      <c r="I21" s="1294"/>
      <c r="J21" s="1294"/>
      <c r="K21" s="1294"/>
      <c r="L21" s="1294"/>
      <c r="M21" s="929"/>
      <c r="N21" s="929"/>
      <c r="O21" s="929"/>
      <c r="P21" s="929"/>
      <c r="Q21" s="927"/>
      <c r="R21" s="196"/>
      <c r="S21" s="196"/>
      <c r="T21" s="196"/>
      <c r="U21" s="196"/>
      <c r="V21" s="196"/>
      <c r="W21" s="196"/>
      <c r="X21" s="196"/>
      <c r="Y21" s="196"/>
      <c r="Z21" s="196"/>
      <c r="AA21" s="197"/>
    </row>
    <row r="22" spans="1:27" ht="20.45" customHeight="1" x14ac:dyDescent="0.25">
      <c r="B22" s="1294" t="s">
        <v>1528</v>
      </c>
      <c r="C22" s="1294"/>
      <c r="D22" s="1294"/>
      <c r="E22" s="1294"/>
      <c r="F22" s="1294"/>
      <c r="G22" s="1294"/>
      <c r="H22" s="1294"/>
      <c r="I22" s="1294"/>
      <c r="J22" s="1294"/>
      <c r="K22" s="1294"/>
      <c r="L22" s="1294"/>
      <c r="M22" s="929"/>
      <c r="N22" s="929"/>
      <c r="O22" s="929"/>
      <c r="P22" s="929"/>
      <c r="Q22" s="927"/>
      <c r="R22" s="196"/>
      <c r="S22" s="196"/>
      <c r="T22" s="196"/>
      <c r="U22" s="196"/>
      <c r="V22" s="196"/>
      <c r="W22" s="196"/>
      <c r="X22" s="196"/>
      <c r="Y22" s="196"/>
      <c r="Z22" s="196"/>
      <c r="AA22" s="197"/>
    </row>
    <row r="23" spans="1:27" x14ac:dyDescent="0.25">
      <c r="B23" s="838" t="s">
        <v>1529</v>
      </c>
      <c r="C23" s="838"/>
      <c r="D23" s="838"/>
      <c r="E23" s="838"/>
      <c r="F23" s="838"/>
      <c r="G23" s="838"/>
      <c r="H23" s="838"/>
      <c r="I23" s="838"/>
      <c r="J23" s="838"/>
      <c r="K23" s="838"/>
      <c r="L23" s="838"/>
      <c r="M23" s="930"/>
      <c r="N23" s="930"/>
      <c r="O23" s="930"/>
      <c r="P23" s="930"/>
      <c r="Q23" s="930"/>
      <c r="R23" s="197"/>
      <c r="S23" s="197"/>
      <c r="T23" s="197"/>
      <c r="U23" s="197"/>
      <c r="V23" s="197"/>
      <c r="W23" s="197"/>
      <c r="X23" s="197"/>
      <c r="Y23" s="197"/>
      <c r="Z23" s="197"/>
      <c r="AA23" s="197"/>
    </row>
    <row r="24" spans="1:27" x14ac:dyDescent="0.25">
      <c r="B24" s="838" t="s">
        <v>1530</v>
      </c>
      <c r="C24" s="838"/>
      <c r="D24" s="838"/>
      <c r="E24" s="838"/>
      <c r="F24" s="838"/>
      <c r="G24" s="838"/>
      <c r="H24" s="838"/>
      <c r="I24" s="838"/>
      <c r="J24" s="838"/>
      <c r="K24" s="838"/>
      <c r="L24" s="838"/>
      <c r="M24" s="930"/>
      <c r="N24" s="930"/>
      <c r="O24" s="930"/>
      <c r="P24" s="930"/>
      <c r="Q24" s="930"/>
      <c r="R24" s="197"/>
      <c r="S24" s="197"/>
      <c r="T24" s="197"/>
      <c r="U24" s="197"/>
      <c r="V24" s="197"/>
      <c r="W24" s="197"/>
      <c r="X24" s="197"/>
      <c r="Y24" s="197"/>
      <c r="Z24" s="197"/>
      <c r="AA24" s="197"/>
    </row>
    <row r="25" spans="1:27" x14ac:dyDescent="0.25"/>
    <row r="26" spans="1:27" x14ac:dyDescent="0.25">
      <c r="I26" s="173"/>
    </row>
    <row r="27" spans="1:27" x14ac:dyDescent="0.25">
      <c r="B27" s="165" t="s">
        <v>45</v>
      </c>
    </row>
    <row r="28" spans="1:27" ht="36.75" customHeight="1" x14ac:dyDescent="0.25">
      <c r="B28" s="1184" t="s">
        <v>1461</v>
      </c>
      <c r="C28" s="1184" t="s">
        <v>781</v>
      </c>
      <c r="D28" s="1184" t="s">
        <v>1713</v>
      </c>
      <c r="E28" s="1293" t="s">
        <v>785</v>
      </c>
      <c r="F28" s="1291"/>
      <c r="G28" s="1291"/>
      <c r="H28" s="1292"/>
      <c r="I28" s="1218" t="s">
        <v>1523</v>
      </c>
      <c r="J28" s="1218"/>
      <c r="K28" s="1218"/>
      <c r="L28" s="1184" t="s">
        <v>979</v>
      </c>
    </row>
    <row r="29" spans="1:27" ht="67.5" customHeight="1" x14ac:dyDescent="0.25">
      <c r="B29" s="1185"/>
      <c r="C29" s="1185"/>
      <c r="D29" s="1190"/>
      <c r="E29" s="746" t="s">
        <v>1522</v>
      </c>
      <c r="F29" s="1286" t="s">
        <v>26</v>
      </c>
      <c r="G29" s="1286" t="s">
        <v>26</v>
      </c>
      <c r="H29" s="1204" t="s">
        <v>1658</v>
      </c>
      <c r="I29" s="1286" t="s">
        <v>645</v>
      </c>
      <c r="J29" s="1204" t="s">
        <v>1657</v>
      </c>
      <c r="K29" s="1204" t="s">
        <v>1658</v>
      </c>
      <c r="L29" s="1185"/>
    </row>
    <row r="30" spans="1:27" ht="38.25" customHeight="1" x14ac:dyDescent="0.25">
      <c r="B30" s="1186"/>
      <c r="C30" s="1186"/>
      <c r="D30" s="1191"/>
      <c r="E30" s="1076" t="str">
        <f>IF(COUNTIF(M32:M131,"Erro, confira o valor da quantidade produzida em média por ano")&gt;0,"Erro: confira of valores desta coluna","")</f>
        <v/>
      </c>
      <c r="F30" s="1287"/>
      <c r="G30" s="1287"/>
      <c r="H30" s="1206"/>
      <c r="I30" s="1287"/>
      <c r="J30" s="1206"/>
      <c r="K30" s="1206"/>
      <c r="L30" s="1186"/>
    </row>
    <row r="31" spans="1:27" ht="21" customHeight="1" x14ac:dyDescent="0.25">
      <c r="A31" s="175" t="s">
        <v>36</v>
      </c>
      <c r="B31" s="931" t="s">
        <v>784</v>
      </c>
      <c r="C31" s="931" t="s">
        <v>770</v>
      </c>
      <c r="D31" s="931"/>
      <c r="E31" s="932">
        <v>100</v>
      </c>
      <c r="F31" s="598" t="s">
        <v>1659</v>
      </c>
      <c r="G31" s="933"/>
      <c r="H31" s="203"/>
      <c r="I31" s="932">
        <v>0.51</v>
      </c>
      <c r="J31" s="932"/>
      <c r="K31" s="203"/>
      <c r="L31" s="934">
        <v>5.0999999999999997E-2</v>
      </c>
    </row>
    <row r="32" spans="1:27" ht="27.95" customHeight="1" x14ac:dyDescent="0.25">
      <c r="B32" s="718"/>
      <c r="C32" s="717"/>
      <c r="D32" s="207"/>
      <c r="E32" s="707"/>
      <c r="F32" s="935" t="str">
        <f>IFERROR(VLOOKUP(C32,FAEI!$K$13:$L$21,2,FALSE),"")</f>
        <v/>
      </c>
      <c r="G32" s="207"/>
      <c r="H32" s="733"/>
      <c r="I32" s="814" t="str">
        <f>IFERROR(IF(VLOOKUP($C32,FAEI!$K$13:$N$21,3,FALSE)="","",VLOOKUP($C32,FAEI!$K$13:$N$21,3,FALSE)),"")</f>
        <v/>
      </c>
      <c r="J32" s="707"/>
      <c r="K32" s="731"/>
      <c r="L32" s="670" t="str">
        <f t="shared" ref="L32:L63" si="0">IFERROR(IF(J32="",I32*E32,J32*E32),"")</f>
        <v/>
      </c>
      <c r="M32" s="1093" t="str">
        <f>IF(E32="","",IFERROR(E32*1,"Erro, confira o valor da quantidade produzida em média por ano"))</f>
        <v/>
      </c>
    </row>
    <row r="33" spans="2:13" ht="27.95" customHeight="1" x14ac:dyDescent="0.25">
      <c r="B33" s="718"/>
      <c r="C33" s="717"/>
      <c r="D33" s="207"/>
      <c r="E33" s="707"/>
      <c r="F33" s="935" t="str">
        <f>IFERROR(VLOOKUP(C33,FAEI!$K$13:$L$21,2,FALSE),"")</f>
        <v/>
      </c>
      <c r="G33" s="207"/>
      <c r="H33" s="733"/>
      <c r="I33" s="814" t="str">
        <f>IFERROR(IF(VLOOKUP($C33,FAEI!$K$13:$N$21,3,FALSE)="","",VLOOKUP($C33,FAEI!$K$13:$N$21,3,FALSE)),"")</f>
        <v/>
      </c>
      <c r="J33" s="707"/>
      <c r="K33" s="731"/>
      <c r="L33" s="670" t="str">
        <f t="shared" si="0"/>
        <v/>
      </c>
      <c r="M33" s="1093" t="str">
        <f t="shared" ref="M33:M96" si="1">IF(E33="","",IFERROR(E33*1,"Erro, confira o valor da quantidade produzida em média por ano"))</f>
        <v/>
      </c>
    </row>
    <row r="34" spans="2:13" ht="27.95" customHeight="1" x14ac:dyDescent="0.25">
      <c r="B34" s="718"/>
      <c r="C34" s="717"/>
      <c r="D34" s="207"/>
      <c r="E34" s="707"/>
      <c r="F34" s="935" t="str">
        <f>IFERROR(VLOOKUP(C34,FAEI!$K$13:$L$21,2,FALSE),"")</f>
        <v/>
      </c>
      <c r="G34" s="207"/>
      <c r="H34" s="733"/>
      <c r="I34" s="814" t="str">
        <f>IFERROR(IF(VLOOKUP($C34,FAEI!$K$13:$N$21,3,FALSE)="","",VLOOKUP($C34,FAEI!$K$13:$N$21,3,FALSE)),"")</f>
        <v/>
      </c>
      <c r="J34" s="707"/>
      <c r="K34" s="731"/>
      <c r="L34" s="670" t="str">
        <f t="shared" si="0"/>
        <v/>
      </c>
      <c r="M34" s="1093" t="str">
        <f t="shared" si="1"/>
        <v/>
      </c>
    </row>
    <row r="35" spans="2:13" ht="27.95" customHeight="1" x14ac:dyDescent="0.25">
      <c r="B35" s="718"/>
      <c r="C35" s="717"/>
      <c r="D35" s="207"/>
      <c r="E35" s="707"/>
      <c r="F35" s="935" t="str">
        <f>IFERROR(VLOOKUP(C35,FAEI!$K$13:$L$21,2,FALSE),"")</f>
        <v/>
      </c>
      <c r="G35" s="207"/>
      <c r="H35" s="733"/>
      <c r="I35" s="814" t="str">
        <f>IFERROR(IF(VLOOKUP($C35,FAEI!$K$13:$N$21,3,FALSE)="","",VLOOKUP($C35,FAEI!$K$13:$N$21,3,FALSE)),"")</f>
        <v/>
      </c>
      <c r="J35" s="707"/>
      <c r="K35" s="731"/>
      <c r="L35" s="670" t="str">
        <f t="shared" si="0"/>
        <v/>
      </c>
      <c r="M35" s="1093" t="str">
        <f t="shared" si="1"/>
        <v/>
      </c>
    </row>
    <row r="36" spans="2:13" ht="27.95" customHeight="1" x14ac:dyDescent="0.25">
      <c r="B36" s="718"/>
      <c r="C36" s="717"/>
      <c r="D36" s="207"/>
      <c r="E36" s="707"/>
      <c r="F36" s="935" t="str">
        <f>IFERROR(VLOOKUP(C36,FAEI!$K$13:$L$21,2,FALSE),"")</f>
        <v/>
      </c>
      <c r="G36" s="207"/>
      <c r="H36" s="733"/>
      <c r="I36" s="814" t="str">
        <f>IFERROR(IF(VLOOKUP($C36,FAEI!$K$13:$N$21,3,FALSE)="","",VLOOKUP($C36,FAEI!$K$13:$N$21,3,FALSE)),"")</f>
        <v/>
      </c>
      <c r="J36" s="707"/>
      <c r="K36" s="731"/>
      <c r="L36" s="670" t="str">
        <f t="shared" si="0"/>
        <v/>
      </c>
      <c r="M36" s="1093" t="str">
        <f t="shared" si="1"/>
        <v/>
      </c>
    </row>
    <row r="37" spans="2:13" ht="27.95" customHeight="1" x14ac:dyDescent="0.25">
      <c r="B37" s="718"/>
      <c r="C37" s="717"/>
      <c r="D37" s="207"/>
      <c r="E37" s="707"/>
      <c r="F37" s="935" t="str">
        <f>IFERROR(VLOOKUP(C37,FAEI!$K$13:$L$21,2,FALSE),"")</f>
        <v/>
      </c>
      <c r="G37" s="207"/>
      <c r="H37" s="733"/>
      <c r="I37" s="814" t="str">
        <f>IFERROR(IF(VLOOKUP($C37,FAEI!$K$13:$N$21,3,FALSE)="","",VLOOKUP($C37,FAEI!$K$13:$N$21,3,FALSE)),"")</f>
        <v/>
      </c>
      <c r="J37" s="707"/>
      <c r="K37" s="731"/>
      <c r="L37" s="670" t="str">
        <f t="shared" si="0"/>
        <v/>
      </c>
      <c r="M37" s="1093" t="str">
        <f t="shared" si="1"/>
        <v/>
      </c>
    </row>
    <row r="38" spans="2:13" ht="27.95" customHeight="1" x14ac:dyDescent="0.25">
      <c r="B38" s="718"/>
      <c r="C38" s="717"/>
      <c r="D38" s="207"/>
      <c r="E38" s="707"/>
      <c r="F38" s="935" t="str">
        <f>IFERROR(VLOOKUP(C38,FAEI!$K$13:$L$21,2,FALSE),"")</f>
        <v/>
      </c>
      <c r="G38" s="207"/>
      <c r="H38" s="733"/>
      <c r="I38" s="814" t="str">
        <f>IFERROR(IF(VLOOKUP($C38,FAEI!$K$13:$N$21,3,FALSE)="","",VLOOKUP($C38,FAEI!$K$13:$N$21,3,FALSE)),"")</f>
        <v/>
      </c>
      <c r="J38" s="707"/>
      <c r="K38" s="731"/>
      <c r="L38" s="670" t="str">
        <f t="shared" si="0"/>
        <v/>
      </c>
      <c r="M38" s="1093" t="str">
        <f t="shared" si="1"/>
        <v/>
      </c>
    </row>
    <row r="39" spans="2:13" ht="27.95" customHeight="1" x14ac:dyDescent="0.25">
      <c r="B39" s="718"/>
      <c r="C39" s="717"/>
      <c r="D39" s="207"/>
      <c r="E39" s="707"/>
      <c r="F39" s="935" t="str">
        <f>IFERROR(VLOOKUP(C39,FAEI!$K$13:$L$21,2,FALSE),"")</f>
        <v/>
      </c>
      <c r="G39" s="207"/>
      <c r="H39" s="733"/>
      <c r="I39" s="814" t="str">
        <f>IFERROR(IF(VLOOKUP($C39,FAEI!$K$13:$N$21,3,FALSE)="","",VLOOKUP($C39,FAEI!$K$13:$N$21,3,FALSE)),"")</f>
        <v/>
      </c>
      <c r="J39" s="707"/>
      <c r="K39" s="731"/>
      <c r="L39" s="670" t="str">
        <f t="shared" si="0"/>
        <v/>
      </c>
      <c r="M39" s="1093" t="str">
        <f t="shared" si="1"/>
        <v/>
      </c>
    </row>
    <row r="40" spans="2:13" ht="27.95" customHeight="1" x14ac:dyDescent="0.25">
      <c r="B40" s="718"/>
      <c r="C40" s="717"/>
      <c r="D40" s="207"/>
      <c r="E40" s="707"/>
      <c r="F40" s="935" t="str">
        <f>IFERROR(VLOOKUP(C40,FAEI!$K$13:$L$21,2,FALSE),"")</f>
        <v/>
      </c>
      <c r="G40" s="207"/>
      <c r="H40" s="733"/>
      <c r="I40" s="814" t="str">
        <f>IFERROR(IF(VLOOKUP($C40,FAEI!$K$13:$N$21,3,FALSE)="","",VLOOKUP($C40,FAEI!$K$13:$N$21,3,FALSE)),"")</f>
        <v/>
      </c>
      <c r="J40" s="707"/>
      <c r="K40" s="731"/>
      <c r="L40" s="670" t="str">
        <f t="shared" si="0"/>
        <v/>
      </c>
      <c r="M40" s="1093" t="str">
        <f t="shared" si="1"/>
        <v/>
      </c>
    </row>
    <row r="41" spans="2:13" ht="27.95" customHeight="1" x14ac:dyDescent="0.25">
      <c r="B41" s="718"/>
      <c r="C41" s="717"/>
      <c r="D41" s="207"/>
      <c r="E41" s="707"/>
      <c r="F41" s="935" t="str">
        <f>IFERROR(VLOOKUP(C41,FAEI!$K$13:$L$21,2,FALSE),"")</f>
        <v/>
      </c>
      <c r="G41" s="207"/>
      <c r="H41" s="733"/>
      <c r="I41" s="814" t="str">
        <f>IFERROR(IF(VLOOKUP($C41,FAEI!$K$13:$N$21,3,FALSE)="","",VLOOKUP($C41,FAEI!$K$13:$N$21,3,FALSE)),"")</f>
        <v/>
      </c>
      <c r="J41" s="707"/>
      <c r="K41" s="731"/>
      <c r="L41" s="670" t="str">
        <f t="shared" si="0"/>
        <v/>
      </c>
      <c r="M41" s="1093" t="str">
        <f t="shared" si="1"/>
        <v/>
      </c>
    </row>
    <row r="42" spans="2:13" ht="27.95" customHeight="1" x14ac:dyDescent="0.25">
      <c r="B42" s="718"/>
      <c r="C42" s="717"/>
      <c r="D42" s="207"/>
      <c r="E42" s="707"/>
      <c r="F42" s="935" t="str">
        <f>IFERROR(VLOOKUP(C42,FAEI!$K$13:$L$21,2,FALSE),"")</f>
        <v/>
      </c>
      <c r="G42" s="207"/>
      <c r="H42" s="733"/>
      <c r="I42" s="814" t="str">
        <f>IFERROR(IF(VLOOKUP($C42,FAEI!$K$13:$N$21,3,FALSE)="","",VLOOKUP($C42,FAEI!$K$13:$N$21,3,FALSE)),"")</f>
        <v/>
      </c>
      <c r="J42" s="707"/>
      <c r="K42" s="731"/>
      <c r="L42" s="670" t="str">
        <f t="shared" si="0"/>
        <v/>
      </c>
      <c r="M42" s="1093" t="str">
        <f t="shared" si="1"/>
        <v/>
      </c>
    </row>
    <row r="43" spans="2:13" ht="27.95" hidden="1" customHeight="1" outlineLevel="1" x14ac:dyDescent="0.25">
      <c r="B43" s="718"/>
      <c r="C43" s="717"/>
      <c r="D43" s="207"/>
      <c r="E43" s="707"/>
      <c r="F43" s="935" t="str">
        <f>IFERROR(VLOOKUP(C43,FAEI!$K$13:$L$21,2,FALSE),"")</f>
        <v/>
      </c>
      <c r="G43" s="207"/>
      <c r="H43" s="733"/>
      <c r="I43" s="814" t="str">
        <f>IFERROR(IF(VLOOKUP($C43,FAEI!$K$13:$N$21,3,FALSE)="","",VLOOKUP($C43,FAEI!$K$13:$N$21,3,FALSE)),"")</f>
        <v/>
      </c>
      <c r="J43" s="707"/>
      <c r="K43" s="731"/>
      <c r="L43" s="670" t="str">
        <f t="shared" si="0"/>
        <v/>
      </c>
      <c r="M43" s="1093" t="str">
        <f t="shared" si="1"/>
        <v/>
      </c>
    </row>
    <row r="44" spans="2:13" ht="27.95" hidden="1" customHeight="1" outlineLevel="1" x14ac:dyDescent="0.25">
      <c r="B44" s="718"/>
      <c r="C44" s="717"/>
      <c r="D44" s="207"/>
      <c r="E44" s="707"/>
      <c r="F44" s="935" t="str">
        <f>IFERROR(VLOOKUP(C44,FAEI!$K$13:$L$21,2,FALSE),"")</f>
        <v/>
      </c>
      <c r="G44" s="207"/>
      <c r="H44" s="733"/>
      <c r="I44" s="814" t="str">
        <f>IFERROR(IF(VLOOKUP($C44,FAEI!$K$13:$N$21,3,FALSE)="","",VLOOKUP($C44,FAEI!$K$13:$N$21,3,FALSE)),"")</f>
        <v/>
      </c>
      <c r="J44" s="707"/>
      <c r="K44" s="731"/>
      <c r="L44" s="670" t="str">
        <f t="shared" si="0"/>
        <v/>
      </c>
      <c r="M44" s="1093" t="str">
        <f t="shared" si="1"/>
        <v/>
      </c>
    </row>
    <row r="45" spans="2:13" ht="27.95" hidden="1" customHeight="1" outlineLevel="1" x14ac:dyDescent="0.25">
      <c r="B45" s="718"/>
      <c r="C45" s="717"/>
      <c r="D45" s="207"/>
      <c r="E45" s="707"/>
      <c r="F45" s="935" t="str">
        <f>IFERROR(VLOOKUP(C45,FAEI!$K$13:$L$21,2,FALSE),"")</f>
        <v/>
      </c>
      <c r="G45" s="207"/>
      <c r="H45" s="733"/>
      <c r="I45" s="814" t="str">
        <f>IFERROR(IF(VLOOKUP($C45,FAEI!$K$13:$N$21,3,FALSE)="","",VLOOKUP($C45,FAEI!$K$13:$N$21,3,FALSE)),"")</f>
        <v/>
      </c>
      <c r="J45" s="707"/>
      <c r="K45" s="731"/>
      <c r="L45" s="670" t="str">
        <f t="shared" si="0"/>
        <v/>
      </c>
      <c r="M45" s="1093" t="str">
        <f t="shared" si="1"/>
        <v/>
      </c>
    </row>
    <row r="46" spans="2:13" ht="27.95" hidden="1" customHeight="1" outlineLevel="1" x14ac:dyDescent="0.25">
      <c r="B46" s="718"/>
      <c r="C46" s="717"/>
      <c r="D46" s="207"/>
      <c r="E46" s="707"/>
      <c r="F46" s="935" t="str">
        <f>IFERROR(VLOOKUP(C46,FAEI!$K$13:$L$21,2,FALSE),"")</f>
        <v/>
      </c>
      <c r="G46" s="207"/>
      <c r="H46" s="733"/>
      <c r="I46" s="814" t="str">
        <f>IFERROR(IF(VLOOKUP($C46,FAEI!$K$13:$N$21,3,FALSE)="","",VLOOKUP($C46,FAEI!$K$13:$N$21,3,FALSE)),"")</f>
        <v/>
      </c>
      <c r="J46" s="707"/>
      <c r="K46" s="731"/>
      <c r="L46" s="670" t="str">
        <f t="shared" si="0"/>
        <v/>
      </c>
      <c r="M46" s="1093" t="str">
        <f t="shared" si="1"/>
        <v/>
      </c>
    </row>
    <row r="47" spans="2:13" ht="27.95" hidden="1" customHeight="1" outlineLevel="1" x14ac:dyDescent="0.25">
      <c r="B47" s="718"/>
      <c r="C47" s="717"/>
      <c r="D47" s="207"/>
      <c r="E47" s="707"/>
      <c r="F47" s="935" t="str">
        <f>IFERROR(VLOOKUP(C47,FAEI!$K$13:$L$21,2,FALSE),"")</f>
        <v/>
      </c>
      <c r="G47" s="207"/>
      <c r="H47" s="733"/>
      <c r="I47" s="814" t="str">
        <f>IFERROR(IF(VLOOKUP($C47,FAEI!$K$13:$N$21,3,FALSE)="","",VLOOKUP($C47,FAEI!$K$13:$N$21,3,FALSE)),"")</f>
        <v/>
      </c>
      <c r="J47" s="707"/>
      <c r="K47" s="731"/>
      <c r="L47" s="670" t="str">
        <f t="shared" si="0"/>
        <v/>
      </c>
      <c r="M47" s="1093" t="str">
        <f t="shared" si="1"/>
        <v/>
      </c>
    </row>
    <row r="48" spans="2:13" ht="27.95" hidden="1" customHeight="1" outlineLevel="1" x14ac:dyDescent="0.25">
      <c r="B48" s="718"/>
      <c r="C48" s="717"/>
      <c r="D48" s="207"/>
      <c r="E48" s="707"/>
      <c r="F48" s="935" t="str">
        <f>IFERROR(VLOOKUP(C48,FAEI!$K$13:$L$21,2,FALSE),"")</f>
        <v/>
      </c>
      <c r="G48" s="207"/>
      <c r="H48" s="733"/>
      <c r="I48" s="814" t="str">
        <f>IFERROR(IF(VLOOKUP($C48,FAEI!$K$13:$N$21,3,FALSE)="","",VLOOKUP($C48,FAEI!$K$13:$N$21,3,FALSE)),"")</f>
        <v/>
      </c>
      <c r="J48" s="707"/>
      <c r="K48" s="731"/>
      <c r="L48" s="670" t="str">
        <f t="shared" si="0"/>
        <v/>
      </c>
      <c r="M48" s="1093" t="str">
        <f t="shared" si="1"/>
        <v/>
      </c>
    </row>
    <row r="49" spans="2:13" ht="27.95" hidden="1" customHeight="1" outlineLevel="1" x14ac:dyDescent="0.25">
      <c r="B49" s="718"/>
      <c r="C49" s="717"/>
      <c r="D49" s="207"/>
      <c r="E49" s="707"/>
      <c r="F49" s="935" t="str">
        <f>IFERROR(VLOOKUP(C49,FAEI!$K$13:$L$21,2,FALSE),"")</f>
        <v/>
      </c>
      <c r="G49" s="207"/>
      <c r="H49" s="733"/>
      <c r="I49" s="814" t="str">
        <f>IFERROR(IF(VLOOKUP($C49,FAEI!$K$13:$N$21,3,FALSE)="","",VLOOKUP($C49,FAEI!$K$13:$N$21,3,FALSE)),"")</f>
        <v/>
      </c>
      <c r="J49" s="707"/>
      <c r="K49" s="731"/>
      <c r="L49" s="670" t="str">
        <f t="shared" si="0"/>
        <v/>
      </c>
      <c r="M49" s="1093" t="str">
        <f t="shared" si="1"/>
        <v/>
      </c>
    </row>
    <row r="50" spans="2:13" ht="27.95" hidden="1" customHeight="1" outlineLevel="1" x14ac:dyDescent="0.25">
      <c r="B50" s="718"/>
      <c r="C50" s="717"/>
      <c r="D50" s="207"/>
      <c r="E50" s="707"/>
      <c r="F50" s="935" t="str">
        <f>IFERROR(VLOOKUP(C50,FAEI!$K$13:$L$21,2,FALSE),"")</f>
        <v/>
      </c>
      <c r="G50" s="207"/>
      <c r="H50" s="733"/>
      <c r="I50" s="814" t="str">
        <f>IFERROR(IF(VLOOKUP($C50,FAEI!$K$13:$N$21,3,FALSE)="","",VLOOKUP($C50,FAEI!$K$13:$N$21,3,FALSE)),"")</f>
        <v/>
      </c>
      <c r="J50" s="707"/>
      <c r="K50" s="731"/>
      <c r="L50" s="670" t="str">
        <f t="shared" si="0"/>
        <v/>
      </c>
      <c r="M50" s="1093" t="str">
        <f t="shared" si="1"/>
        <v/>
      </c>
    </row>
    <row r="51" spans="2:13" ht="27.95" hidden="1" customHeight="1" outlineLevel="1" x14ac:dyDescent="0.25">
      <c r="B51" s="718"/>
      <c r="C51" s="717"/>
      <c r="D51" s="207"/>
      <c r="E51" s="707"/>
      <c r="F51" s="935" t="str">
        <f>IFERROR(VLOOKUP(C51,FAEI!$K$13:$L$21,2,FALSE),"")</f>
        <v/>
      </c>
      <c r="G51" s="207"/>
      <c r="H51" s="733"/>
      <c r="I51" s="814" t="str">
        <f>IFERROR(IF(VLOOKUP($C51,FAEI!$K$13:$N$21,3,FALSE)="","",VLOOKUP($C51,FAEI!$K$13:$N$21,3,FALSE)),"")</f>
        <v/>
      </c>
      <c r="J51" s="707"/>
      <c r="K51" s="731"/>
      <c r="L51" s="670" t="str">
        <f t="shared" si="0"/>
        <v/>
      </c>
      <c r="M51" s="1093" t="str">
        <f t="shared" si="1"/>
        <v/>
      </c>
    </row>
    <row r="52" spans="2:13" ht="27.95" hidden="1" customHeight="1" outlineLevel="1" x14ac:dyDescent="0.25">
      <c r="B52" s="718"/>
      <c r="C52" s="717"/>
      <c r="D52" s="207"/>
      <c r="E52" s="707"/>
      <c r="F52" s="935" t="str">
        <f>IFERROR(VLOOKUP(C52,FAEI!$K$13:$L$21,2,FALSE),"")</f>
        <v/>
      </c>
      <c r="G52" s="207"/>
      <c r="H52" s="733"/>
      <c r="I52" s="814" t="str">
        <f>IFERROR(IF(VLOOKUP($C52,FAEI!$K$13:$N$21,3,FALSE)="","",VLOOKUP($C52,FAEI!$K$13:$N$21,3,FALSE)),"")</f>
        <v/>
      </c>
      <c r="J52" s="707"/>
      <c r="K52" s="731"/>
      <c r="L52" s="670" t="str">
        <f t="shared" si="0"/>
        <v/>
      </c>
      <c r="M52" s="1093" t="str">
        <f t="shared" si="1"/>
        <v/>
      </c>
    </row>
    <row r="53" spans="2:13" ht="27.95" hidden="1" customHeight="1" outlineLevel="1" x14ac:dyDescent="0.25">
      <c r="B53" s="718"/>
      <c r="C53" s="717"/>
      <c r="D53" s="207"/>
      <c r="E53" s="707"/>
      <c r="F53" s="935" t="str">
        <f>IFERROR(VLOOKUP(C53,FAEI!$K$13:$L$21,2,FALSE),"")</f>
        <v/>
      </c>
      <c r="G53" s="207"/>
      <c r="H53" s="733"/>
      <c r="I53" s="814" t="str">
        <f>IFERROR(IF(VLOOKUP($C53,FAEI!$K$13:$N$21,3,FALSE)="","",VLOOKUP($C53,FAEI!$K$13:$N$21,3,FALSE)),"")</f>
        <v/>
      </c>
      <c r="J53" s="707"/>
      <c r="K53" s="731"/>
      <c r="L53" s="670" t="str">
        <f t="shared" si="0"/>
        <v/>
      </c>
      <c r="M53" s="1093" t="str">
        <f t="shared" si="1"/>
        <v/>
      </c>
    </row>
    <row r="54" spans="2:13" ht="27.95" hidden="1" customHeight="1" outlineLevel="1" x14ac:dyDescent="0.25">
      <c r="B54" s="718"/>
      <c r="C54" s="717"/>
      <c r="D54" s="207"/>
      <c r="E54" s="707"/>
      <c r="F54" s="935" t="str">
        <f>IFERROR(VLOOKUP(C54,FAEI!$K$13:$L$21,2,FALSE),"")</f>
        <v/>
      </c>
      <c r="G54" s="207"/>
      <c r="H54" s="733"/>
      <c r="I54" s="814" t="str">
        <f>IFERROR(IF(VLOOKUP($C54,FAEI!$K$13:$N$21,3,FALSE)="","",VLOOKUP($C54,FAEI!$K$13:$N$21,3,FALSE)),"")</f>
        <v/>
      </c>
      <c r="J54" s="707"/>
      <c r="K54" s="731"/>
      <c r="L54" s="670" t="str">
        <f t="shared" si="0"/>
        <v/>
      </c>
      <c r="M54" s="1093" t="str">
        <f t="shared" si="1"/>
        <v/>
      </c>
    </row>
    <row r="55" spans="2:13" ht="27.95" hidden="1" customHeight="1" outlineLevel="1" x14ac:dyDescent="0.25">
      <c r="B55" s="718"/>
      <c r="C55" s="717"/>
      <c r="D55" s="207"/>
      <c r="E55" s="707"/>
      <c r="F55" s="935" t="str">
        <f>IFERROR(VLOOKUP(C55,FAEI!$K$13:$L$21,2,FALSE),"")</f>
        <v/>
      </c>
      <c r="G55" s="207"/>
      <c r="H55" s="733"/>
      <c r="I55" s="814" t="str">
        <f>IFERROR(IF(VLOOKUP($C55,FAEI!$K$13:$N$21,3,FALSE)="","",VLOOKUP($C55,FAEI!$K$13:$N$21,3,FALSE)),"")</f>
        <v/>
      </c>
      <c r="J55" s="707"/>
      <c r="K55" s="731"/>
      <c r="L55" s="670" t="str">
        <f t="shared" si="0"/>
        <v/>
      </c>
      <c r="M55" s="1093" t="str">
        <f t="shared" si="1"/>
        <v/>
      </c>
    </row>
    <row r="56" spans="2:13" ht="27.95" hidden="1" customHeight="1" outlineLevel="1" x14ac:dyDescent="0.25">
      <c r="B56" s="718"/>
      <c r="C56" s="717"/>
      <c r="D56" s="207"/>
      <c r="E56" s="707"/>
      <c r="F56" s="935" t="str">
        <f>IFERROR(VLOOKUP(C56,FAEI!$K$13:$L$21,2,FALSE),"")</f>
        <v/>
      </c>
      <c r="G56" s="207"/>
      <c r="H56" s="733"/>
      <c r="I56" s="814" t="str">
        <f>IFERROR(IF(VLOOKUP($C56,FAEI!$K$13:$N$21,3,FALSE)="","",VLOOKUP($C56,FAEI!$K$13:$N$21,3,FALSE)),"")</f>
        <v/>
      </c>
      <c r="J56" s="707"/>
      <c r="K56" s="731"/>
      <c r="L56" s="670" t="str">
        <f t="shared" si="0"/>
        <v/>
      </c>
      <c r="M56" s="1093" t="str">
        <f t="shared" si="1"/>
        <v/>
      </c>
    </row>
    <row r="57" spans="2:13" ht="27.95" hidden="1" customHeight="1" outlineLevel="1" x14ac:dyDescent="0.25">
      <c r="B57" s="718"/>
      <c r="C57" s="717"/>
      <c r="D57" s="207"/>
      <c r="E57" s="707"/>
      <c r="F57" s="935" t="str">
        <f>IFERROR(VLOOKUP(C57,FAEI!$K$13:$L$21,2,FALSE),"")</f>
        <v/>
      </c>
      <c r="G57" s="207"/>
      <c r="H57" s="733"/>
      <c r="I57" s="814" t="str">
        <f>IFERROR(IF(VLOOKUP($C57,FAEI!$K$13:$N$21,3,FALSE)="","",VLOOKUP($C57,FAEI!$K$13:$N$21,3,FALSE)),"")</f>
        <v/>
      </c>
      <c r="J57" s="707"/>
      <c r="K57" s="731"/>
      <c r="L57" s="670" t="str">
        <f t="shared" si="0"/>
        <v/>
      </c>
      <c r="M57" s="1093" t="str">
        <f t="shared" si="1"/>
        <v/>
      </c>
    </row>
    <row r="58" spans="2:13" ht="27.95" hidden="1" customHeight="1" outlineLevel="1" x14ac:dyDescent="0.25">
      <c r="B58" s="718"/>
      <c r="C58" s="717"/>
      <c r="D58" s="207"/>
      <c r="E58" s="707"/>
      <c r="F58" s="935" t="str">
        <f>IFERROR(VLOOKUP(C58,FAEI!$K$13:$L$21,2,FALSE),"")</f>
        <v/>
      </c>
      <c r="G58" s="207"/>
      <c r="H58" s="733"/>
      <c r="I58" s="814" t="str">
        <f>IFERROR(IF(VLOOKUP($C58,FAEI!$K$13:$N$21,3,FALSE)="","",VLOOKUP($C58,FAEI!$K$13:$N$21,3,FALSE)),"")</f>
        <v/>
      </c>
      <c r="J58" s="707"/>
      <c r="K58" s="731"/>
      <c r="L58" s="670" t="str">
        <f t="shared" si="0"/>
        <v/>
      </c>
      <c r="M58" s="1093" t="str">
        <f t="shared" si="1"/>
        <v/>
      </c>
    </row>
    <row r="59" spans="2:13" ht="27.95" hidden="1" customHeight="1" outlineLevel="1" x14ac:dyDescent="0.25">
      <c r="B59" s="718"/>
      <c r="C59" s="717"/>
      <c r="D59" s="207"/>
      <c r="E59" s="707"/>
      <c r="F59" s="935" t="str">
        <f>IFERROR(VLOOKUP(C59,FAEI!$K$13:$L$21,2,FALSE),"")</f>
        <v/>
      </c>
      <c r="G59" s="207"/>
      <c r="H59" s="733"/>
      <c r="I59" s="814" t="str">
        <f>IFERROR(IF(VLOOKUP($C59,FAEI!$K$13:$N$21,3,FALSE)="","",VLOOKUP($C59,FAEI!$K$13:$N$21,3,FALSE)),"")</f>
        <v/>
      </c>
      <c r="J59" s="707"/>
      <c r="K59" s="731"/>
      <c r="L59" s="670" t="str">
        <f t="shared" si="0"/>
        <v/>
      </c>
      <c r="M59" s="1093" t="str">
        <f t="shared" si="1"/>
        <v/>
      </c>
    </row>
    <row r="60" spans="2:13" ht="27.95" hidden="1" customHeight="1" outlineLevel="1" x14ac:dyDescent="0.25">
      <c r="B60" s="718"/>
      <c r="C60" s="717"/>
      <c r="D60" s="207"/>
      <c r="E60" s="707"/>
      <c r="F60" s="935" t="str">
        <f>IFERROR(VLOOKUP(C60,FAEI!$K$13:$L$21,2,FALSE),"")</f>
        <v/>
      </c>
      <c r="G60" s="207"/>
      <c r="H60" s="733"/>
      <c r="I60" s="814" t="str">
        <f>IFERROR(IF(VLOOKUP($C60,FAEI!$K$13:$N$21,3,FALSE)="","",VLOOKUP($C60,FAEI!$K$13:$N$21,3,FALSE)),"")</f>
        <v/>
      </c>
      <c r="J60" s="707"/>
      <c r="K60" s="731"/>
      <c r="L60" s="670" t="str">
        <f t="shared" si="0"/>
        <v/>
      </c>
      <c r="M60" s="1093" t="str">
        <f t="shared" si="1"/>
        <v/>
      </c>
    </row>
    <row r="61" spans="2:13" ht="27.95" hidden="1" customHeight="1" outlineLevel="1" x14ac:dyDescent="0.25">
      <c r="B61" s="718"/>
      <c r="C61" s="717"/>
      <c r="D61" s="207"/>
      <c r="E61" s="707"/>
      <c r="F61" s="935" t="str">
        <f>IFERROR(VLOOKUP(C61,FAEI!$K$13:$L$21,2,FALSE),"")</f>
        <v/>
      </c>
      <c r="G61" s="207"/>
      <c r="H61" s="733"/>
      <c r="I61" s="814" t="str">
        <f>IFERROR(IF(VLOOKUP($C61,FAEI!$K$13:$N$21,3,FALSE)="","",VLOOKUP($C61,FAEI!$K$13:$N$21,3,FALSE)),"")</f>
        <v/>
      </c>
      <c r="J61" s="707"/>
      <c r="K61" s="731"/>
      <c r="L61" s="670" t="str">
        <f t="shared" si="0"/>
        <v/>
      </c>
      <c r="M61" s="1093" t="str">
        <f t="shared" si="1"/>
        <v/>
      </c>
    </row>
    <row r="62" spans="2:13" ht="27.95" hidden="1" customHeight="1" outlineLevel="1" x14ac:dyDescent="0.25">
      <c r="B62" s="718"/>
      <c r="C62" s="717"/>
      <c r="D62" s="207"/>
      <c r="E62" s="707"/>
      <c r="F62" s="935" t="str">
        <f>IFERROR(VLOOKUP(C62,FAEI!$K$13:$L$21,2,FALSE),"")</f>
        <v/>
      </c>
      <c r="G62" s="207"/>
      <c r="H62" s="733"/>
      <c r="I62" s="814" t="str">
        <f>IFERROR(IF(VLOOKUP($C62,FAEI!$K$13:$N$21,3,FALSE)="","",VLOOKUP($C62,FAEI!$K$13:$N$21,3,FALSE)),"")</f>
        <v/>
      </c>
      <c r="J62" s="707"/>
      <c r="K62" s="731"/>
      <c r="L62" s="670" t="str">
        <f t="shared" si="0"/>
        <v/>
      </c>
      <c r="M62" s="1093" t="str">
        <f t="shared" si="1"/>
        <v/>
      </c>
    </row>
    <row r="63" spans="2:13" ht="27.95" hidden="1" customHeight="1" outlineLevel="1" x14ac:dyDescent="0.25">
      <c r="B63" s="718"/>
      <c r="C63" s="717"/>
      <c r="D63" s="207"/>
      <c r="E63" s="707"/>
      <c r="F63" s="935" t="str">
        <f>IFERROR(VLOOKUP(C63,FAEI!$K$13:$L$21,2,FALSE),"")</f>
        <v/>
      </c>
      <c r="G63" s="207"/>
      <c r="H63" s="733"/>
      <c r="I63" s="814" t="str">
        <f>IFERROR(IF(VLOOKUP($C63,FAEI!$K$13:$N$21,3,FALSE)="","",VLOOKUP($C63,FAEI!$K$13:$N$21,3,FALSE)),"")</f>
        <v/>
      </c>
      <c r="J63" s="707"/>
      <c r="K63" s="731"/>
      <c r="L63" s="670" t="str">
        <f t="shared" si="0"/>
        <v/>
      </c>
      <c r="M63" s="1093" t="str">
        <f t="shared" si="1"/>
        <v/>
      </c>
    </row>
    <row r="64" spans="2:13" ht="27.95" hidden="1" customHeight="1" outlineLevel="1" x14ac:dyDescent="0.25">
      <c r="B64" s="718"/>
      <c r="C64" s="717"/>
      <c r="D64" s="207"/>
      <c r="E64" s="707"/>
      <c r="F64" s="935" t="str">
        <f>IFERROR(VLOOKUP(C64,FAEI!$K$13:$L$21,2,FALSE),"")</f>
        <v/>
      </c>
      <c r="G64" s="207"/>
      <c r="H64" s="733"/>
      <c r="I64" s="814" t="str">
        <f>IFERROR(IF(VLOOKUP($C64,FAEI!$K$13:$N$21,3,FALSE)="","",VLOOKUP($C64,FAEI!$K$13:$N$21,3,FALSE)),"")</f>
        <v/>
      </c>
      <c r="J64" s="707"/>
      <c r="K64" s="731"/>
      <c r="L64" s="670" t="str">
        <f t="shared" ref="L64:L95" si="2">IFERROR(IF(J64="",I64*E64,J64*E64),"")</f>
        <v/>
      </c>
      <c r="M64" s="1093" t="str">
        <f t="shared" si="1"/>
        <v/>
      </c>
    </row>
    <row r="65" spans="2:13" ht="27.95" hidden="1" customHeight="1" outlineLevel="1" x14ac:dyDescent="0.25">
      <c r="B65" s="718"/>
      <c r="C65" s="717"/>
      <c r="D65" s="207"/>
      <c r="E65" s="707"/>
      <c r="F65" s="935" t="str">
        <f>IFERROR(VLOOKUP(C65,FAEI!$K$13:$L$21,2,FALSE),"")</f>
        <v/>
      </c>
      <c r="G65" s="207"/>
      <c r="H65" s="733"/>
      <c r="I65" s="814" t="str">
        <f>IFERROR(IF(VLOOKUP($C65,FAEI!$K$13:$N$21,3,FALSE)="","",VLOOKUP($C65,FAEI!$K$13:$N$21,3,FALSE)),"")</f>
        <v/>
      </c>
      <c r="J65" s="707"/>
      <c r="K65" s="731"/>
      <c r="L65" s="670" t="str">
        <f t="shared" si="2"/>
        <v/>
      </c>
      <c r="M65" s="1093" t="str">
        <f t="shared" si="1"/>
        <v/>
      </c>
    </row>
    <row r="66" spans="2:13" ht="27.95" hidden="1" customHeight="1" outlineLevel="1" x14ac:dyDescent="0.25">
      <c r="B66" s="718"/>
      <c r="C66" s="717"/>
      <c r="D66" s="207"/>
      <c r="E66" s="707"/>
      <c r="F66" s="935" t="str">
        <f>IFERROR(VLOOKUP(C66,FAEI!$K$13:$L$21,2,FALSE),"")</f>
        <v/>
      </c>
      <c r="G66" s="207"/>
      <c r="H66" s="733"/>
      <c r="I66" s="814" t="str">
        <f>IFERROR(IF(VLOOKUP($C66,FAEI!$K$13:$N$21,3,FALSE)="","",VLOOKUP($C66,FAEI!$K$13:$N$21,3,FALSE)),"")</f>
        <v/>
      </c>
      <c r="J66" s="707"/>
      <c r="K66" s="731"/>
      <c r="L66" s="670" t="str">
        <f t="shared" si="2"/>
        <v/>
      </c>
      <c r="M66" s="1093" t="str">
        <f t="shared" si="1"/>
        <v/>
      </c>
    </row>
    <row r="67" spans="2:13" ht="27.95" hidden="1" customHeight="1" outlineLevel="1" x14ac:dyDescent="0.25">
      <c r="B67" s="718"/>
      <c r="C67" s="717"/>
      <c r="D67" s="207"/>
      <c r="E67" s="707"/>
      <c r="F67" s="935" t="str">
        <f>IFERROR(VLOOKUP(C67,FAEI!$K$13:$L$21,2,FALSE),"")</f>
        <v/>
      </c>
      <c r="G67" s="207"/>
      <c r="H67" s="733"/>
      <c r="I67" s="814" t="str">
        <f>IFERROR(IF(VLOOKUP($C67,FAEI!$K$13:$N$21,3,FALSE)="","",VLOOKUP($C67,FAEI!$K$13:$N$21,3,FALSE)),"")</f>
        <v/>
      </c>
      <c r="J67" s="707"/>
      <c r="K67" s="731"/>
      <c r="L67" s="670" t="str">
        <f t="shared" si="2"/>
        <v/>
      </c>
      <c r="M67" s="1093" t="str">
        <f t="shared" si="1"/>
        <v/>
      </c>
    </row>
    <row r="68" spans="2:13" ht="27.95" hidden="1" customHeight="1" outlineLevel="1" x14ac:dyDescent="0.25">
      <c r="B68" s="718"/>
      <c r="C68" s="717"/>
      <c r="D68" s="207"/>
      <c r="E68" s="707"/>
      <c r="F68" s="935" t="str">
        <f>IFERROR(VLOOKUP(C68,FAEI!$K$13:$L$21,2,FALSE),"")</f>
        <v/>
      </c>
      <c r="G68" s="207"/>
      <c r="H68" s="733"/>
      <c r="I68" s="814" t="str">
        <f>IFERROR(IF(VLOOKUP($C68,FAEI!$K$13:$N$21,3,FALSE)="","",VLOOKUP($C68,FAEI!$K$13:$N$21,3,FALSE)),"")</f>
        <v/>
      </c>
      <c r="J68" s="707"/>
      <c r="K68" s="731"/>
      <c r="L68" s="670" t="str">
        <f t="shared" si="2"/>
        <v/>
      </c>
      <c r="M68" s="1093" t="str">
        <f t="shared" si="1"/>
        <v/>
      </c>
    </row>
    <row r="69" spans="2:13" ht="27.95" hidden="1" customHeight="1" outlineLevel="1" x14ac:dyDescent="0.25">
      <c r="B69" s="718"/>
      <c r="C69" s="717"/>
      <c r="D69" s="207"/>
      <c r="E69" s="707"/>
      <c r="F69" s="935" t="str">
        <f>IFERROR(VLOOKUP(C69,FAEI!$K$13:$L$21,2,FALSE),"")</f>
        <v/>
      </c>
      <c r="G69" s="207"/>
      <c r="H69" s="733"/>
      <c r="I69" s="814" t="str">
        <f>IFERROR(IF(VLOOKUP($C69,FAEI!$K$13:$N$21,3,FALSE)="","",VLOOKUP($C69,FAEI!$K$13:$N$21,3,FALSE)),"")</f>
        <v/>
      </c>
      <c r="J69" s="707"/>
      <c r="K69" s="731"/>
      <c r="L69" s="670" t="str">
        <f t="shared" si="2"/>
        <v/>
      </c>
      <c r="M69" s="1093" t="str">
        <f t="shared" si="1"/>
        <v/>
      </c>
    </row>
    <row r="70" spans="2:13" ht="27.95" hidden="1" customHeight="1" outlineLevel="1" x14ac:dyDescent="0.25">
      <c r="B70" s="718"/>
      <c r="C70" s="717"/>
      <c r="D70" s="207"/>
      <c r="E70" s="707"/>
      <c r="F70" s="935" t="str">
        <f>IFERROR(VLOOKUP(C70,FAEI!$K$13:$L$21,2,FALSE),"")</f>
        <v/>
      </c>
      <c r="G70" s="207"/>
      <c r="H70" s="733"/>
      <c r="I70" s="814" t="str">
        <f>IFERROR(IF(VLOOKUP($C70,FAEI!$K$13:$N$21,3,FALSE)="","",VLOOKUP($C70,FAEI!$K$13:$N$21,3,FALSE)),"")</f>
        <v/>
      </c>
      <c r="J70" s="707"/>
      <c r="K70" s="731"/>
      <c r="L70" s="670" t="str">
        <f t="shared" si="2"/>
        <v/>
      </c>
      <c r="M70" s="1093" t="str">
        <f t="shared" si="1"/>
        <v/>
      </c>
    </row>
    <row r="71" spans="2:13" ht="27.95" hidden="1" customHeight="1" outlineLevel="1" x14ac:dyDescent="0.25">
      <c r="B71" s="718"/>
      <c r="C71" s="717"/>
      <c r="D71" s="207"/>
      <c r="E71" s="707"/>
      <c r="F71" s="935" t="str">
        <f>IFERROR(VLOOKUP(C71,FAEI!$K$13:$L$21,2,FALSE),"")</f>
        <v/>
      </c>
      <c r="G71" s="207"/>
      <c r="H71" s="733"/>
      <c r="I71" s="814" t="str">
        <f>IFERROR(IF(VLOOKUP($C71,FAEI!$K$13:$N$21,3,FALSE)="","",VLOOKUP($C71,FAEI!$K$13:$N$21,3,FALSE)),"")</f>
        <v/>
      </c>
      <c r="J71" s="707"/>
      <c r="K71" s="731"/>
      <c r="L71" s="670" t="str">
        <f t="shared" si="2"/>
        <v/>
      </c>
      <c r="M71" s="1093" t="str">
        <f t="shared" si="1"/>
        <v/>
      </c>
    </row>
    <row r="72" spans="2:13" ht="27.95" hidden="1" customHeight="1" outlineLevel="1" x14ac:dyDescent="0.25">
      <c r="B72" s="718"/>
      <c r="C72" s="717"/>
      <c r="D72" s="207"/>
      <c r="E72" s="707"/>
      <c r="F72" s="935" t="str">
        <f>IFERROR(VLOOKUP(C72,FAEI!$K$13:$L$21,2,FALSE),"")</f>
        <v/>
      </c>
      <c r="G72" s="207"/>
      <c r="H72" s="733"/>
      <c r="I72" s="814" t="str">
        <f>IFERROR(IF(VLOOKUP($C72,FAEI!$K$13:$N$21,3,FALSE)="","",VLOOKUP($C72,FAEI!$K$13:$N$21,3,FALSE)),"")</f>
        <v/>
      </c>
      <c r="J72" s="707"/>
      <c r="K72" s="731"/>
      <c r="L72" s="670" t="str">
        <f t="shared" si="2"/>
        <v/>
      </c>
      <c r="M72" s="1093" t="str">
        <f t="shared" si="1"/>
        <v/>
      </c>
    </row>
    <row r="73" spans="2:13" ht="27.95" hidden="1" customHeight="1" outlineLevel="1" x14ac:dyDescent="0.25">
      <c r="B73" s="718"/>
      <c r="C73" s="717"/>
      <c r="D73" s="207"/>
      <c r="E73" s="707"/>
      <c r="F73" s="935" t="str">
        <f>IFERROR(VLOOKUP(C73,FAEI!$K$13:$L$21,2,FALSE),"")</f>
        <v/>
      </c>
      <c r="G73" s="207"/>
      <c r="H73" s="733"/>
      <c r="I73" s="814" t="str">
        <f>IFERROR(IF(VLOOKUP($C73,FAEI!$K$13:$N$21,3,FALSE)="","",VLOOKUP($C73,FAEI!$K$13:$N$21,3,FALSE)),"")</f>
        <v/>
      </c>
      <c r="J73" s="707"/>
      <c r="K73" s="731"/>
      <c r="L73" s="670" t="str">
        <f t="shared" si="2"/>
        <v/>
      </c>
      <c r="M73" s="1093" t="str">
        <f t="shared" si="1"/>
        <v/>
      </c>
    </row>
    <row r="74" spans="2:13" ht="27.95" hidden="1" customHeight="1" outlineLevel="1" x14ac:dyDescent="0.25">
      <c r="B74" s="718"/>
      <c r="C74" s="717"/>
      <c r="D74" s="207"/>
      <c r="E74" s="707"/>
      <c r="F74" s="935" t="str">
        <f>IFERROR(VLOOKUP(C74,FAEI!$K$13:$L$21,2,FALSE),"")</f>
        <v/>
      </c>
      <c r="G74" s="207"/>
      <c r="H74" s="733"/>
      <c r="I74" s="814" t="str">
        <f>IFERROR(IF(VLOOKUP($C74,FAEI!$K$13:$N$21,3,FALSE)="","",VLOOKUP($C74,FAEI!$K$13:$N$21,3,FALSE)),"")</f>
        <v/>
      </c>
      <c r="J74" s="707"/>
      <c r="K74" s="731"/>
      <c r="L74" s="670" t="str">
        <f t="shared" si="2"/>
        <v/>
      </c>
      <c r="M74" s="1093" t="str">
        <f t="shared" si="1"/>
        <v/>
      </c>
    </row>
    <row r="75" spans="2:13" ht="27.95" hidden="1" customHeight="1" outlineLevel="1" x14ac:dyDescent="0.25">
      <c r="B75" s="718"/>
      <c r="C75" s="717"/>
      <c r="D75" s="207"/>
      <c r="E75" s="707"/>
      <c r="F75" s="935" t="str">
        <f>IFERROR(VLOOKUP(C75,FAEI!$K$13:$L$21,2,FALSE),"")</f>
        <v/>
      </c>
      <c r="G75" s="207"/>
      <c r="H75" s="733"/>
      <c r="I75" s="814" t="str">
        <f>IFERROR(IF(VLOOKUP($C75,FAEI!$K$13:$N$21,3,FALSE)="","",VLOOKUP($C75,FAEI!$K$13:$N$21,3,FALSE)),"")</f>
        <v/>
      </c>
      <c r="J75" s="707"/>
      <c r="K75" s="731"/>
      <c r="L75" s="670" t="str">
        <f t="shared" si="2"/>
        <v/>
      </c>
      <c r="M75" s="1093" t="str">
        <f t="shared" si="1"/>
        <v/>
      </c>
    </row>
    <row r="76" spans="2:13" ht="27.95" hidden="1" customHeight="1" outlineLevel="1" x14ac:dyDescent="0.25">
      <c r="B76" s="718"/>
      <c r="C76" s="717"/>
      <c r="D76" s="207"/>
      <c r="E76" s="707"/>
      <c r="F76" s="935" t="str">
        <f>IFERROR(VLOOKUP(C76,FAEI!$K$13:$L$21,2,FALSE),"")</f>
        <v/>
      </c>
      <c r="G76" s="207"/>
      <c r="H76" s="733"/>
      <c r="I76" s="814" t="str">
        <f>IFERROR(IF(VLOOKUP($C76,FAEI!$K$13:$N$21,3,FALSE)="","",VLOOKUP($C76,FAEI!$K$13:$N$21,3,FALSE)),"")</f>
        <v/>
      </c>
      <c r="J76" s="707"/>
      <c r="K76" s="731"/>
      <c r="L76" s="670" t="str">
        <f t="shared" si="2"/>
        <v/>
      </c>
      <c r="M76" s="1093" t="str">
        <f t="shared" si="1"/>
        <v/>
      </c>
    </row>
    <row r="77" spans="2:13" ht="27.95" hidden="1" customHeight="1" outlineLevel="1" x14ac:dyDescent="0.25">
      <c r="B77" s="718"/>
      <c r="C77" s="717"/>
      <c r="D77" s="207"/>
      <c r="E77" s="707"/>
      <c r="F77" s="935" t="str">
        <f>IFERROR(VLOOKUP(C77,FAEI!$K$13:$L$21,2,FALSE),"")</f>
        <v/>
      </c>
      <c r="G77" s="207"/>
      <c r="H77" s="733"/>
      <c r="I77" s="814" t="str">
        <f>IFERROR(IF(VLOOKUP($C77,FAEI!$K$13:$N$21,3,FALSE)="","",VLOOKUP($C77,FAEI!$K$13:$N$21,3,FALSE)),"")</f>
        <v/>
      </c>
      <c r="J77" s="707"/>
      <c r="K77" s="731"/>
      <c r="L77" s="670" t="str">
        <f t="shared" si="2"/>
        <v/>
      </c>
      <c r="M77" s="1093" t="str">
        <f t="shared" si="1"/>
        <v/>
      </c>
    </row>
    <row r="78" spans="2:13" ht="27.95" hidden="1" customHeight="1" outlineLevel="1" x14ac:dyDescent="0.25">
      <c r="B78" s="718"/>
      <c r="C78" s="717"/>
      <c r="D78" s="207"/>
      <c r="E78" s="707"/>
      <c r="F78" s="935" t="str">
        <f>IFERROR(VLOOKUP(C78,FAEI!$K$13:$L$21,2,FALSE),"")</f>
        <v/>
      </c>
      <c r="G78" s="207"/>
      <c r="H78" s="733"/>
      <c r="I78" s="814" t="str">
        <f>IFERROR(IF(VLOOKUP($C78,FAEI!$K$13:$N$21,3,FALSE)="","",VLOOKUP($C78,FAEI!$K$13:$N$21,3,FALSE)),"")</f>
        <v/>
      </c>
      <c r="J78" s="707"/>
      <c r="K78" s="731"/>
      <c r="L78" s="670" t="str">
        <f t="shared" si="2"/>
        <v/>
      </c>
      <c r="M78" s="1093" t="str">
        <f t="shared" si="1"/>
        <v/>
      </c>
    </row>
    <row r="79" spans="2:13" ht="27.95" hidden="1" customHeight="1" outlineLevel="1" x14ac:dyDescent="0.25">
      <c r="B79" s="718"/>
      <c r="C79" s="717"/>
      <c r="D79" s="207"/>
      <c r="E79" s="707"/>
      <c r="F79" s="935" t="str">
        <f>IFERROR(VLOOKUP(C79,FAEI!$K$13:$L$21,2,FALSE),"")</f>
        <v/>
      </c>
      <c r="G79" s="207"/>
      <c r="H79" s="733"/>
      <c r="I79" s="814" t="str">
        <f>IFERROR(IF(VLOOKUP($C79,FAEI!$K$13:$N$21,3,FALSE)="","",VLOOKUP($C79,FAEI!$K$13:$N$21,3,FALSE)),"")</f>
        <v/>
      </c>
      <c r="J79" s="707"/>
      <c r="K79" s="731"/>
      <c r="L79" s="670" t="str">
        <f t="shared" si="2"/>
        <v/>
      </c>
      <c r="M79" s="1093" t="str">
        <f t="shared" si="1"/>
        <v/>
      </c>
    </row>
    <row r="80" spans="2:13" ht="27.95" hidden="1" customHeight="1" outlineLevel="1" x14ac:dyDescent="0.25">
      <c r="B80" s="718"/>
      <c r="C80" s="717"/>
      <c r="D80" s="207"/>
      <c r="E80" s="707"/>
      <c r="F80" s="935" t="str">
        <f>IFERROR(VLOOKUP(C80,FAEI!$K$13:$L$21,2,FALSE),"")</f>
        <v/>
      </c>
      <c r="G80" s="207"/>
      <c r="H80" s="733"/>
      <c r="I80" s="814" t="str">
        <f>IFERROR(IF(VLOOKUP($C80,FAEI!$K$13:$N$21,3,FALSE)="","",VLOOKUP($C80,FAEI!$K$13:$N$21,3,FALSE)),"")</f>
        <v/>
      </c>
      <c r="J80" s="707"/>
      <c r="K80" s="731"/>
      <c r="L80" s="670" t="str">
        <f t="shared" si="2"/>
        <v/>
      </c>
      <c r="M80" s="1093" t="str">
        <f t="shared" si="1"/>
        <v/>
      </c>
    </row>
    <row r="81" spans="2:13" ht="27.95" hidden="1" customHeight="1" outlineLevel="1" x14ac:dyDescent="0.25">
      <c r="B81" s="718"/>
      <c r="C81" s="717"/>
      <c r="D81" s="207"/>
      <c r="E81" s="707"/>
      <c r="F81" s="935" t="str">
        <f>IFERROR(VLOOKUP(C81,FAEI!$K$13:$L$21,2,FALSE),"")</f>
        <v/>
      </c>
      <c r="G81" s="207"/>
      <c r="H81" s="733"/>
      <c r="I81" s="814" t="str">
        <f>IFERROR(IF(VLOOKUP($C81,FAEI!$K$13:$N$21,3,FALSE)="","",VLOOKUP($C81,FAEI!$K$13:$N$21,3,FALSE)),"")</f>
        <v/>
      </c>
      <c r="J81" s="707"/>
      <c r="K81" s="731"/>
      <c r="L81" s="670" t="str">
        <f t="shared" si="2"/>
        <v/>
      </c>
      <c r="M81" s="1093" t="str">
        <f t="shared" si="1"/>
        <v/>
      </c>
    </row>
    <row r="82" spans="2:13" ht="27.95" hidden="1" customHeight="1" outlineLevel="1" x14ac:dyDescent="0.25">
      <c r="B82" s="718"/>
      <c r="C82" s="717"/>
      <c r="D82" s="207"/>
      <c r="E82" s="707"/>
      <c r="F82" s="935" t="str">
        <f>IFERROR(VLOOKUP(C82,FAEI!$K$13:$L$21,2,FALSE),"")</f>
        <v/>
      </c>
      <c r="G82" s="207"/>
      <c r="H82" s="733"/>
      <c r="I82" s="814" t="str">
        <f>IFERROR(IF(VLOOKUP($C82,FAEI!$K$13:$N$21,3,FALSE)="","",VLOOKUP($C82,FAEI!$K$13:$N$21,3,FALSE)),"")</f>
        <v/>
      </c>
      <c r="J82" s="707"/>
      <c r="K82" s="731"/>
      <c r="L82" s="670" t="str">
        <f t="shared" si="2"/>
        <v/>
      </c>
      <c r="M82" s="1093" t="str">
        <f t="shared" si="1"/>
        <v/>
      </c>
    </row>
    <row r="83" spans="2:13" ht="27.95" hidden="1" customHeight="1" outlineLevel="1" x14ac:dyDescent="0.25">
      <c r="B83" s="718"/>
      <c r="C83" s="717"/>
      <c r="D83" s="207"/>
      <c r="E83" s="707"/>
      <c r="F83" s="935" t="str">
        <f>IFERROR(VLOOKUP(C83,FAEI!$K$13:$L$21,2,FALSE),"")</f>
        <v/>
      </c>
      <c r="G83" s="207"/>
      <c r="H83" s="733"/>
      <c r="I83" s="814" t="str">
        <f>IFERROR(IF(VLOOKUP($C83,FAEI!$K$13:$N$21,3,FALSE)="","",VLOOKUP($C83,FAEI!$K$13:$N$21,3,FALSE)),"")</f>
        <v/>
      </c>
      <c r="J83" s="707"/>
      <c r="K83" s="731"/>
      <c r="L83" s="670" t="str">
        <f t="shared" si="2"/>
        <v/>
      </c>
      <c r="M83" s="1093" t="str">
        <f t="shared" si="1"/>
        <v/>
      </c>
    </row>
    <row r="84" spans="2:13" ht="27.95" hidden="1" customHeight="1" outlineLevel="1" x14ac:dyDescent="0.25">
      <c r="B84" s="718"/>
      <c r="C84" s="717"/>
      <c r="D84" s="207"/>
      <c r="E84" s="707"/>
      <c r="F84" s="935" t="str">
        <f>IFERROR(VLOOKUP(C84,FAEI!$K$13:$L$21,2,FALSE),"")</f>
        <v/>
      </c>
      <c r="G84" s="207"/>
      <c r="H84" s="733"/>
      <c r="I84" s="814" t="str">
        <f>IFERROR(IF(VLOOKUP($C84,FAEI!$K$13:$N$21,3,FALSE)="","",VLOOKUP($C84,FAEI!$K$13:$N$21,3,FALSE)),"")</f>
        <v/>
      </c>
      <c r="J84" s="707"/>
      <c r="K84" s="731"/>
      <c r="L84" s="670" t="str">
        <f t="shared" si="2"/>
        <v/>
      </c>
      <c r="M84" s="1093" t="str">
        <f t="shared" si="1"/>
        <v/>
      </c>
    </row>
    <row r="85" spans="2:13" ht="27.95" hidden="1" customHeight="1" outlineLevel="1" x14ac:dyDescent="0.25">
      <c r="B85" s="718"/>
      <c r="C85" s="717"/>
      <c r="D85" s="207"/>
      <c r="E85" s="707"/>
      <c r="F85" s="935" t="str">
        <f>IFERROR(VLOOKUP(C85,FAEI!$K$13:$L$21,2,FALSE),"")</f>
        <v/>
      </c>
      <c r="G85" s="207"/>
      <c r="H85" s="733"/>
      <c r="I85" s="814" t="str">
        <f>IFERROR(IF(VLOOKUP($C85,FAEI!$K$13:$N$21,3,FALSE)="","",VLOOKUP($C85,FAEI!$K$13:$N$21,3,FALSE)),"")</f>
        <v/>
      </c>
      <c r="J85" s="707"/>
      <c r="K85" s="731"/>
      <c r="L85" s="670" t="str">
        <f t="shared" si="2"/>
        <v/>
      </c>
      <c r="M85" s="1093" t="str">
        <f t="shared" si="1"/>
        <v/>
      </c>
    </row>
    <row r="86" spans="2:13" ht="27.95" hidden="1" customHeight="1" outlineLevel="1" x14ac:dyDescent="0.25">
      <c r="B86" s="718"/>
      <c r="C86" s="717"/>
      <c r="D86" s="207"/>
      <c r="E86" s="707"/>
      <c r="F86" s="935" t="str">
        <f>IFERROR(VLOOKUP(C86,FAEI!$K$13:$L$21,2,FALSE),"")</f>
        <v/>
      </c>
      <c r="G86" s="207"/>
      <c r="H86" s="733"/>
      <c r="I86" s="814" t="str">
        <f>IFERROR(IF(VLOOKUP($C86,FAEI!$K$13:$N$21,3,FALSE)="","",VLOOKUP($C86,FAEI!$K$13:$N$21,3,FALSE)),"")</f>
        <v/>
      </c>
      <c r="J86" s="707"/>
      <c r="K86" s="731"/>
      <c r="L86" s="670" t="str">
        <f t="shared" si="2"/>
        <v/>
      </c>
      <c r="M86" s="1093" t="str">
        <f t="shared" si="1"/>
        <v/>
      </c>
    </row>
    <row r="87" spans="2:13" ht="27.95" hidden="1" customHeight="1" outlineLevel="1" x14ac:dyDescent="0.25">
      <c r="B87" s="718"/>
      <c r="C87" s="717"/>
      <c r="D87" s="207"/>
      <c r="E87" s="707"/>
      <c r="F87" s="935" t="str">
        <f>IFERROR(VLOOKUP(C87,FAEI!$K$13:$L$21,2,FALSE),"")</f>
        <v/>
      </c>
      <c r="G87" s="207"/>
      <c r="H87" s="733"/>
      <c r="I87" s="814" t="str">
        <f>IFERROR(IF(VLOOKUP($C87,FAEI!$K$13:$N$21,3,FALSE)="","",VLOOKUP($C87,FAEI!$K$13:$N$21,3,FALSE)),"")</f>
        <v/>
      </c>
      <c r="J87" s="707"/>
      <c r="K87" s="731"/>
      <c r="L87" s="670" t="str">
        <f t="shared" si="2"/>
        <v/>
      </c>
      <c r="M87" s="1093" t="str">
        <f t="shared" si="1"/>
        <v/>
      </c>
    </row>
    <row r="88" spans="2:13" ht="27.95" hidden="1" customHeight="1" outlineLevel="1" x14ac:dyDescent="0.25">
      <c r="B88" s="718"/>
      <c r="C88" s="717"/>
      <c r="D88" s="207"/>
      <c r="E88" s="707"/>
      <c r="F88" s="935" t="str">
        <f>IFERROR(VLOOKUP(C88,FAEI!$K$13:$L$21,2,FALSE),"")</f>
        <v/>
      </c>
      <c r="G88" s="207"/>
      <c r="H88" s="733"/>
      <c r="I88" s="814" t="str">
        <f>IFERROR(IF(VLOOKUP($C88,FAEI!$K$13:$N$21,3,FALSE)="","",VLOOKUP($C88,FAEI!$K$13:$N$21,3,FALSE)),"")</f>
        <v/>
      </c>
      <c r="J88" s="707"/>
      <c r="K88" s="731"/>
      <c r="L88" s="670" t="str">
        <f t="shared" si="2"/>
        <v/>
      </c>
      <c r="M88" s="1093" t="str">
        <f t="shared" si="1"/>
        <v/>
      </c>
    </row>
    <row r="89" spans="2:13" ht="27.95" hidden="1" customHeight="1" outlineLevel="1" x14ac:dyDescent="0.25">
      <c r="B89" s="718"/>
      <c r="C89" s="717"/>
      <c r="D89" s="207"/>
      <c r="E89" s="707"/>
      <c r="F89" s="935" t="str">
        <f>IFERROR(VLOOKUP(C89,FAEI!$K$13:$L$21,2,FALSE),"")</f>
        <v/>
      </c>
      <c r="G89" s="207"/>
      <c r="H89" s="733"/>
      <c r="I89" s="814" t="str">
        <f>IFERROR(IF(VLOOKUP($C89,FAEI!$K$13:$N$21,3,FALSE)="","",VLOOKUP($C89,FAEI!$K$13:$N$21,3,FALSE)),"")</f>
        <v/>
      </c>
      <c r="J89" s="707"/>
      <c r="K89" s="731"/>
      <c r="L89" s="670" t="str">
        <f t="shared" si="2"/>
        <v/>
      </c>
      <c r="M89" s="1093" t="str">
        <f t="shared" si="1"/>
        <v/>
      </c>
    </row>
    <row r="90" spans="2:13" ht="27.95" hidden="1" customHeight="1" outlineLevel="1" x14ac:dyDescent="0.25">
      <c r="B90" s="718"/>
      <c r="C90" s="717"/>
      <c r="D90" s="207"/>
      <c r="E90" s="707"/>
      <c r="F90" s="935" t="str">
        <f>IFERROR(VLOOKUP(C90,FAEI!$K$13:$L$21,2,FALSE),"")</f>
        <v/>
      </c>
      <c r="G90" s="207"/>
      <c r="H90" s="733"/>
      <c r="I90" s="814" t="str">
        <f>IFERROR(IF(VLOOKUP($C90,FAEI!$K$13:$N$21,3,FALSE)="","",VLOOKUP($C90,FAEI!$K$13:$N$21,3,FALSE)),"")</f>
        <v/>
      </c>
      <c r="J90" s="707"/>
      <c r="K90" s="731"/>
      <c r="L90" s="670" t="str">
        <f t="shared" si="2"/>
        <v/>
      </c>
      <c r="M90" s="1093" t="str">
        <f t="shared" si="1"/>
        <v/>
      </c>
    </row>
    <row r="91" spans="2:13" ht="27.95" hidden="1" customHeight="1" outlineLevel="1" x14ac:dyDescent="0.25">
      <c r="B91" s="718"/>
      <c r="C91" s="717"/>
      <c r="D91" s="207"/>
      <c r="E91" s="707"/>
      <c r="F91" s="935" t="str">
        <f>IFERROR(VLOOKUP(C91,FAEI!$K$13:$L$21,2,FALSE),"")</f>
        <v/>
      </c>
      <c r="G91" s="207"/>
      <c r="H91" s="733"/>
      <c r="I91" s="814" t="str">
        <f>IFERROR(IF(VLOOKUP($C91,FAEI!$K$13:$N$21,3,FALSE)="","",VLOOKUP($C91,FAEI!$K$13:$N$21,3,FALSE)),"")</f>
        <v/>
      </c>
      <c r="J91" s="707"/>
      <c r="K91" s="731"/>
      <c r="L91" s="670" t="str">
        <f t="shared" si="2"/>
        <v/>
      </c>
      <c r="M91" s="1093" t="str">
        <f t="shared" si="1"/>
        <v/>
      </c>
    </row>
    <row r="92" spans="2:13" ht="27.95" hidden="1" customHeight="1" outlineLevel="1" x14ac:dyDescent="0.25">
      <c r="B92" s="718"/>
      <c r="C92" s="717"/>
      <c r="D92" s="207"/>
      <c r="E92" s="707"/>
      <c r="F92" s="935" t="str">
        <f>IFERROR(VLOOKUP(C92,FAEI!$K$13:$L$21,2,FALSE),"")</f>
        <v/>
      </c>
      <c r="G92" s="207"/>
      <c r="H92" s="733"/>
      <c r="I92" s="814" t="str">
        <f>IFERROR(IF(VLOOKUP($C92,FAEI!$K$13:$N$21,3,FALSE)="","",VLOOKUP($C92,FAEI!$K$13:$N$21,3,FALSE)),"")</f>
        <v/>
      </c>
      <c r="J92" s="707"/>
      <c r="K92" s="731"/>
      <c r="L92" s="670" t="str">
        <f t="shared" si="2"/>
        <v/>
      </c>
      <c r="M92" s="1093" t="str">
        <f t="shared" si="1"/>
        <v/>
      </c>
    </row>
    <row r="93" spans="2:13" ht="27.95" hidden="1" customHeight="1" outlineLevel="1" x14ac:dyDescent="0.25">
      <c r="B93" s="718"/>
      <c r="C93" s="717"/>
      <c r="D93" s="207"/>
      <c r="E93" s="707"/>
      <c r="F93" s="935" t="str">
        <f>IFERROR(VLOOKUP(C93,FAEI!$K$13:$L$21,2,FALSE),"")</f>
        <v/>
      </c>
      <c r="G93" s="207"/>
      <c r="H93" s="733"/>
      <c r="I93" s="814" t="str">
        <f>IFERROR(IF(VLOOKUP($C93,FAEI!$K$13:$N$21,3,FALSE)="","",VLOOKUP($C93,FAEI!$K$13:$N$21,3,FALSE)),"")</f>
        <v/>
      </c>
      <c r="J93" s="707"/>
      <c r="K93" s="731"/>
      <c r="L93" s="670" t="str">
        <f t="shared" si="2"/>
        <v/>
      </c>
      <c r="M93" s="1093" t="str">
        <f t="shared" si="1"/>
        <v/>
      </c>
    </row>
    <row r="94" spans="2:13" ht="27.95" hidden="1" customHeight="1" outlineLevel="1" x14ac:dyDescent="0.25">
      <c r="B94" s="718"/>
      <c r="C94" s="717"/>
      <c r="D94" s="207"/>
      <c r="E94" s="707"/>
      <c r="F94" s="935" t="str">
        <f>IFERROR(VLOOKUP(C94,FAEI!$K$13:$L$21,2,FALSE),"")</f>
        <v/>
      </c>
      <c r="G94" s="207"/>
      <c r="H94" s="733"/>
      <c r="I94" s="814" t="str">
        <f>IFERROR(IF(VLOOKUP($C94,FAEI!$K$13:$N$21,3,FALSE)="","",VLOOKUP($C94,FAEI!$K$13:$N$21,3,FALSE)),"")</f>
        <v/>
      </c>
      <c r="J94" s="707"/>
      <c r="K94" s="731"/>
      <c r="L94" s="670" t="str">
        <f t="shared" si="2"/>
        <v/>
      </c>
      <c r="M94" s="1093" t="str">
        <f t="shared" si="1"/>
        <v/>
      </c>
    </row>
    <row r="95" spans="2:13" ht="27.95" hidden="1" customHeight="1" outlineLevel="1" x14ac:dyDescent="0.25">
      <c r="B95" s="718"/>
      <c r="C95" s="717"/>
      <c r="D95" s="207"/>
      <c r="E95" s="707"/>
      <c r="F95" s="935" t="str">
        <f>IFERROR(VLOOKUP(C95,FAEI!$K$13:$L$21,2,FALSE),"")</f>
        <v/>
      </c>
      <c r="G95" s="207"/>
      <c r="H95" s="733"/>
      <c r="I95" s="814" t="str">
        <f>IFERROR(IF(VLOOKUP($C95,FAEI!$K$13:$N$21,3,FALSE)="","",VLOOKUP($C95,FAEI!$K$13:$N$21,3,FALSE)),"")</f>
        <v/>
      </c>
      <c r="J95" s="707"/>
      <c r="K95" s="731"/>
      <c r="L95" s="670" t="str">
        <f t="shared" si="2"/>
        <v/>
      </c>
      <c r="M95" s="1093" t="str">
        <f t="shared" si="1"/>
        <v/>
      </c>
    </row>
    <row r="96" spans="2:13" ht="27.95" hidden="1" customHeight="1" outlineLevel="1" x14ac:dyDescent="0.25">
      <c r="B96" s="718"/>
      <c r="C96" s="717"/>
      <c r="D96" s="207"/>
      <c r="E96" s="707"/>
      <c r="F96" s="935" t="str">
        <f>IFERROR(VLOOKUP(C96,FAEI!$K$13:$L$21,2,FALSE),"")</f>
        <v/>
      </c>
      <c r="G96" s="207"/>
      <c r="H96" s="733"/>
      <c r="I96" s="814" t="str">
        <f>IFERROR(IF(VLOOKUP($C96,FAEI!$K$13:$N$21,3,FALSE)="","",VLOOKUP($C96,FAEI!$K$13:$N$21,3,FALSE)),"")</f>
        <v/>
      </c>
      <c r="J96" s="707"/>
      <c r="K96" s="731"/>
      <c r="L96" s="670" t="str">
        <f t="shared" ref="L96:L131" si="3">IFERROR(IF(J96="",I96*E96,J96*E96),"")</f>
        <v/>
      </c>
      <c r="M96" s="1093" t="str">
        <f t="shared" si="1"/>
        <v/>
      </c>
    </row>
    <row r="97" spans="2:13" ht="27.95" hidden="1" customHeight="1" outlineLevel="1" x14ac:dyDescent="0.25">
      <c r="B97" s="718"/>
      <c r="C97" s="717"/>
      <c r="D97" s="207"/>
      <c r="E97" s="707"/>
      <c r="F97" s="935" t="str">
        <f>IFERROR(VLOOKUP(C97,FAEI!$K$13:$L$21,2,FALSE),"")</f>
        <v/>
      </c>
      <c r="G97" s="207"/>
      <c r="H97" s="733"/>
      <c r="I97" s="814" t="str">
        <f>IFERROR(IF(VLOOKUP($C97,FAEI!$K$13:$N$21,3,FALSE)="","",VLOOKUP($C97,FAEI!$K$13:$N$21,3,FALSE)),"")</f>
        <v/>
      </c>
      <c r="J97" s="707"/>
      <c r="K97" s="731"/>
      <c r="L97" s="670" t="str">
        <f t="shared" si="3"/>
        <v/>
      </c>
      <c r="M97" s="1093" t="str">
        <f t="shared" ref="M97:M131" si="4">IF(E97="","",IFERROR(E97*1,"Erro, confira o valor da quantidade produzida em média por ano"))</f>
        <v/>
      </c>
    </row>
    <row r="98" spans="2:13" ht="27.95" hidden="1" customHeight="1" outlineLevel="1" x14ac:dyDescent="0.25">
      <c r="B98" s="718"/>
      <c r="C98" s="717"/>
      <c r="D98" s="207"/>
      <c r="E98" s="707"/>
      <c r="F98" s="935" t="str">
        <f>IFERROR(VLOOKUP(C98,FAEI!$K$13:$L$21,2,FALSE),"")</f>
        <v/>
      </c>
      <c r="G98" s="207"/>
      <c r="H98" s="733"/>
      <c r="I98" s="814" t="str">
        <f>IFERROR(IF(VLOOKUP($C98,FAEI!$K$13:$N$21,3,FALSE)="","",VLOOKUP($C98,FAEI!$K$13:$N$21,3,FALSE)),"")</f>
        <v/>
      </c>
      <c r="J98" s="707"/>
      <c r="K98" s="731"/>
      <c r="L98" s="670" t="str">
        <f t="shared" si="3"/>
        <v/>
      </c>
      <c r="M98" s="1093" t="str">
        <f t="shared" si="4"/>
        <v/>
      </c>
    </row>
    <row r="99" spans="2:13" ht="27.95" hidden="1" customHeight="1" outlineLevel="1" x14ac:dyDescent="0.25">
      <c r="B99" s="718"/>
      <c r="C99" s="717"/>
      <c r="D99" s="207"/>
      <c r="E99" s="707"/>
      <c r="F99" s="935" t="str">
        <f>IFERROR(VLOOKUP(C99,FAEI!$K$13:$L$21,2,FALSE),"")</f>
        <v/>
      </c>
      <c r="G99" s="207"/>
      <c r="H99" s="733"/>
      <c r="I99" s="814" t="str">
        <f>IFERROR(IF(VLOOKUP($C99,FAEI!$K$13:$N$21,3,FALSE)="","",VLOOKUP($C99,FAEI!$K$13:$N$21,3,FALSE)),"")</f>
        <v/>
      </c>
      <c r="J99" s="707"/>
      <c r="K99" s="731"/>
      <c r="L99" s="670" t="str">
        <f t="shared" si="3"/>
        <v/>
      </c>
      <c r="M99" s="1093" t="str">
        <f t="shared" si="4"/>
        <v/>
      </c>
    </row>
    <row r="100" spans="2:13" ht="27.95" hidden="1" customHeight="1" outlineLevel="1" x14ac:dyDescent="0.25">
      <c r="B100" s="718"/>
      <c r="C100" s="717"/>
      <c r="D100" s="207"/>
      <c r="E100" s="707"/>
      <c r="F100" s="935" t="str">
        <f>IFERROR(VLOOKUP(C100,FAEI!$K$13:$L$21,2,FALSE),"")</f>
        <v/>
      </c>
      <c r="G100" s="207"/>
      <c r="H100" s="733"/>
      <c r="I100" s="814" t="str">
        <f>IFERROR(IF(VLOOKUP($C100,FAEI!$K$13:$N$21,3,FALSE)="","",VLOOKUP($C100,FAEI!$K$13:$N$21,3,FALSE)),"")</f>
        <v/>
      </c>
      <c r="J100" s="707"/>
      <c r="K100" s="731"/>
      <c r="L100" s="670" t="str">
        <f t="shared" si="3"/>
        <v/>
      </c>
      <c r="M100" s="1093" t="str">
        <f t="shared" si="4"/>
        <v/>
      </c>
    </row>
    <row r="101" spans="2:13" ht="27.95" hidden="1" customHeight="1" outlineLevel="1" x14ac:dyDescent="0.25">
      <c r="B101" s="718"/>
      <c r="C101" s="717"/>
      <c r="D101" s="207"/>
      <c r="E101" s="707"/>
      <c r="F101" s="935" t="str">
        <f>IFERROR(VLOOKUP(C101,FAEI!$K$13:$L$21,2,FALSE),"")</f>
        <v/>
      </c>
      <c r="G101" s="207"/>
      <c r="H101" s="733"/>
      <c r="I101" s="814" t="str">
        <f>IFERROR(IF(VLOOKUP($C101,FAEI!$K$13:$N$21,3,FALSE)="","",VLOOKUP($C101,FAEI!$K$13:$N$21,3,FALSE)),"")</f>
        <v/>
      </c>
      <c r="J101" s="707"/>
      <c r="K101" s="731"/>
      <c r="L101" s="670" t="str">
        <f t="shared" si="3"/>
        <v/>
      </c>
      <c r="M101" s="1093" t="str">
        <f t="shared" si="4"/>
        <v/>
      </c>
    </row>
    <row r="102" spans="2:13" ht="27.95" hidden="1" customHeight="1" outlineLevel="1" x14ac:dyDescent="0.25">
      <c r="B102" s="718"/>
      <c r="C102" s="717"/>
      <c r="D102" s="207"/>
      <c r="E102" s="707"/>
      <c r="F102" s="935" t="str">
        <f>IFERROR(VLOOKUP(C102,FAEI!$K$13:$L$21,2,FALSE),"")</f>
        <v/>
      </c>
      <c r="G102" s="207"/>
      <c r="H102" s="733"/>
      <c r="I102" s="814" t="str">
        <f>IFERROR(IF(VLOOKUP($C102,FAEI!$K$13:$N$21,3,FALSE)="","",VLOOKUP($C102,FAEI!$K$13:$N$21,3,FALSE)),"")</f>
        <v/>
      </c>
      <c r="J102" s="707"/>
      <c r="K102" s="731"/>
      <c r="L102" s="670" t="str">
        <f t="shared" si="3"/>
        <v/>
      </c>
      <c r="M102" s="1093" t="str">
        <f t="shared" si="4"/>
        <v/>
      </c>
    </row>
    <row r="103" spans="2:13" ht="27.95" hidden="1" customHeight="1" outlineLevel="1" x14ac:dyDescent="0.25">
      <c r="B103" s="718"/>
      <c r="C103" s="717"/>
      <c r="D103" s="207"/>
      <c r="E103" s="707"/>
      <c r="F103" s="935" t="str">
        <f>IFERROR(VLOOKUP(C103,FAEI!$K$13:$L$21,2,FALSE),"")</f>
        <v/>
      </c>
      <c r="G103" s="207"/>
      <c r="H103" s="733"/>
      <c r="I103" s="814" t="str">
        <f>IFERROR(IF(VLOOKUP($C103,FAEI!$K$13:$N$21,3,FALSE)="","",VLOOKUP($C103,FAEI!$K$13:$N$21,3,FALSE)),"")</f>
        <v/>
      </c>
      <c r="J103" s="707"/>
      <c r="K103" s="731"/>
      <c r="L103" s="670" t="str">
        <f t="shared" si="3"/>
        <v/>
      </c>
      <c r="M103" s="1093" t="str">
        <f t="shared" si="4"/>
        <v/>
      </c>
    </row>
    <row r="104" spans="2:13" ht="27.95" hidden="1" customHeight="1" outlineLevel="1" x14ac:dyDescent="0.25">
      <c r="B104" s="718"/>
      <c r="C104" s="717"/>
      <c r="D104" s="207"/>
      <c r="E104" s="707"/>
      <c r="F104" s="935" t="str">
        <f>IFERROR(VLOOKUP(C104,FAEI!$K$13:$L$21,2,FALSE),"")</f>
        <v/>
      </c>
      <c r="G104" s="207"/>
      <c r="H104" s="733"/>
      <c r="I104" s="814" t="str">
        <f>IFERROR(IF(VLOOKUP($C104,FAEI!$K$13:$N$21,3,FALSE)="","",VLOOKUP($C104,FAEI!$K$13:$N$21,3,FALSE)),"")</f>
        <v/>
      </c>
      <c r="J104" s="707"/>
      <c r="K104" s="731"/>
      <c r="L104" s="670" t="str">
        <f t="shared" si="3"/>
        <v/>
      </c>
      <c r="M104" s="1093" t="str">
        <f t="shared" si="4"/>
        <v/>
      </c>
    </row>
    <row r="105" spans="2:13" ht="27.95" hidden="1" customHeight="1" outlineLevel="1" x14ac:dyDescent="0.25">
      <c r="B105" s="718"/>
      <c r="C105" s="717"/>
      <c r="D105" s="207"/>
      <c r="E105" s="707"/>
      <c r="F105" s="935" t="str">
        <f>IFERROR(VLOOKUP(C105,FAEI!$K$13:$L$21,2,FALSE),"")</f>
        <v/>
      </c>
      <c r="G105" s="207"/>
      <c r="H105" s="733"/>
      <c r="I105" s="814" t="str">
        <f>IFERROR(IF(VLOOKUP($C105,FAEI!$K$13:$N$21,3,FALSE)="","",VLOOKUP($C105,FAEI!$K$13:$N$21,3,FALSE)),"")</f>
        <v/>
      </c>
      <c r="J105" s="707"/>
      <c r="K105" s="731"/>
      <c r="L105" s="670" t="str">
        <f t="shared" si="3"/>
        <v/>
      </c>
      <c r="M105" s="1093" t="str">
        <f t="shared" si="4"/>
        <v/>
      </c>
    </row>
    <row r="106" spans="2:13" ht="27.95" hidden="1" customHeight="1" outlineLevel="1" x14ac:dyDescent="0.25">
      <c r="B106" s="718"/>
      <c r="C106" s="717"/>
      <c r="D106" s="207"/>
      <c r="E106" s="707"/>
      <c r="F106" s="935" t="str">
        <f>IFERROR(VLOOKUP(C106,FAEI!$K$13:$L$21,2,FALSE),"")</f>
        <v/>
      </c>
      <c r="G106" s="207"/>
      <c r="H106" s="733"/>
      <c r="I106" s="814" t="str">
        <f>IFERROR(IF(VLOOKUP($C106,FAEI!$K$13:$N$21,3,FALSE)="","",VLOOKUP($C106,FAEI!$K$13:$N$21,3,FALSE)),"")</f>
        <v/>
      </c>
      <c r="J106" s="707"/>
      <c r="K106" s="731"/>
      <c r="L106" s="670" t="str">
        <f t="shared" si="3"/>
        <v/>
      </c>
      <c r="M106" s="1093" t="str">
        <f t="shared" si="4"/>
        <v/>
      </c>
    </row>
    <row r="107" spans="2:13" ht="27.95" hidden="1" customHeight="1" outlineLevel="1" x14ac:dyDescent="0.25">
      <c r="B107" s="718"/>
      <c r="C107" s="717"/>
      <c r="D107" s="207"/>
      <c r="E107" s="707"/>
      <c r="F107" s="935" t="str">
        <f>IFERROR(VLOOKUP(C107,FAEI!$K$13:$L$21,2,FALSE),"")</f>
        <v/>
      </c>
      <c r="G107" s="207"/>
      <c r="H107" s="733"/>
      <c r="I107" s="814" t="str">
        <f>IFERROR(IF(VLOOKUP($C107,FAEI!$K$13:$N$21,3,FALSE)="","",VLOOKUP($C107,FAEI!$K$13:$N$21,3,FALSE)),"")</f>
        <v/>
      </c>
      <c r="J107" s="707"/>
      <c r="K107" s="731"/>
      <c r="L107" s="670" t="str">
        <f t="shared" si="3"/>
        <v/>
      </c>
      <c r="M107" s="1093" t="str">
        <f t="shared" si="4"/>
        <v/>
      </c>
    </row>
    <row r="108" spans="2:13" ht="27.95" hidden="1" customHeight="1" outlineLevel="1" x14ac:dyDescent="0.25">
      <c r="B108" s="718"/>
      <c r="C108" s="717"/>
      <c r="D108" s="207"/>
      <c r="E108" s="707"/>
      <c r="F108" s="935" t="str">
        <f>IFERROR(VLOOKUP(C108,FAEI!$K$13:$L$21,2,FALSE),"")</f>
        <v/>
      </c>
      <c r="G108" s="207"/>
      <c r="H108" s="733"/>
      <c r="I108" s="814" t="str">
        <f>IFERROR(IF(VLOOKUP($C108,FAEI!$K$13:$N$21,3,FALSE)="","",VLOOKUP($C108,FAEI!$K$13:$N$21,3,FALSE)),"")</f>
        <v/>
      </c>
      <c r="J108" s="707"/>
      <c r="K108" s="731"/>
      <c r="L108" s="670" t="str">
        <f t="shared" si="3"/>
        <v/>
      </c>
      <c r="M108" s="1093" t="str">
        <f t="shared" si="4"/>
        <v/>
      </c>
    </row>
    <row r="109" spans="2:13" ht="27.95" hidden="1" customHeight="1" outlineLevel="1" x14ac:dyDescent="0.25">
      <c r="B109" s="718"/>
      <c r="C109" s="717"/>
      <c r="D109" s="207"/>
      <c r="E109" s="707"/>
      <c r="F109" s="935" t="str">
        <f>IFERROR(VLOOKUP(C109,FAEI!$K$13:$L$21,2,FALSE),"")</f>
        <v/>
      </c>
      <c r="G109" s="207"/>
      <c r="H109" s="733"/>
      <c r="I109" s="814" t="str">
        <f>IFERROR(IF(VLOOKUP($C109,FAEI!$K$13:$N$21,3,FALSE)="","",VLOOKUP($C109,FAEI!$K$13:$N$21,3,FALSE)),"")</f>
        <v/>
      </c>
      <c r="J109" s="707"/>
      <c r="K109" s="731"/>
      <c r="L109" s="670" t="str">
        <f t="shared" si="3"/>
        <v/>
      </c>
      <c r="M109" s="1093" t="str">
        <f t="shared" si="4"/>
        <v/>
      </c>
    </row>
    <row r="110" spans="2:13" ht="27.95" hidden="1" customHeight="1" outlineLevel="1" x14ac:dyDescent="0.25">
      <c r="B110" s="718"/>
      <c r="C110" s="717"/>
      <c r="D110" s="207"/>
      <c r="E110" s="707"/>
      <c r="F110" s="935" t="str">
        <f>IFERROR(VLOOKUP(C110,FAEI!$K$13:$L$21,2,FALSE),"")</f>
        <v/>
      </c>
      <c r="G110" s="207"/>
      <c r="H110" s="733"/>
      <c r="I110" s="814" t="str">
        <f>IFERROR(IF(VLOOKUP($C110,FAEI!$K$13:$N$21,3,FALSE)="","",VLOOKUP($C110,FAEI!$K$13:$N$21,3,FALSE)),"")</f>
        <v/>
      </c>
      <c r="J110" s="707"/>
      <c r="K110" s="731"/>
      <c r="L110" s="670" t="str">
        <f t="shared" si="3"/>
        <v/>
      </c>
      <c r="M110" s="1093" t="str">
        <f t="shared" si="4"/>
        <v/>
      </c>
    </row>
    <row r="111" spans="2:13" ht="27.95" hidden="1" customHeight="1" outlineLevel="1" x14ac:dyDescent="0.25">
      <c r="B111" s="718"/>
      <c r="C111" s="717"/>
      <c r="D111" s="207"/>
      <c r="E111" s="707"/>
      <c r="F111" s="935" t="str">
        <f>IFERROR(VLOOKUP(C111,FAEI!$K$13:$L$21,2,FALSE),"")</f>
        <v/>
      </c>
      <c r="G111" s="207"/>
      <c r="H111" s="733"/>
      <c r="I111" s="814" t="str">
        <f>IFERROR(IF(VLOOKUP($C111,FAEI!$K$13:$N$21,3,FALSE)="","",VLOOKUP($C111,FAEI!$K$13:$N$21,3,FALSE)),"")</f>
        <v/>
      </c>
      <c r="J111" s="707"/>
      <c r="K111" s="731"/>
      <c r="L111" s="670" t="str">
        <f t="shared" si="3"/>
        <v/>
      </c>
      <c r="M111" s="1093" t="str">
        <f t="shared" si="4"/>
        <v/>
      </c>
    </row>
    <row r="112" spans="2:13" ht="27.95" hidden="1" customHeight="1" outlineLevel="1" x14ac:dyDescent="0.25">
      <c r="B112" s="718"/>
      <c r="C112" s="717"/>
      <c r="D112" s="207"/>
      <c r="E112" s="707"/>
      <c r="F112" s="935" t="str">
        <f>IFERROR(VLOOKUP(C112,FAEI!$K$13:$L$21,2,FALSE),"")</f>
        <v/>
      </c>
      <c r="G112" s="207"/>
      <c r="H112" s="733"/>
      <c r="I112" s="814" t="str">
        <f>IFERROR(IF(VLOOKUP($C112,FAEI!$K$13:$N$21,3,FALSE)="","",VLOOKUP($C112,FAEI!$K$13:$N$21,3,FALSE)),"")</f>
        <v/>
      </c>
      <c r="J112" s="707"/>
      <c r="K112" s="731"/>
      <c r="L112" s="670" t="str">
        <f t="shared" si="3"/>
        <v/>
      </c>
      <c r="M112" s="1093" t="str">
        <f t="shared" si="4"/>
        <v/>
      </c>
    </row>
    <row r="113" spans="2:13" ht="27.95" hidden="1" customHeight="1" outlineLevel="1" x14ac:dyDescent="0.25">
      <c r="B113" s="718"/>
      <c r="C113" s="717"/>
      <c r="D113" s="207"/>
      <c r="E113" s="707"/>
      <c r="F113" s="935" t="str">
        <f>IFERROR(VLOOKUP(C113,FAEI!$K$13:$L$21,2,FALSE),"")</f>
        <v/>
      </c>
      <c r="G113" s="207"/>
      <c r="H113" s="733"/>
      <c r="I113" s="814" t="str">
        <f>IFERROR(IF(VLOOKUP($C113,FAEI!$K$13:$N$21,3,FALSE)="","",VLOOKUP($C113,FAEI!$K$13:$N$21,3,FALSE)),"")</f>
        <v/>
      </c>
      <c r="J113" s="707"/>
      <c r="K113" s="731"/>
      <c r="L113" s="670" t="str">
        <f t="shared" si="3"/>
        <v/>
      </c>
      <c r="M113" s="1093" t="str">
        <f t="shared" si="4"/>
        <v/>
      </c>
    </row>
    <row r="114" spans="2:13" ht="27.95" hidden="1" customHeight="1" outlineLevel="1" x14ac:dyDescent="0.25">
      <c r="B114" s="718"/>
      <c r="C114" s="717"/>
      <c r="D114" s="207"/>
      <c r="E114" s="707"/>
      <c r="F114" s="935" t="str">
        <f>IFERROR(VLOOKUP(C114,FAEI!$K$13:$L$21,2,FALSE),"")</f>
        <v/>
      </c>
      <c r="G114" s="207"/>
      <c r="H114" s="733"/>
      <c r="I114" s="814" t="str">
        <f>IFERROR(IF(VLOOKUP($C114,FAEI!$K$13:$N$21,3,FALSE)="","",VLOOKUP($C114,FAEI!$K$13:$N$21,3,FALSE)),"")</f>
        <v/>
      </c>
      <c r="J114" s="707"/>
      <c r="K114" s="731"/>
      <c r="L114" s="670" t="str">
        <f t="shared" si="3"/>
        <v/>
      </c>
      <c r="M114" s="1093" t="str">
        <f t="shared" si="4"/>
        <v/>
      </c>
    </row>
    <row r="115" spans="2:13" ht="27.95" hidden="1" customHeight="1" outlineLevel="1" x14ac:dyDescent="0.25">
      <c r="B115" s="718"/>
      <c r="C115" s="717"/>
      <c r="D115" s="207"/>
      <c r="E115" s="707"/>
      <c r="F115" s="935" t="str">
        <f>IFERROR(VLOOKUP(C115,FAEI!$K$13:$L$21,2,FALSE),"")</f>
        <v/>
      </c>
      <c r="G115" s="207"/>
      <c r="H115" s="733"/>
      <c r="I115" s="814" t="str">
        <f>IFERROR(IF(VLOOKUP($C115,FAEI!$K$13:$N$21,3,FALSE)="","",VLOOKUP($C115,FAEI!$K$13:$N$21,3,FALSE)),"")</f>
        <v/>
      </c>
      <c r="J115" s="707"/>
      <c r="K115" s="731"/>
      <c r="L115" s="670" t="str">
        <f t="shared" si="3"/>
        <v/>
      </c>
      <c r="M115" s="1093" t="str">
        <f t="shared" si="4"/>
        <v/>
      </c>
    </row>
    <row r="116" spans="2:13" ht="27.95" hidden="1" customHeight="1" outlineLevel="1" x14ac:dyDescent="0.25">
      <c r="B116" s="718"/>
      <c r="C116" s="717"/>
      <c r="D116" s="207"/>
      <c r="E116" s="707"/>
      <c r="F116" s="935" t="str">
        <f>IFERROR(VLOOKUP(C116,FAEI!$K$13:$L$21,2,FALSE),"")</f>
        <v/>
      </c>
      <c r="G116" s="207"/>
      <c r="H116" s="733"/>
      <c r="I116" s="814" t="str">
        <f>IFERROR(IF(VLOOKUP($C116,FAEI!$K$13:$N$21,3,FALSE)="","",VLOOKUP($C116,FAEI!$K$13:$N$21,3,FALSE)),"")</f>
        <v/>
      </c>
      <c r="J116" s="707"/>
      <c r="K116" s="731"/>
      <c r="L116" s="670" t="str">
        <f t="shared" si="3"/>
        <v/>
      </c>
      <c r="M116" s="1093" t="str">
        <f t="shared" si="4"/>
        <v/>
      </c>
    </row>
    <row r="117" spans="2:13" ht="27.95" hidden="1" customHeight="1" outlineLevel="1" x14ac:dyDescent="0.25">
      <c r="B117" s="718"/>
      <c r="C117" s="717"/>
      <c r="D117" s="207"/>
      <c r="E117" s="707"/>
      <c r="F117" s="935" t="str">
        <f>IFERROR(VLOOKUP(C117,FAEI!$K$13:$L$21,2,FALSE),"")</f>
        <v/>
      </c>
      <c r="G117" s="207"/>
      <c r="H117" s="733"/>
      <c r="I117" s="814" t="str">
        <f>IFERROR(IF(VLOOKUP($C117,FAEI!$K$13:$N$21,3,FALSE)="","",VLOOKUP($C117,FAEI!$K$13:$N$21,3,FALSE)),"")</f>
        <v/>
      </c>
      <c r="J117" s="707"/>
      <c r="K117" s="731"/>
      <c r="L117" s="670" t="str">
        <f t="shared" si="3"/>
        <v/>
      </c>
      <c r="M117" s="1093" t="str">
        <f t="shared" si="4"/>
        <v/>
      </c>
    </row>
    <row r="118" spans="2:13" ht="27.95" hidden="1" customHeight="1" outlineLevel="1" x14ac:dyDescent="0.25">
      <c r="B118" s="718"/>
      <c r="C118" s="717"/>
      <c r="D118" s="207"/>
      <c r="E118" s="707"/>
      <c r="F118" s="935" t="str">
        <f>IFERROR(VLOOKUP(C118,FAEI!$K$13:$L$21,2,FALSE),"")</f>
        <v/>
      </c>
      <c r="G118" s="207"/>
      <c r="H118" s="733"/>
      <c r="I118" s="814" t="str">
        <f>IFERROR(IF(VLOOKUP($C118,FAEI!$K$13:$N$21,3,FALSE)="","",VLOOKUP($C118,FAEI!$K$13:$N$21,3,FALSE)),"")</f>
        <v/>
      </c>
      <c r="J118" s="707"/>
      <c r="K118" s="731"/>
      <c r="L118" s="670" t="str">
        <f t="shared" si="3"/>
        <v/>
      </c>
      <c r="M118" s="1093" t="str">
        <f t="shared" si="4"/>
        <v/>
      </c>
    </row>
    <row r="119" spans="2:13" ht="27.95" hidden="1" customHeight="1" outlineLevel="1" x14ac:dyDescent="0.25">
      <c r="B119" s="718"/>
      <c r="C119" s="717"/>
      <c r="D119" s="207"/>
      <c r="E119" s="707"/>
      <c r="F119" s="935" t="str">
        <f>IFERROR(VLOOKUP(C119,FAEI!$K$13:$L$21,2,FALSE),"")</f>
        <v/>
      </c>
      <c r="G119" s="207"/>
      <c r="H119" s="733"/>
      <c r="I119" s="814" t="str">
        <f>IFERROR(IF(VLOOKUP($C119,FAEI!$K$13:$N$21,3,FALSE)="","",VLOOKUP($C119,FAEI!$K$13:$N$21,3,FALSE)),"")</f>
        <v/>
      </c>
      <c r="J119" s="707"/>
      <c r="K119" s="731"/>
      <c r="L119" s="670" t="str">
        <f t="shared" si="3"/>
        <v/>
      </c>
      <c r="M119" s="1093" t="str">
        <f t="shared" si="4"/>
        <v/>
      </c>
    </row>
    <row r="120" spans="2:13" ht="27.95" hidden="1" customHeight="1" outlineLevel="1" x14ac:dyDescent="0.25">
      <c r="B120" s="718"/>
      <c r="C120" s="717"/>
      <c r="D120" s="207"/>
      <c r="E120" s="707"/>
      <c r="F120" s="935" t="str">
        <f>IFERROR(VLOOKUP(C120,FAEI!$K$13:$L$21,2,FALSE),"")</f>
        <v/>
      </c>
      <c r="G120" s="207"/>
      <c r="H120" s="733"/>
      <c r="I120" s="814" t="str">
        <f>IFERROR(IF(VLOOKUP($C120,FAEI!$K$13:$N$21,3,FALSE)="","",VLOOKUP($C120,FAEI!$K$13:$N$21,3,FALSE)),"")</f>
        <v/>
      </c>
      <c r="J120" s="707"/>
      <c r="K120" s="731"/>
      <c r="L120" s="670" t="str">
        <f t="shared" si="3"/>
        <v/>
      </c>
      <c r="M120" s="1093" t="str">
        <f t="shared" si="4"/>
        <v/>
      </c>
    </row>
    <row r="121" spans="2:13" ht="27.95" hidden="1" customHeight="1" outlineLevel="1" x14ac:dyDescent="0.25">
      <c r="B121" s="718"/>
      <c r="C121" s="717"/>
      <c r="D121" s="207"/>
      <c r="E121" s="707"/>
      <c r="F121" s="935" t="str">
        <f>IFERROR(VLOOKUP(C121,FAEI!$K$13:$L$21,2,FALSE),"")</f>
        <v/>
      </c>
      <c r="G121" s="207"/>
      <c r="H121" s="733"/>
      <c r="I121" s="814" t="str">
        <f>IFERROR(IF(VLOOKUP($C121,FAEI!$K$13:$N$21,3,FALSE)="","",VLOOKUP($C121,FAEI!$K$13:$N$21,3,FALSE)),"")</f>
        <v/>
      </c>
      <c r="J121" s="707"/>
      <c r="K121" s="731"/>
      <c r="L121" s="670" t="str">
        <f t="shared" si="3"/>
        <v/>
      </c>
      <c r="M121" s="1093" t="str">
        <f t="shared" si="4"/>
        <v/>
      </c>
    </row>
    <row r="122" spans="2:13" ht="27.95" hidden="1" customHeight="1" outlineLevel="1" x14ac:dyDescent="0.25">
      <c r="B122" s="718"/>
      <c r="C122" s="717"/>
      <c r="D122" s="207"/>
      <c r="E122" s="707"/>
      <c r="F122" s="935" t="str">
        <f>IFERROR(VLOOKUP(C122,FAEI!$K$13:$L$21,2,FALSE),"")</f>
        <v/>
      </c>
      <c r="G122" s="207"/>
      <c r="H122" s="733"/>
      <c r="I122" s="814" t="str">
        <f>IFERROR(IF(VLOOKUP($C122,FAEI!$K$13:$N$21,3,FALSE)="","",VLOOKUP($C122,FAEI!$K$13:$N$21,3,FALSE)),"")</f>
        <v/>
      </c>
      <c r="J122" s="707"/>
      <c r="K122" s="731"/>
      <c r="L122" s="670" t="str">
        <f t="shared" si="3"/>
        <v/>
      </c>
      <c r="M122" s="1093" t="str">
        <f t="shared" si="4"/>
        <v/>
      </c>
    </row>
    <row r="123" spans="2:13" ht="27.95" hidden="1" customHeight="1" outlineLevel="1" x14ac:dyDescent="0.25">
      <c r="B123" s="718"/>
      <c r="C123" s="717"/>
      <c r="D123" s="207"/>
      <c r="E123" s="707"/>
      <c r="F123" s="935" t="str">
        <f>IFERROR(VLOOKUP(C123,FAEI!$K$13:$L$21,2,FALSE),"")</f>
        <v/>
      </c>
      <c r="G123" s="207"/>
      <c r="H123" s="733"/>
      <c r="I123" s="814" t="str">
        <f>IFERROR(IF(VLOOKUP($C123,FAEI!$K$13:$N$21,3,FALSE)="","",VLOOKUP($C123,FAEI!$K$13:$N$21,3,FALSE)),"")</f>
        <v/>
      </c>
      <c r="J123" s="707"/>
      <c r="K123" s="731"/>
      <c r="L123" s="670" t="str">
        <f t="shared" si="3"/>
        <v/>
      </c>
      <c r="M123" s="1093" t="str">
        <f t="shared" si="4"/>
        <v/>
      </c>
    </row>
    <row r="124" spans="2:13" ht="27.95" hidden="1" customHeight="1" outlineLevel="1" x14ac:dyDescent="0.25">
      <c r="B124" s="718"/>
      <c r="C124" s="717"/>
      <c r="D124" s="207"/>
      <c r="E124" s="707"/>
      <c r="F124" s="935" t="str">
        <f>IFERROR(VLOOKUP(C124,FAEI!$K$13:$L$21,2,FALSE),"")</f>
        <v/>
      </c>
      <c r="G124" s="207"/>
      <c r="H124" s="733"/>
      <c r="I124" s="814" t="str">
        <f>IFERROR(IF(VLOOKUP($C124,FAEI!$K$13:$N$21,3,FALSE)="","",VLOOKUP($C124,FAEI!$K$13:$N$21,3,FALSE)),"")</f>
        <v/>
      </c>
      <c r="J124" s="707"/>
      <c r="K124" s="731"/>
      <c r="L124" s="670" t="str">
        <f t="shared" si="3"/>
        <v/>
      </c>
      <c r="M124" s="1093" t="str">
        <f t="shared" si="4"/>
        <v/>
      </c>
    </row>
    <row r="125" spans="2:13" ht="27.95" hidden="1" customHeight="1" outlineLevel="1" x14ac:dyDescent="0.25">
      <c r="B125" s="718"/>
      <c r="C125" s="717"/>
      <c r="D125" s="207"/>
      <c r="E125" s="707"/>
      <c r="F125" s="935" t="str">
        <f>IFERROR(VLOOKUP(C125,FAEI!$K$13:$L$21,2,FALSE),"")</f>
        <v/>
      </c>
      <c r="G125" s="207"/>
      <c r="H125" s="733"/>
      <c r="I125" s="814" t="str">
        <f>IFERROR(IF(VLOOKUP($C125,FAEI!$K$13:$N$21,3,FALSE)="","",VLOOKUP($C125,FAEI!$K$13:$N$21,3,FALSE)),"")</f>
        <v/>
      </c>
      <c r="J125" s="707"/>
      <c r="K125" s="731"/>
      <c r="L125" s="670" t="str">
        <f t="shared" si="3"/>
        <v/>
      </c>
      <c r="M125" s="1093" t="str">
        <f t="shared" si="4"/>
        <v/>
      </c>
    </row>
    <row r="126" spans="2:13" ht="27.95" hidden="1" customHeight="1" outlineLevel="1" x14ac:dyDescent="0.25">
      <c r="B126" s="718"/>
      <c r="C126" s="717"/>
      <c r="D126" s="207"/>
      <c r="E126" s="707"/>
      <c r="F126" s="935" t="str">
        <f>IFERROR(VLOOKUP(C126,FAEI!$K$13:$L$21,2,FALSE),"")</f>
        <v/>
      </c>
      <c r="G126" s="207"/>
      <c r="H126" s="733"/>
      <c r="I126" s="814" t="str">
        <f>IFERROR(IF(VLOOKUP($C126,FAEI!$K$13:$N$21,3,FALSE)="","",VLOOKUP($C126,FAEI!$K$13:$N$21,3,FALSE)),"")</f>
        <v/>
      </c>
      <c r="J126" s="707"/>
      <c r="K126" s="731"/>
      <c r="L126" s="670" t="str">
        <f t="shared" si="3"/>
        <v/>
      </c>
      <c r="M126" s="1093" t="str">
        <f t="shared" si="4"/>
        <v/>
      </c>
    </row>
    <row r="127" spans="2:13" ht="27.95" hidden="1" customHeight="1" outlineLevel="1" x14ac:dyDescent="0.25">
      <c r="B127" s="718"/>
      <c r="C127" s="717"/>
      <c r="D127" s="207"/>
      <c r="E127" s="707"/>
      <c r="F127" s="935" t="str">
        <f>IFERROR(VLOOKUP(C127,FAEI!$K$13:$L$21,2,FALSE),"")</f>
        <v/>
      </c>
      <c r="G127" s="207"/>
      <c r="H127" s="733"/>
      <c r="I127" s="814" t="str">
        <f>IFERROR(IF(VLOOKUP($C127,FAEI!$K$13:$N$21,3,FALSE)="","",VLOOKUP($C127,FAEI!$K$13:$N$21,3,FALSE)),"")</f>
        <v/>
      </c>
      <c r="J127" s="707"/>
      <c r="K127" s="731"/>
      <c r="L127" s="670" t="str">
        <f t="shared" si="3"/>
        <v/>
      </c>
      <c r="M127" s="1093" t="str">
        <f t="shared" si="4"/>
        <v/>
      </c>
    </row>
    <row r="128" spans="2:13" ht="27.95" hidden="1" customHeight="1" outlineLevel="1" x14ac:dyDescent="0.25">
      <c r="B128" s="718"/>
      <c r="C128" s="717"/>
      <c r="D128" s="207"/>
      <c r="E128" s="707"/>
      <c r="F128" s="935" t="str">
        <f>IFERROR(VLOOKUP(C128,FAEI!$K$13:$L$21,2,FALSE),"")</f>
        <v/>
      </c>
      <c r="G128" s="207"/>
      <c r="H128" s="733"/>
      <c r="I128" s="814" t="str">
        <f>IFERROR(IF(VLOOKUP($C128,FAEI!$K$13:$N$21,3,FALSE)="","",VLOOKUP($C128,FAEI!$K$13:$N$21,3,FALSE)),"")</f>
        <v/>
      </c>
      <c r="J128" s="707"/>
      <c r="K128" s="731"/>
      <c r="L128" s="670" t="str">
        <f t="shared" si="3"/>
        <v/>
      </c>
      <c r="M128" s="1093" t="str">
        <f t="shared" si="4"/>
        <v/>
      </c>
    </row>
    <row r="129" spans="1:13" ht="27.95" hidden="1" customHeight="1" outlineLevel="1" x14ac:dyDescent="0.25">
      <c r="B129" s="718"/>
      <c r="C129" s="717"/>
      <c r="D129" s="207"/>
      <c r="E129" s="707"/>
      <c r="F129" s="935" t="str">
        <f>IFERROR(VLOOKUP(C129,FAEI!$K$13:$L$21,2,FALSE),"")</f>
        <v/>
      </c>
      <c r="G129" s="207"/>
      <c r="H129" s="733"/>
      <c r="I129" s="814" t="str">
        <f>IFERROR(IF(VLOOKUP($C129,FAEI!$K$13:$N$21,3,FALSE)="","",VLOOKUP($C129,FAEI!$K$13:$N$21,3,FALSE)),"")</f>
        <v/>
      </c>
      <c r="J129" s="707"/>
      <c r="K129" s="731"/>
      <c r="L129" s="670" t="str">
        <f t="shared" si="3"/>
        <v/>
      </c>
      <c r="M129" s="1093" t="str">
        <f t="shared" si="4"/>
        <v/>
      </c>
    </row>
    <row r="130" spans="1:13" ht="27.95" hidden="1" customHeight="1" outlineLevel="1" x14ac:dyDescent="0.25">
      <c r="B130" s="718"/>
      <c r="C130" s="717"/>
      <c r="D130" s="207"/>
      <c r="E130" s="707"/>
      <c r="F130" s="935" t="str">
        <f>IFERROR(VLOOKUP(C130,FAEI!$K$13:$L$21,2,FALSE),"")</f>
        <v/>
      </c>
      <c r="G130" s="207"/>
      <c r="H130" s="733"/>
      <c r="I130" s="814" t="str">
        <f>IFERROR(IF(VLOOKUP($C130,FAEI!$K$13:$N$21,3,FALSE)="","",VLOOKUP($C130,FAEI!$K$13:$N$21,3,FALSE)),"")</f>
        <v/>
      </c>
      <c r="J130" s="707"/>
      <c r="K130" s="731"/>
      <c r="L130" s="670" t="str">
        <f t="shared" si="3"/>
        <v/>
      </c>
      <c r="M130" s="1093" t="str">
        <f t="shared" si="4"/>
        <v/>
      </c>
    </row>
    <row r="131" spans="1:13" ht="27.95" hidden="1" customHeight="1" outlineLevel="1" x14ac:dyDescent="0.25">
      <c r="B131" s="729"/>
      <c r="C131" s="728"/>
      <c r="D131" s="537"/>
      <c r="E131" s="730"/>
      <c r="F131" s="936" t="str">
        <f>IFERROR(VLOOKUP(C131,FAEI!$K$13:$L$21,2,FALSE),"")</f>
        <v/>
      </c>
      <c r="G131" s="537"/>
      <c r="H131" s="733"/>
      <c r="I131" s="544" t="str">
        <f>IFERROR(IF(VLOOKUP($C131,FAEI!$K$13:$N$21,3,FALSE)="","",VLOOKUP($C131,FAEI!$K$13:$N$21,3,FALSE)),"")</f>
        <v/>
      </c>
      <c r="J131" s="730"/>
      <c r="K131" s="732"/>
      <c r="L131" s="670" t="str">
        <f t="shared" si="3"/>
        <v/>
      </c>
      <c r="M131" s="1093" t="str">
        <f t="shared" si="4"/>
        <v/>
      </c>
    </row>
    <row r="132" spans="1:13" ht="21" customHeight="1" collapsed="1" x14ac:dyDescent="0.25">
      <c r="B132" s="937" t="s">
        <v>37</v>
      </c>
      <c r="C132" s="938"/>
      <c r="D132" s="938"/>
      <c r="E132" s="938"/>
      <c r="F132" s="938"/>
      <c r="G132" s="938"/>
      <c r="H132" s="940"/>
      <c r="I132" s="939"/>
      <c r="J132" s="939"/>
      <c r="K132" s="938"/>
      <c r="L132" s="941">
        <f>SUM(L32:L131)</f>
        <v>0</v>
      </c>
    </row>
    <row r="133" spans="1:13" s="168" customFormat="1" ht="24.6" customHeight="1" x14ac:dyDescent="0.25">
      <c r="B133" s="942"/>
      <c r="C133" s="943"/>
      <c r="D133" s="943"/>
      <c r="E133" s="943"/>
      <c r="F133" s="943"/>
      <c r="G133" s="943"/>
      <c r="H133" s="944"/>
      <c r="I133" s="944"/>
      <c r="J133" s="944"/>
    </row>
    <row r="134" spans="1:13" x14ac:dyDescent="0.25"/>
    <row r="135" spans="1:13" x14ac:dyDescent="0.25"/>
    <row r="136" spans="1:13" s="947" customFormat="1" ht="30" customHeight="1" x14ac:dyDescent="0.25">
      <c r="A136" s="945"/>
      <c r="B136" s="946" t="s">
        <v>604</v>
      </c>
    </row>
    <row r="137" spans="1:13" x14ac:dyDescent="0.25"/>
    <row r="138" spans="1:13" ht="18.75" x14ac:dyDescent="0.25">
      <c r="C138" s="1238" t="s">
        <v>1668</v>
      </c>
      <c r="D138" s="1239"/>
      <c r="E138" s="1240"/>
      <c r="F138" s="948">
        <f>L132</f>
        <v>0</v>
      </c>
    </row>
    <row r="139" spans="1:13" x14ac:dyDescent="0.25"/>
    <row r="140" spans="1:13" x14ac:dyDescent="0.25"/>
    <row r="141" spans="1:13" x14ac:dyDescent="0.25"/>
    <row r="142" spans="1:13" x14ac:dyDescent="0.25"/>
    <row r="143" spans="1:13" x14ac:dyDescent="0.25"/>
    <row r="144" spans="1:13"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sheetData>
  <sheetProtection algorithmName="SHA-512" hashValue="yWC77uHQRNauT3QASjmcXTtQzTutpnf/NEmoS5mAUoVv5gwBbAnfnI4FwxwYl8y+sAdiW4ltKcIduZyWqXr+4A==" saltValue="wirFfbBdSC1aWkXc9EcDCw==" spinCount="100000" sheet="1" objects="1" formatRows="0" selectLockedCells="1"/>
  <protectedRanges>
    <protectedRange sqref="B32:E131 G32:G131 J32:J131" name="PI1"/>
  </protectedRanges>
  <dataConsolidate/>
  <mergeCells count="22">
    <mergeCell ref="I29:I30"/>
    <mergeCell ref="J29:J30"/>
    <mergeCell ref="K29:K30"/>
    <mergeCell ref="L28:L30"/>
    <mergeCell ref="B12:J12"/>
    <mergeCell ref="I28:K28"/>
    <mergeCell ref="B20:L20"/>
    <mergeCell ref="B19:L19"/>
    <mergeCell ref="B18:L18"/>
    <mergeCell ref="B17:L17"/>
    <mergeCell ref="B16:L16"/>
    <mergeCell ref="B15:L15"/>
    <mergeCell ref="B22:L22"/>
    <mergeCell ref="B21:L21"/>
    <mergeCell ref="C138:E138"/>
    <mergeCell ref="D28:D30"/>
    <mergeCell ref="E28:H28"/>
    <mergeCell ref="B28:B30"/>
    <mergeCell ref="C28:C30"/>
    <mergeCell ref="F29:F30"/>
    <mergeCell ref="G29:G30"/>
    <mergeCell ref="H29:H30"/>
  </mergeCells>
  <conditionalFormatting sqref="E30">
    <cfRule type="beginsWith" dxfId="42" priority="1" operator="beginsWith" text="Erro">
      <formula>LEFT(E30,LEN("Erro"))="Erro"</formula>
    </cfRule>
  </conditionalFormatting>
  <conditionalFormatting sqref="G32:H131">
    <cfRule type="expression" dxfId="41" priority="4">
      <formula>$C32="9. Outros"</formula>
    </cfRule>
  </conditionalFormatting>
  <conditionalFormatting sqref="J32:J131">
    <cfRule type="expression" dxfId="40" priority="240">
      <formula>OR(#REF!&gt;0,#REF!&gt;0,#REF!&gt;0,#REF!&gt;0)</formula>
    </cfRule>
  </conditionalFormatting>
  <conditionalFormatting sqref="M32:M131">
    <cfRule type="beginsWith" dxfId="39" priority="2" operator="beginsWith" text="Erro">
      <formula>LEFT(M32,LEN("Erro"))="Erro"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55BC0A4F-9DC8-428B-9DD7-DD93ED19D141}">
            <xm:f>Triagem!$C$30=""</xm:f>
            <x14:dxf>
              <font>
                <strike val="0"/>
                <u/>
                <color rgb="FFC00000"/>
              </font>
              <fill>
                <patternFill>
                  <bgColor theme="7" tint="0.59996337778862885"/>
                </patternFill>
              </fill>
            </x14:dxf>
          </x14:cfRule>
          <xm:sqref>B9:D9</xm:sqref>
        </x14:conditionalFormatting>
        <x14:conditionalFormatting xmlns:xm="http://schemas.microsoft.com/office/excel/2006/main">
          <x14:cfRule type="expression" priority="15" id="{8481A233-B943-4EF6-99FD-5E2253B0081F}">
            <xm:f>C32=FAEI!$K$21</xm:f>
            <x14:dxf>
              <font>
                <color auto="1"/>
              </font>
              <fill>
                <patternFill>
                  <bgColor theme="5" tint="0.79998168889431442"/>
                </patternFill>
              </fill>
            </x14:dxf>
          </x14:cfRule>
          <xm:sqref>D32:D131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1DC875D-DC58-4662-A281-1EC935ECF799}">
          <x14:formula1>
            <xm:f>'Fatores de Emissão'!$C$258:$C$291</xm:f>
          </x14:formula1>
          <xm:sqref>Z31:Z42</xm:sqref>
        </x14:dataValidation>
        <x14:dataValidation type="list" allowBlank="1" showInputMessage="1" showErrorMessage="1" xr:uid="{1D5D7869-7592-4511-ABB0-21429FC8BCA7}">
          <x14:formula1>
            <xm:f>FAEI!$K$13:$K$21</xm:f>
          </x14:formula1>
          <xm:sqref>C32:C131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178E-061D-4CCC-831B-6214A7F2BDA3}">
  <dimension ref="A9:O21"/>
  <sheetViews>
    <sheetView showGridLines="0" topLeftCell="A11" zoomScale="70" zoomScaleNormal="70" workbookViewId="0">
      <selection activeCell="L17" sqref="L17"/>
    </sheetView>
  </sheetViews>
  <sheetFormatPr defaultRowHeight="15" x14ac:dyDescent="0.25"/>
  <cols>
    <col min="1" max="1" width="21.375" customWidth="1"/>
    <col min="4" max="4" width="9.75" customWidth="1"/>
    <col min="5" max="5" width="16" customWidth="1"/>
    <col min="6" max="6" width="18.25" customWidth="1"/>
    <col min="7" max="7" width="18.625" customWidth="1"/>
    <col min="8" max="8" width="11.625" customWidth="1"/>
    <col min="9" max="9" width="18.625" customWidth="1"/>
    <col min="10" max="10" width="11.375" customWidth="1"/>
    <col min="11" max="11" width="11.625" customWidth="1"/>
    <col min="12" max="12" width="23.25" customWidth="1"/>
    <col min="13" max="13" width="24.25" customWidth="1"/>
    <col min="16" max="16" width="26" customWidth="1"/>
  </cols>
  <sheetData>
    <row r="9" spans="1:15" x14ac:dyDescent="0.25">
      <c r="A9" s="3" t="s">
        <v>34</v>
      </c>
    </row>
    <row r="10" spans="1:15" x14ac:dyDescent="0.25">
      <c r="A10" s="130" t="e">
        <f>'Fatores de Emissão'!#REF!</f>
        <v>#REF!</v>
      </c>
    </row>
    <row r="11" spans="1:15" ht="19.5" x14ac:dyDescent="0.25">
      <c r="A11" s="130" t="e">
        <f>'Fatores de Emissão'!#REF!</f>
        <v>#REF!</v>
      </c>
      <c r="D11" s="1"/>
      <c r="E11" s="1272" t="s">
        <v>32</v>
      </c>
      <c r="F11" s="1273"/>
      <c r="G11" s="1298"/>
      <c r="K11" t="s">
        <v>789</v>
      </c>
    </row>
    <row r="12" spans="1:15" ht="19.5" x14ac:dyDescent="0.25">
      <c r="A12" s="130" t="e">
        <f>'Fatores de Emissão'!#REF!</f>
        <v>#REF!</v>
      </c>
      <c r="D12" s="1"/>
      <c r="E12" s="13" t="e">
        <f>A10</f>
        <v>#REF!</v>
      </c>
      <c r="F12" s="14" t="e">
        <f>A11</f>
        <v>#REF!</v>
      </c>
      <c r="G12" s="15" t="e">
        <f>A12</f>
        <v>#REF!</v>
      </c>
      <c r="K12" s="81" t="s">
        <v>782</v>
      </c>
      <c r="L12" s="81" t="s">
        <v>26</v>
      </c>
      <c r="M12" s="81" t="s">
        <v>709</v>
      </c>
      <c r="N12" s="81" t="s">
        <v>788</v>
      </c>
      <c r="O12" s="81"/>
    </row>
    <row r="13" spans="1:15" ht="21.75" x14ac:dyDescent="0.25">
      <c r="D13" s="141" t="s">
        <v>897</v>
      </c>
      <c r="E13" s="18">
        <f>G23</f>
        <v>0</v>
      </c>
      <c r="F13" s="19">
        <f>H23</f>
        <v>0</v>
      </c>
      <c r="G13" s="19">
        <f>I23</f>
        <v>0</v>
      </c>
      <c r="K13" s="22" t="str">
        <f>'Fatores de Emissão'!B218</f>
        <v>1. Produção de cimento</v>
      </c>
      <c r="L13" s="22" t="str">
        <f>'Fatores de Emissão'!F218</f>
        <v>toneladas de clínquer</v>
      </c>
      <c r="M13" s="118">
        <f>'Fatores de Emissão'!C218</f>
        <v>0.51453247183284423</v>
      </c>
      <c r="N13" s="118" t="str">
        <f>'Fatores de Emissão'!D218</f>
        <v>kg CO2e / toneladas de clínquer</v>
      </c>
      <c r="O13" s="22"/>
    </row>
    <row r="14" spans="1:15" ht="21.75" x14ac:dyDescent="0.25">
      <c r="D14" s="141" t="s">
        <v>43</v>
      </c>
      <c r="E14" s="18">
        <f>J23</f>
        <v>0</v>
      </c>
      <c r="F14" s="19">
        <f>K23</f>
        <v>0</v>
      </c>
      <c r="G14" s="19">
        <f>L23</f>
        <v>0</v>
      </c>
      <c r="K14" s="22" t="str">
        <f>'Fatores de Emissão'!B219</f>
        <v>2. Produção de cal</v>
      </c>
      <c r="L14" s="22" t="str">
        <f>'Fatores de Emissão'!F219</f>
        <v>toneladas de cal</v>
      </c>
      <c r="M14" s="118">
        <f>'Fatores de Emissão'!C219</f>
        <v>0.68296562113745141</v>
      </c>
      <c r="N14" s="118" t="str">
        <f>'Fatores de Emissão'!D219</f>
        <v>kg CO2e / toneladas de cal</v>
      </c>
      <c r="O14" s="22"/>
    </row>
    <row r="15" spans="1:15" ht="21.75" x14ac:dyDescent="0.25">
      <c r="D15" s="229" t="s">
        <v>179</v>
      </c>
      <c r="E15" s="20">
        <f>M23</f>
        <v>0</v>
      </c>
      <c r="K15" s="22" t="str">
        <f>'Fatores de Emissão'!B220</f>
        <v>3. Produção de vidro</v>
      </c>
      <c r="L15" s="22" t="str">
        <f>'Fatores de Emissão'!F220</f>
        <v>toneladas de vidro</v>
      </c>
      <c r="M15" s="118">
        <f>'Fatores de Emissão'!C220</f>
        <v>8.8304228737939222E-2</v>
      </c>
      <c r="N15" s="118" t="str">
        <f>'Fatores de Emissão'!D220</f>
        <v>kg CO2e / toneladas de vidro</v>
      </c>
      <c r="O15" s="22"/>
    </row>
    <row r="16" spans="1:15" x14ac:dyDescent="0.25">
      <c r="K16" s="22" t="str">
        <f>'Fatores de Emissão'!B221</f>
        <v>4. Produção cerâmica</v>
      </c>
      <c r="L16" s="22" t="str">
        <f>'Fatores de Emissão'!F221</f>
        <v>toneladas de carbonatos consumidos</v>
      </c>
      <c r="M16" s="118">
        <f>'Fatores de Emissão'!C221</f>
        <v>26.577798378660646</v>
      </c>
      <c r="N16" s="118" t="str">
        <f>'Fatores de Emissão'!D221</f>
        <v>kg CO2e / toneladas de carbonatos consumidos</v>
      </c>
      <c r="O16" s="22"/>
    </row>
    <row r="17" spans="11:15" x14ac:dyDescent="0.25">
      <c r="K17" s="22" t="str">
        <f>'Fatores de Emissão'!B222</f>
        <v>5. Produção de ácido nítrico</v>
      </c>
      <c r="L17" s="22" t="str">
        <f>'Fatores de Emissão'!F222</f>
        <v>toneladas de ácido nítrico</v>
      </c>
      <c r="M17" s="118">
        <f>'Fatores de Emissão'!C222</f>
        <v>96.255443240522112</v>
      </c>
      <c r="N17" s="118" t="str">
        <f>'Fatores de Emissão'!D222</f>
        <v>kg CO2e / toneladas de ácido nítrico</v>
      </c>
      <c r="O17" s="22"/>
    </row>
    <row r="18" spans="11:15" x14ac:dyDescent="0.25">
      <c r="K18" s="22" t="str">
        <f>'Fatores de Emissão'!B223</f>
        <v>6. Produção de etileno</v>
      </c>
      <c r="L18" s="22" t="str">
        <f>'Fatores de Emissão'!F223</f>
        <v>toneladas de etileno</v>
      </c>
      <c r="M18" s="118">
        <f>'Fatores de Emissão'!C223</f>
        <v>1.73</v>
      </c>
      <c r="N18" s="118" t="str">
        <f>'Fatores de Emissão'!D223</f>
        <v>kg CO2e / toneladas de etileno</v>
      </c>
      <c r="O18" s="22"/>
    </row>
    <row r="19" spans="11:15" x14ac:dyDescent="0.25">
      <c r="K19" s="22" t="str">
        <f>'Fatores de Emissão'!B224</f>
        <v>7. Produção de aço</v>
      </c>
      <c r="L19" s="22" t="str">
        <f>'Fatores de Emissão'!F224</f>
        <v>toneladas de aço</v>
      </c>
      <c r="M19" s="118">
        <f>'Fatores de Emissão'!C224</f>
        <v>3.4417139239534635E-2</v>
      </c>
      <c r="N19" s="118" t="str">
        <f>'Fatores de Emissão'!D224</f>
        <v>kg CO2e / toneladas de aço</v>
      </c>
      <c r="O19" s="22"/>
    </row>
    <row r="20" spans="11:15" x14ac:dyDescent="0.25">
      <c r="K20" s="22" t="str">
        <f>'Fatores de Emissão'!B225</f>
        <v>8. Produção de chumbo</v>
      </c>
      <c r="L20" s="22" t="str">
        <f>'Fatores de Emissão'!F225</f>
        <v>toneladas de chumbo</v>
      </c>
      <c r="M20" s="118">
        <f>'Fatores de Emissão'!C225</f>
        <v>0.52</v>
      </c>
      <c r="N20" s="118" t="str">
        <f>'Fatores de Emissão'!D225</f>
        <v>kg CO2e / toneladas de chumbo</v>
      </c>
      <c r="O20" s="22"/>
    </row>
    <row r="21" spans="11:15" x14ac:dyDescent="0.25">
      <c r="K21" s="22" t="s">
        <v>783</v>
      </c>
      <c r="L21" s="229" t="s">
        <v>787</v>
      </c>
      <c r="M21" s="22"/>
      <c r="N21" s="22"/>
      <c r="O21" s="22"/>
    </row>
  </sheetData>
  <mergeCells count="1">
    <mergeCell ref="E11:G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3B98-D291-4357-AF14-F9500748C90F}">
  <sheetPr>
    <tabColor theme="4"/>
  </sheetPr>
  <dimension ref="A1:AB592"/>
  <sheetViews>
    <sheetView showGridLines="0" topLeftCell="A31" zoomScale="80" zoomScaleNormal="80" workbookViewId="0">
      <selection activeCell="C168" sqref="C168"/>
    </sheetView>
  </sheetViews>
  <sheetFormatPr defaultColWidth="0" defaultRowHeight="14.45" customHeight="1" zeroHeight="1" outlineLevelRow="2" x14ac:dyDescent="0.25"/>
  <cols>
    <col min="1" max="1" width="9.25" style="166" customWidth="1"/>
    <col min="2" max="2" width="29.625" style="166" customWidth="1"/>
    <col min="3" max="3" width="40.625" style="166" customWidth="1"/>
    <col min="4" max="4" width="71.625" style="166" customWidth="1"/>
    <col min="5" max="5" width="35.25" style="166" customWidth="1"/>
    <col min="6" max="6" width="31.25" style="166" customWidth="1"/>
    <col min="7" max="7" width="24.875" style="166" customWidth="1"/>
    <col min="8" max="8" width="18.75" style="166" customWidth="1"/>
    <col min="9" max="9" width="31" style="166" customWidth="1"/>
    <col min="10" max="10" width="23.625" style="166" customWidth="1"/>
    <col min="11" max="11" width="33.625" style="166" customWidth="1"/>
    <col min="12" max="12" width="38" style="166" customWidth="1"/>
    <col min="13" max="13" width="34.625" style="166" customWidth="1"/>
    <col min="14" max="14" width="29.875" style="166" customWidth="1"/>
    <col min="15" max="15" width="21.625" style="166" customWidth="1"/>
    <col min="16" max="16" width="33.25" style="166" customWidth="1"/>
    <col min="17" max="17" width="21.625" style="166" customWidth="1"/>
    <col min="18" max="18" width="31.625" style="166" customWidth="1"/>
    <col min="19" max="19" width="26.875" style="166" customWidth="1"/>
    <col min="20" max="20" width="28" style="166" customWidth="1"/>
    <col min="21" max="21" width="29.75" style="166" customWidth="1"/>
    <col min="22" max="22" width="26" style="166" customWidth="1"/>
    <col min="23" max="24" width="21.625" style="166" customWidth="1"/>
    <col min="25" max="29" width="5.625" style="166" customWidth="1"/>
    <col min="30" max="16381" width="5" style="166" customWidth="1"/>
    <col min="16382" max="16382" width="5.875" style="166" customWidth="1"/>
    <col min="16383" max="16383" width="9.375" style="166" customWidth="1"/>
    <col min="16384" max="16384" width="8.5" style="166" customWidth="1"/>
  </cols>
  <sheetData>
    <row r="1" spans="2:11" ht="15.75" x14ac:dyDescent="0.25"/>
    <row r="2" spans="2:11" ht="15.75" x14ac:dyDescent="0.25"/>
    <row r="3" spans="2:11" ht="15.75" x14ac:dyDescent="0.25"/>
    <row r="4" spans="2:11" ht="15.75" x14ac:dyDescent="0.25"/>
    <row r="5" spans="2:11" ht="15.75" x14ac:dyDescent="0.25"/>
    <row r="6" spans="2:11" ht="15.75" x14ac:dyDescent="0.25"/>
    <row r="7" spans="2:11" ht="15.75" x14ac:dyDescent="0.25"/>
    <row r="8" spans="2:11" ht="15.75" x14ac:dyDescent="0.25">
      <c r="E8" s="774"/>
      <c r="F8" s="774"/>
      <c r="G8" s="774"/>
      <c r="H8" s="774"/>
    </row>
    <row r="9" spans="2:11" ht="23.25" x14ac:dyDescent="0.35">
      <c r="B9" s="924" t="str">
        <f>IF(Triagem!C31="", "Não indicou na TRIAGEM se esta folha se adequa ao projeto", IF(Triagem!C31="Não", "Não necessita de preencher esta folha", "Folha a ser preenchida"))</f>
        <v>Não indicou na TRIAGEM se esta folha se adequa ao projeto</v>
      </c>
    </row>
    <row r="10" spans="2:11" ht="15.75" outlineLevel="1" x14ac:dyDescent="0.25"/>
    <row r="11" spans="2:11" ht="42" customHeight="1" outlineLevel="1" x14ac:dyDescent="0.25">
      <c r="B11" s="1289" t="s">
        <v>1519</v>
      </c>
      <c r="C11" s="1289"/>
      <c r="D11" s="1289"/>
      <c r="E11" s="1289"/>
      <c r="F11" s="1289"/>
      <c r="G11" s="1289"/>
      <c r="H11" s="1289"/>
      <c r="I11" s="1289"/>
      <c r="J11" s="1289"/>
      <c r="K11" s="928"/>
    </row>
    <row r="12" spans="2:11" ht="20.45" customHeight="1" outlineLevel="1" x14ac:dyDescent="0.25">
      <c r="B12" s="1289" t="s">
        <v>1433</v>
      </c>
      <c r="C12" s="1289"/>
      <c r="D12" s="1289"/>
      <c r="E12" s="1289"/>
      <c r="F12" s="1289"/>
      <c r="G12" s="1289"/>
      <c r="H12" s="1289"/>
      <c r="I12" s="1289"/>
      <c r="J12" s="1289"/>
      <c r="K12" s="1289"/>
    </row>
    <row r="13" spans="2:11" ht="21.6" customHeight="1" outlineLevel="1" x14ac:dyDescent="0.25">
      <c r="B13" s="1306" t="s">
        <v>1520</v>
      </c>
      <c r="C13" s="1306"/>
      <c r="D13" s="1306"/>
      <c r="E13" s="1306"/>
      <c r="F13" s="1306"/>
      <c r="G13" s="1306"/>
      <c r="H13" s="1306"/>
      <c r="I13" s="1306"/>
      <c r="J13" s="1306"/>
      <c r="K13" s="1306"/>
    </row>
    <row r="14" spans="2:11" ht="42" customHeight="1" outlineLevel="1" x14ac:dyDescent="0.25">
      <c r="B14" s="1307" t="s">
        <v>1382</v>
      </c>
      <c r="C14" s="1307"/>
      <c r="D14" s="1307"/>
      <c r="E14" s="1307"/>
      <c r="F14" s="1307"/>
      <c r="G14" s="1307"/>
      <c r="H14" s="1307"/>
      <c r="I14" s="1307"/>
      <c r="J14" s="1307"/>
      <c r="K14" s="928"/>
    </row>
    <row r="15" spans="2:11" ht="15.75" outlineLevel="1" x14ac:dyDescent="0.25">
      <c r="B15" s="1306" t="s">
        <v>1323</v>
      </c>
      <c r="C15" s="1306"/>
      <c r="D15" s="1306"/>
      <c r="E15" s="1306"/>
      <c r="F15" s="1306"/>
      <c r="G15" s="1306"/>
      <c r="H15" s="1306"/>
      <c r="I15" s="1306"/>
      <c r="J15" s="1306"/>
      <c r="K15" s="1306"/>
    </row>
    <row r="16" spans="2:11" ht="15.75" outlineLevel="1" x14ac:dyDescent="0.25">
      <c r="B16" s="1302" t="s">
        <v>1434</v>
      </c>
      <c r="C16" s="1302"/>
      <c r="D16" s="1302"/>
      <c r="E16" s="1302"/>
      <c r="F16" s="1302"/>
      <c r="G16" s="1302"/>
      <c r="H16" s="1302"/>
      <c r="I16" s="1302"/>
      <c r="J16" s="1302"/>
      <c r="K16" s="1302"/>
    </row>
    <row r="17" spans="1:27" ht="22.15" customHeight="1" outlineLevel="1" x14ac:dyDescent="0.25">
      <c r="B17" s="1302" t="s">
        <v>925</v>
      </c>
      <c r="C17" s="1302"/>
      <c r="D17" s="1302"/>
      <c r="E17" s="1302"/>
      <c r="F17" s="1302"/>
      <c r="G17" s="1302"/>
      <c r="H17" s="1302"/>
      <c r="I17" s="1302"/>
      <c r="J17" s="1302"/>
      <c r="K17" s="1302"/>
    </row>
    <row r="18" spans="1:27" ht="15.75" outlineLevel="1" x14ac:dyDescent="0.25">
      <c r="B18" s="1302" t="s">
        <v>1435</v>
      </c>
      <c r="C18" s="1302"/>
      <c r="D18" s="1302"/>
      <c r="E18" s="1302"/>
      <c r="F18" s="1302"/>
      <c r="G18" s="1302"/>
      <c r="H18" s="1302"/>
      <c r="I18" s="1302"/>
      <c r="J18" s="1302"/>
      <c r="K18" s="1302"/>
    </row>
    <row r="19" spans="1:27" ht="15.75" outlineLevel="1" x14ac:dyDescent="0.25">
      <c r="B19" s="778"/>
      <c r="C19" s="778"/>
      <c r="D19" s="778"/>
      <c r="E19" s="778"/>
      <c r="F19" s="778"/>
      <c r="G19" s="778"/>
      <c r="H19" s="778"/>
      <c r="I19" s="778"/>
      <c r="J19" s="778"/>
      <c r="K19" s="778"/>
    </row>
    <row r="20" spans="1:27" ht="15.75" outlineLevel="1" x14ac:dyDescent="0.25">
      <c r="B20" s="1306" t="s">
        <v>1521</v>
      </c>
      <c r="C20" s="1306"/>
      <c r="D20" s="1306"/>
      <c r="E20" s="1306"/>
      <c r="F20" s="1306"/>
      <c r="G20" s="1306"/>
      <c r="H20" s="1306"/>
      <c r="I20" s="1306"/>
      <c r="J20" s="1306"/>
      <c r="K20" s="1306"/>
    </row>
    <row r="21" spans="1:27" ht="15.75" outlineLevel="1" x14ac:dyDescent="0.25">
      <c r="B21" s="1302" t="s">
        <v>1436</v>
      </c>
      <c r="C21" s="1302"/>
      <c r="D21" s="1302"/>
      <c r="E21" s="1302"/>
      <c r="F21" s="1302"/>
      <c r="G21" s="1302"/>
      <c r="H21" s="1302"/>
      <c r="I21" s="1302"/>
      <c r="J21" s="1302"/>
      <c r="K21" s="1302"/>
    </row>
    <row r="22" spans="1:27" ht="15.75" outlineLevel="1" x14ac:dyDescent="0.25">
      <c r="B22" s="1308"/>
      <c r="C22" s="1308"/>
      <c r="D22" s="1308"/>
      <c r="E22" s="1308"/>
      <c r="F22" s="1308"/>
      <c r="G22" s="1308"/>
      <c r="H22" s="1308"/>
      <c r="I22" s="1308"/>
      <c r="J22" s="1308"/>
      <c r="K22" s="1308"/>
    </row>
    <row r="23" spans="1:27" ht="15.75" outlineLevel="1" x14ac:dyDescent="0.25"/>
    <row r="24" spans="1:27" s="168" customFormat="1" ht="24.6" customHeight="1" x14ac:dyDescent="0.25">
      <c r="B24" s="942"/>
      <c r="C24" s="943"/>
      <c r="D24" s="943"/>
      <c r="E24" s="943"/>
      <c r="F24" s="943"/>
      <c r="G24" s="943"/>
      <c r="H24" s="944"/>
      <c r="I24" s="944"/>
      <c r="J24" s="944"/>
    </row>
    <row r="25" spans="1:27" s="231" customFormat="1" ht="30" customHeight="1" x14ac:dyDescent="0.25">
      <c r="A25" s="949"/>
      <c r="B25" s="231" t="s">
        <v>1520</v>
      </c>
    </row>
    <row r="26" spans="1:27" ht="15.75" outlineLevel="1" x14ac:dyDescent="0.25">
      <c r="B26" s="166" t="s">
        <v>1240</v>
      </c>
    </row>
    <row r="27" spans="1:27" ht="15.75" outlineLevel="1" x14ac:dyDescent="0.25"/>
    <row r="28" spans="1:27" ht="15.75" outlineLevel="1" x14ac:dyDescent="0.25">
      <c r="B28" s="837" t="s">
        <v>0</v>
      </c>
      <c r="C28" s="778"/>
      <c r="D28" s="778"/>
      <c r="E28" s="778"/>
      <c r="F28" s="778"/>
      <c r="G28" s="778"/>
      <c r="H28" s="778"/>
      <c r="I28" s="778"/>
      <c r="J28" s="778"/>
      <c r="K28" s="778"/>
      <c r="L28" s="778"/>
      <c r="M28" s="778"/>
      <c r="N28" s="778"/>
      <c r="O28" s="168"/>
      <c r="P28" s="168"/>
      <c r="Q28" s="168"/>
      <c r="R28" s="168"/>
      <c r="S28" s="168"/>
      <c r="T28" s="168"/>
      <c r="U28" s="168"/>
      <c r="V28" s="168"/>
      <c r="W28" s="168"/>
      <c r="X28" s="168"/>
    </row>
    <row r="29" spans="1:27" ht="15.75" outlineLevel="1" x14ac:dyDescent="0.25">
      <c r="B29" s="838" t="s">
        <v>1506</v>
      </c>
      <c r="C29" s="778"/>
      <c r="D29" s="778"/>
      <c r="E29" s="778"/>
      <c r="F29" s="778"/>
      <c r="G29" s="778"/>
      <c r="H29" s="778"/>
      <c r="I29" s="778"/>
      <c r="J29" s="778"/>
      <c r="K29" s="778"/>
      <c r="L29" s="778"/>
      <c r="M29" s="778"/>
      <c r="N29" s="778"/>
      <c r="O29" s="168"/>
      <c r="P29" s="168"/>
      <c r="Q29" s="168"/>
      <c r="R29" s="168"/>
      <c r="S29" s="168"/>
      <c r="T29" s="168"/>
      <c r="U29" s="168"/>
      <c r="V29" s="168"/>
      <c r="W29" s="168"/>
      <c r="X29" s="168"/>
    </row>
    <row r="30" spans="1:27" ht="19.899999999999999" customHeight="1" outlineLevel="1" x14ac:dyDescent="0.25">
      <c r="B30" s="778" t="s">
        <v>1252</v>
      </c>
      <c r="C30" s="928"/>
      <c r="D30" s="928"/>
      <c r="E30" s="928"/>
      <c r="F30" s="928"/>
      <c r="G30" s="928"/>
      <c r="H30" s="928"/>
      <c r="I30" s="928"/>
      <c r="J30" s="928"/>
      <c r="K30" s="928"/>
      <c r="L30" s="928"/>
      <c r="M30" s="928"/>
      <c r="N30" s="928"/>
      <c r="O30" s="926"/>
      <c r="P30" s="927"/>
      <c r="Q30" s="927"/>
      <c r="R30" s="929"/>
      <c r="S30" s="929"/>
      <c r="T30" s="929"/>
      <c r="U30" s="929"/>
      <c r="V30" s="929"/>
      <c r="W30" s="929"/>
      <c r="X30" s="929"/>
      <c r="Y30" s="196"/>
      <c r="Z30" s="196"/>
      <c r="AA30" s="197"/>
    </row>
    <row r="31" spans="1:27" ht="19.899999999999999" customHeight="1" outlineLevel="1" x14ac:dyDescent="0.25">
      <c r="B31" s="778" t="s">
        <v>1253</v>
      </c>
      <c r="C31" s="928"/>
      <c r="D31" s="928"/>
      <c r="E31" s="928"/>
      <c r="F31" s="928"/>
      <c r="G31" s="928"/>
      <c r="H31" s="928"/>
      <c r="I31" s="928"/>
      <c r="J31" s="928"/>
      <c r="K31" s="928"/>
      <c r="L31" s="928"/>
      <c r="M31" s="928"/>
      <c r="N31" s="928"/>
      <c r="O31" s="926"/>
      <c r="P31" s="926"/>
      <c r="Q31" s="927"/>
      <c r="R31" s="929"/>
      <c r="S31" s="929"/>
      <c r="T31" s="929"/>
      <c r="U31" s="929"/>
      <c r="V31" s="929"/>
      <c r="W31" s="929"/>
      <c r="X31" s="929"/>
      <c r="Y31" s="196"/>
      <c r="Z31" s="196"/>
      <c r="AA31" s="197"/>
    </row>
    <row r="32" spans="1:27" ht="35.450000000000003" customHeight="1" outlineLevel="1" x14ac:dyDescent="0.25">
      <c r="B32" s="1294" t="s">
        <v>1259</v>
      </c>
      <c r="C32" s="1294"/>
      <c r="D32" s="1294"/>
      <c r="E32" s="1294"/>
      <c r="F32" s="1294"/>
      <c r="G32" s="1294"/>
      <c r="H32" s="1294"/>
      <c r="I32" s="1294"/>
      <c r="J32" s="1294"/>
      <c r="K32" s="1294"/>
      <c r="L32" s="1294"/>
      <c r="M32" s="1294"/>
      <c r="N32" s="1294"/>
      <c r="O32" s="927"/>
      <c r="P32" s="927"/>
      <c r="Q32" s="927"/>
      <c r="R32" s="927"/>
      <c r="S32" s="927"/>
      <c r="T32" s="927"/>
      <c r="U32" s="927"/>
      <c r="V32" s="927"/>
      <c r="W32" s="927"/>
      <c r="X32" s="927"/>
      <c r="Y32" s="198"/>
      <c r="Z32" s="198"/>
      <c r="AA32" s="198"/>
    </row>
    <row r="33" spans="1:28" ht="21" customHeight="1" outlineLevel="1" x14ac:dyDescent="0.25">
      <c r="B33" s="1305" t="s">
        <v>1254</v>
      </c>
      <c r="C33" s="1305"/>
      <c r="D33" s="1305"/>
      <c r="E33" s="1305"/>
      <c r="F33" s="1305"/>
      <c r="G33" s="1305"/>
      <c r="H33" s="1305"/>
      <c r="I33" s="1305"/>
      <c r="J33" s="1305"/>
      <c r="K33" s="1305"/>
      <c r="L33" s="1305"/>
      <c r="M33" s="1305"/>
      <c r="N33" s="797"/>
      <c r="O33" s="927"/>
      <c r="P33" s="927"/>
      <c r="Q33" s="927"/>
      <c r="R33" s="927"/>
      <c r="S33" s="927"/>
      <c r="T33" s="927"/>
      <c r="U33" s="927"/>
      <c r="V33" s="927"/>
      <c r="W33" s="927"/>
      <c r="X33" s="927"/>
      <c r="Y33" s="198"/>
      <c r="Z33" s="198"/>
      <c r="AA33" s="198"/>
    </row>
    <row r="34" spans="1:28" ht="19.899999999999999" customHeight="1" outlineLevel="1" x14ac:dyDescent="0.25">
      <c r="B34" s="1294" t="s">
        <v>1260</v>
      </c>
      <c r="C34" s="1294"/>
      <c r="D34" s="1294"/>
      <c r="E34" s="1294"/>
      <c r="F34" s="1294"/>
      <c r="G34" s="1294"/>
      <c r="H34" s="1294"/>
      <c r="I34" s="1294"/>
      <c r="J34" s="1294"/>
      <c r="K34" s="1294"/>
      <c r="L34" s="1294"/>
      <c r="M34" s="1294"/>
      <c r="N34" s="1294"/>
      <c r="O34" s="929"/>
      <c r="P34" s="929"/>
      <c r="Q34" s="927"/>
      <c r="R34" s="927"/>
      <c r="S34" s="927"/>
      <c r="T34" s="927"/>
      <c r="U34" s="927"/>
      <c r="V34" s="927"/>
      <c r="W34" s="927"/>
      <c r="X34" s="927"/>
      <c r="Y34" s="198"/>
      <c r="Z34" s="198"/>
      <c r="AA34" s="198"/>
    </row>
    <row r="35" spans="1:28" ht="15.75" outlineLevel="1" x14ac:dyDescent="0.25">
      <c r="B35" s="838"/>
      <c r="C35" s="951"/>
      <c r="D35" s="951"/>
      <c r="E35" s="951"/>
      <c r="F35" s="951"/>
      <c r="G35" s="951"/>
      <c r="H35" s="951"/>
      <c r="I35" s="951"/>
      <c r="J35" s="951"/>
      <c r="K35" s="951"/>
      <c r="L35" s="951"/>
      <c r="M35" s="951"/>
      <c r="N35" s="951"/>
      <c r="O35" s="930"/>
      <c r="P35" s="930"/>
      <c r="Q35" s="930"/>
      <c r="R35" s="930"/>
      <c r="S35" s="930"/>
      <c r="T35" s="930"/>
      <c r="U35" s="930"/>
      <c r="V35" s="930"/>
      <c r="W35" s="930"/>
      <c r="X35" s="930"/>
      <c r="Y35" s="197"/>
      <c r="Z35" s="197"/>
      <c r="AA35" s="197"/>
    </row>
    <row r="36" spans="1:28" ht="15.75" outlineLevel="1" x14ac:dyDescent="0.25">
      <c r="E36" s="952"/>
    </row>
    <row r="37" spans="1:28" ht="15.75" outlineLevel="1" x14ac:dyDescent="0.25">
      <c r="E37" s="952"/>
      <c r="I37" s="173"/>
    </row>
    <row r="38" spans="1:28" ht="15.75" outlineLevel="1" x14ac:dyDescent="0.25">
      <c r="B38" s="459" t="s">
        <v>1425</v>
      </c>
      <c r="E38" s="952"/>
    </row>
    <row r="39" spans="1:28" ht="18" customHeight="1" outlineLevel="1" x14ac:dyDescent="0.25">
      <c r="B39" s="1184" t="s">
        <v>780</v>
      </c>
      <c r="C39" s="1184" t="s">
        <v>927</v>
      </c>
      <c r="D39" s="211" t="s">
        <v>1255</v>
      </c>
      <c r="E39" s="1300" t="s">
        <v>1256</v>
      </c>
      <c r="F39" s="1300"/>
      <c r="G39" s="1300"/>
      <c r="H39" s="953" t="s">
        <v>900</v>
      </c>
      <c r="I39" s="1299" t="s">
        <v>901</v>
      </c>
      <c r="J39" s="1299"/>
      <c r="K39" s="1303" t="s">
        <v>1257</v>
      </c>
      <c r="L39" s="1304"/>
      <c r="M39" s="1303" t="s">
        <v>1258</v>
      </c>
      <c r="N39" s="1304"/>
      <c r="Q39" s="954"/>
      <c r="R39" s="954"/>
      <c r="S39" s="954"/>
      <c r="T39" s="954"/>
      <c r="U39" s="954"/>
      <c r="V39" s="954"/>
      <c r="W39" s="954"/>
      <c r="X39" s="954"/>
      <c r="Y39" s="954"/>
      <c r="Z39" s="954"/>
      <c r="AA39" s="954"/>
      <c r="AB39" s="879"/>
    </row>
    <row r="40" spans="1:28" ht="30" customHeight="1" outlineLevel="1" x14ac:dyDescent="0.25">
      <c r="B40" s="1185"/>
      <c r="C40" s="1185"/>
      <c r="D40" s="1300" t="s">
        <v>1243</v>
      </c>
      <c r="E40" s="1300" t="s">
        <v>866</v>
      </c>
      <c r="F40" s="1300" t="s">
        <v>1152</v>
      </c>
      <c r="G40" s="1184" t="s">
        <v>805</v>
      </c>
      <c r="H40" s="1300" t="s">
        <v>1244</v>
      </c>
      <c r="I40" s="1184" t="s">
        <v>865</v>
      </c>
      <c r="J40" s="1301" t="s">
        <v>928</v>
      </c>
      <c r="K40" s="1204" t="s">
        <v>904</v>
      </c>
      <c r="L40" s="1204" t="s">
        <v>905</v>
      </c>
      <c r="M40" s="1204" t="s">
        <v>906</v>
      </c>
      <c r="N40" s="1204" t="s">
        <v>907</v>
      </c>
      <c r="Q40" s="955"/>
      <c r="R40" s="955"/>
      <c r="S40" s="955"/>
      <c r="T40" s="955"/>
      <c r="U40" s="955"/>
      <c r="V40" s="955"/>
      <c r="W40" s="955"/>
      <c r="X40" s="954"/>
      <c r="Y40" s="954"/>
      <c r="Z40" s="954"/>
      <c r="AA40" s="954"/>
      <c r="AB40" s="879"/>
    </row>
    <row r="41" spans="1:28" ht="30" customHeight="1" outlineLevel="1" x14ac:dyDescent="0.25">
      <c r="B41" s="1186"/>
      <c r="C41" s="1186"/>
      <c r="D41" s="1300"/>
      <c r="E41" s="1300"/>
      <c r="F41" s="1300"/>
      <c r="G41" s="1186"/>
      <c r="H41" s="1300"/>
      <c r="I41" s="1186"/>
      <c r="J41" s="1301"/>
      <c r="K41" s="1206"/>
      <c r="L41" s="1206"/>
      <c r="M41" s="1206"/>
      <c r="N41" s="1206"/>
      <c r="Q41" s="212"/>
      <c r="R41" s="956"/>
      <c r="S41" s="956"/>
      <c r="T41" s="956"/>
      <c r="U41" s="956"/>
      <c r="V41" s="956"/>
      <c r="W41" s="956"/>
      <c r="X41" s="212"/>
      <c r="Y41" s="212"/>
      <c r="Z41" s="212"/>
      <c r="AA41" s="956"/>
      <c r="AB41" s="879"/>
    </row>
    <row r="42" spans="1:28" s="204" customFormat="1" ht="30" customHeight="1" outlineLevel="1" x14ac:dyDescent="0.25">
      <c r="A42" s="957" t="s">
        <v>36</v>
      </c>
      <c r="B42" s="958" t="s">
        <v>1669</v>
      </c>
      <c r="C42" s="931" t="s">
        <v>926</v>
      </c>
      <c r="D42" s="931" t="s">
        <v>476</v>
      </c>
      <c r="E42" s="931"/>
      <c r="F42" s="931"/>
      <c r="G42" s="931"/>
      <c r="H42" s="959">
        <v>100</v>
      </c>
      <c r="I42" s="931"/>
      <c r="J42" s="960"/>
      <c r="K42" s="961">
        <v>1.2</v>
      </c>
      <c r="L42" s="961">
        <v>120</v>
      </c>
      <c r="M42" s="961"/>
      <c r="N42" s="961"/>
      <c r="Q42" s="962"/>
      <c r="R42" s="963"/>
      <c r="S42" s="964"/>
      <c r="U42" s="965"/>
      <c r="V42" s="963"/>
      <c r="X42" s="963"/>
      <c r="Y42" s="963"/>
      <c r="Z42" s="963"/>
      <c r="AB42" s="966"/>
    </row>
    <row r="43" spans="1:28" ht="30" customHeight="1" outlineLevel="1" x14ac:dyDescent="0.25">
      <c r="B43" s="713"/>
      <c r="C43" s="714"/>
      <c r="D43" s="715"/>
      <c r="E43" s="214"/>
      <c r="F43" s="214"/>
      <c r="G43" s="215"/>
      <c r="H43" s="716"/>
      <c r="I43" s="717"/>
      <c r="J43" s="707"/>
      <c r="K43" s="967" t="str">
        <f>IFERROR(IF(D43=FAAS!$K$135,'Outras emissões de processo'!F43,VLOOKUP(D43,FAAS!$B$63:$J$82,9,FALSE)),"")</f>
        <v/>
      </c>
      <c r="L43" s="967" t="str">
        <f t="shared" ref="L43:L74" si="0">IFERROR(K43*H43,"")</f>
        <v/>
      </c>
      <c r="M43" s="967" t="str">
        <f>IFERROR(VLOOKUP(I43,FAAS!$A$142:$E$144,5,FALSE)*365/1000,"")</f>
        <v/>
      </c>
      <c r="N43" s="967" t="str">
        <f t="shared" ref="N43:N74" si="1">IFERROR(M43*J43,"")</f>
        <v/>
      </c>
      <c r="Q43" s="968"/>
      <c r="R43" s="969"/>
      <c r="S43" s="970"/>
      <c r="T43" s="969"/>
      <c r="U43" s="968"/>
      <c r="V43" s="969"/>
      <c r="W43" s="968"/>
      <c r="X43" s="969"/>
      <c r="Y43" s="971"/>
      <c r="Z43" s="971"/>
      <c r="AA43" s="968"/>
      <c r="AB43" s="972"/>
    </row>
    <row r="44" spans="1:28" ht="30" customHeight="1" outlineLevel="1" x14ac:dyDescent="0.25">
      <c r="B44" s="713"/>
      <c r="C44" s="714"/>
      <c r="D44" s="715"/>
      <c r="E44" s="214"/>
      <c r="F44" s="214"/>
      <c r="G44" s="215"/>
      <c r="H44" s="716"/>
      <c r="I44" s="717"/>
      <c r="J44" s="707"/>
      <c r="K44" s="967" t="str">
        <f>IFERROR(IF(D44=FAAS!$K$135,'Outras emissões de processo'!F44,VLOOKUP(D44,FAAS!$B$63:$J$82,9,FALSE)),"")</f>
        <v/>
      </c>
      <c r="L44" s="967" t="str">
        <f t="shared" si="0"/>
        <v/>
      </c>
      <c r="M44" s="967" t="str">
        <f>IFERROR(VLOOKUP(I44,FAAS!$A$142:$E$144,5,FALSE)*365/1000,"")</f>
        <v/>
      </c>
      <c r="N44" s="967" t="str">
        <f t="shared" si="1"/>
        <v/>
      </c>
      <c r="Q44" s="973"/>
      <c r="R44" s="969"/>
      <c r="S44" s="970"/>
      <c r="T44" s="969"/>
      <c r="U44" s="973"/>
      <c r="V44" s="968"/>
      <c r="W44" s="968"/>
      <c r="X44" s="971"/>
      <c r="Y44" s="971"/>
      <c r="Z44" s="971"/>
      <c r="AA44" s="968"/>
      <c r="AB44" s="972"/>
    </row>
    <row r="45" spans="1:28" ht="30" customHeight="1" outlineLevel="1" x14ac:dyDescent="0.25">
      <c r="B45" s="713"/>
      <c r="C45" s="714"/>
      <c r="D45" s="715"/>
      <c r="E45" s="214"/>
      <c r="F45" s="214"/>
      <c r="G45" s="215"/>
      <c r="H45" s="716"/>
      <c r="I45" s="717"/>
      <c r="J45" s="707"/>
      <c r="K45" s="967" t="str">
        <f>IFERROR(IF(D45=FAAS!$K$135,'Outras emissões de processo'!F45,VLOOKUP(D45,FAAS!$B$63:$J$82,9,FALSE)),"")</f>
        <v/>
      </c>
      <c r="L45" s="967" t="str">
        <f t="shared" si="0"/>
        <v/>
      </c>
      <c r="M45" s="967" t="str">
        <f>IFERROR(VLOOKUP(I45,FAAS!$A$142:$E$144,5,FALSE)*365/1000,"")</f>
        <v/>
      </c>
      <c r="N45" s="967" t="str">
        <f t="shared" si="1"/>
        <v/>
      </c>
      <c r="Q45" s="973"/>
      <c r="R45" s="969"/>
      <c r="S45" s="970"/>
      <c r="T45" s="969"/>
      <c r="U45" s="973"/>
      <c r="V45" s="968"/>
      <c r="W45" s="968"/>
      <c r="X45" s="971"/>
      <c r="Y45" s="971"/>
      <c r="Z45" s="971"/>
      <c r="AA45" s="968"/>
      <c r="AB45" s="972"/>
    </row>
    <row r="46" spans="1:28" ht="30" customHeight="1" outlineLevel="1" x14ac:dyDescent="0.25">
      <c r="B46" s="713"/>
      <c r="C46" s="714"/>
      <c r="D46" s="715"/>
      <c r="E46" s="214"/>
      <c r="F46" s="214"/>
      <c r="G46" s="215"/>
      <c r="H46" s="716"/>
      <c r="I46" s="717"/>
      <c r="J46" s="707"/>
      <c r="K46" s="967" t="str">
        <f>IFERROR(IF(D46=FAAS!$K$135,'Outras emissões de processo'!F46,VLOOKUP(D46,FAAS!$B$63:$J$82,9,FALSE)),"")</f>
        <v/>
      </c>
      <c r="L46" s="967" t="str">
        <f t="shared" si="0"/>
        <v/>
      </c>
      <c r="M46" s="967" t="str">
        <f>IFERROR(VLOOKUP(I46,FAAS!$A$142:$E$144,5,FALSE)*365/1000,"")</f>
        <v/>
      </c>
      <c r="N46" s="967" t="str">
        <f t="shared" si="1"/>
        <v/>
      </c>
      <c r="Q46" s="973"/>
      <c r="R46" s="969"/>
      <c r="S46" s="970"/>
      <c r="T46" s="969"/>
      <c r="U46" s="973"/>
      <c r="V46" s="971"/>
      <c r="W46" s="968"/>
      <c r="X46" s="971"/>
      <c r="Y46" s="971"/>
      <c r="Z46" s="971"/>
      <c r="AA46" s="968"/>
      <c r="AB46" s="972"/>
    </row>
    <row r="47" spans="1:28" ht="30" customHeight="1" outlineLevel="1" x14ac:dyDescent="0.25">
      <c r="B47" s="713"/>
      <c r="C47" s="714"/>
      <c r="D47" s="715"/>
      <c r="E47" s="214"/>
      <c r="F47" s="214"/>
      <c r="G47" s="215"/>
      <c r="H47" s="716"/>
      <c r="I47" s="717"/>
      <c r="J47" s="707"/>
      <c r="K47" s="967" t="str">
        <f>IFERROR(IF(D47=FAAS!$K$135,'Outras emissões de processo'!F47,VLOOKUP(D47,FAAS!$B$63:$J$82,9,FALSE)),"")</f>
        <v/>
      </c>
      <c r="L47" s="967" t="str">
        <f t="shared" si="0"/>
        <v/>
      </c>
      <c r="M47" s="967" t="str">
        <f>IFERROR(VLOOKUP(I47,FAAS!$A$142:$E$144,5,FALSE)*365/1000,"")</f>
        <v/>
      </c>
      <c r="N47" s="967" t="str">
        <f t="shared" si="1"/>
        <v/>
      </c>
      <c r="Q47" s="973"/>
      <c r="R47" s="969"/>
      <c r="S47" s="970"/>
      <c r="T47" s="969"/>
      <c r="U47" s="973"/>
      <c r="V47" s="971"/>
      <c r="W47" s="968"/>
      <c r="X47" s="971"/>
      <c r="Y47" s="971"/>
      <c r="Z47" s="971"/>
      <c r="AA47" s="968"/>
      <c r="AB47" s="972"/>
    </row>
    <row r="48" spans="1:28" ht="30" customHeight="1" outlineLevel="1" x14ac:dyDescent="0.25">
      <c r="B48" s="713"/>
      <c r="C48" s="714"/>
      <c r="D48" s="715"/>
      <c r="E48" s="214"/>
      <c r="F48" s="214"/>
      <c r="G48" s="215"/>
      <c r="H48" s="716"/>
      <c r="I48" s="717"/>
      <c r="J48" s="707"/>
      <c r="K48" s="967" t="str">
        <f>IFERROR(IF(D48=FAAS!$K$135,'Outras emissões de processo'!F48,VLOOKUP(D48,FAAS!$B$63:$J$82,9,FALSE)),"")</f>
        <v/>
      </c>
      <c r="L48" s="967" t="str">
        <f t="shared" si="0"/>
        <v/>
      </c>
      <c r="M48" s="967" t="str">
        <f>IFERROR(VLOOKUP(I48,FAAS!$A$142:$E$144,5,FALSE)*365/1000,"")</f>
        <v/>
      </c>
      <c r="N48" s="967" t="str">
        <f t="shared" si="1"/>
        <v/>
      </c>
      <c r="Q48" s="973"/>
      <c r="R48" s="969"/>
      <c r="S48" s="970"/>
      <c r="T48" s="969"/>
      <c r="U48" s="973"/>
      <c r="V48" s="971"/>
      <c r="W48" s="968"/>
      <c r="X48" s="971"/>
      <c r="Y48" s="971"/>
      <c r="Z48" s="971"/>
      <c r="AA48" s="968"/>
      <c r="AB48" s="972"/>
    </row>
    <row r="49" spans="2:28" ht="30" customHeight="1" outlineLevel="1" x14ac:dyDescent="0.25">
      <c r="B49" s="713"/>
      <c r="C49" s="714"/>
      <c r="D49" s="715"/>
      <c r="E49" s="214"/>
      <c r="F49" s="214"/>
      <c r="G49" s="215"/>
      <c r="H49" s="716"/>
      <c r="I49" s="717"/>
      <c r="J49" s="707"/>
      <c r="K49" s="967" t="str">
        <f>IFERROR(IF(D49=FAAS!$K$135,'Outras emissões de processo'!F49,VLOOKUP(D49,FAAS!$B$63:$J$82,9,FALSE)),"")</f>
        <v/>
      </c>
      <c r="L49" s="967" t="str">
        <f t="shared" si="0"/>
        <v/>
      </c>
      <c r="M49" s="967" t="str">
        <f>IFERROR(VLOOKUP(I49,FAAS!$A$142:$E$144,5,FALSE)*365/1000,"")</f>
        <v/>
      </c>
      <c r="N49" s="967" t="str">
        <f t="shared" si="1"/>
        <v/>
      </c>
      <c r="Q49" s="973"/>
      <c r="R49" s="969"/>
      <c r="S49" s="970"/>
      <c r="T49" s="969"/>
      <c r="U49" s="973"/>
      <c r="V49" s="971"/>
      <c r="W49" s="968"/>
      <c r="X49" s="971"/>
      <c r="Y49" s="971"/>
      <c r="Z49" s="971"/>
      <c r="AA49" s="968"/>
      <c r="AB49" s="972"/>
    </row>
    <row r="50" spans="2:28" ht="30" customHeight="1" outlineLevel="1" x14ac:dyDescent="0.25">
      <c r="B50" s="713"/>
      <c r="C50" s="714"/>
      <c r="D50" s="715"/>
      <c r="E50" s="214"/>
      <c r="F50" s="214"/>
      <c r="G50" s="215"/>
      <c r="H50" s="716"/>
      <c r="I50" s="717"/>
      <c r="J50" s="707"/>
      <c r="K50" s="967" t="str">
        <f>IFERROR(IF(D50=FAAS!$K$135,'Outras emissões de processo'!F50,VLOOKUP(D50,FAAS!$B$63:$J$82,9,FALSE)),"")</f>
        <v/>
      </c>
      <c r="L50" s="967" t="str">
        <f t="shared" si="0"/>
        <v/>
      </c>
      <c r="M50" s="967" t="str">
        <f>IFERROR(VLOOKUP(I50,FAAS!$A$142:$E$144,5,FALSE)*365/1000,"")</f>
        <v/>
      </c>
      <c r="N50" s="967" t="str">
        <f t="shared" si="1"/>
        <v/>
      </c>
      <c r="Q50" s="973"/>
      <c r="R50" s="969"/>
      <c r="S50" s="970"/>
      <c r="T50" s="969"/>
      <c r="U50" s="973"/>
      <c r="V50" s="971"/>
      <c r="W50" s="968"/>
      <c r="X50" s="971"/>
      <c r="Y50" s="971"/>
      <c r="Z50" s="971"/>
      <c r="AA50" s="968"/>
      <c r="AB50" s="972"/>
    </row>
    <row r="51" spans="2:28" ht="30" customHeight="1" outlineLevel="1" x14ac:dyDescent="0.25">
      <c r="B51" s="713"/>
      <c r="C51" s="714"/>
      <c r="D51" s="715"/>
      <c r="E51" s="214"/>
      <c r="F51" s="214"/>
      <c r="G51" s="215"/>
      <c r="H51" s="716"/>
      <c r="I51" s="717"/>
      <c r="J51" s="707"/>
      <c r="K51" s="967" t="str">
        <f>IFERROR(IF(D51=FAAS!$K$135,'Outras emissões de processo'!F51,VLOOKUP(D51,FAAS!$B$63:$J$82,9,FALSE)),"")</f>
        <v/>
      </c>
      <c r="L51" s="967" t="str">
        <f t="shared" si="0"/>
        <v/>
      </c>
      <c r="M51" s="967" t="str">
        <f>IFERROR(VLOOKUP(I51,FAAS!$A$142:$E$144,5,FALSE)*365/1000,"")</f>
        <v/>
      </c>
      <c r="N51" s="967" t="str">
        <f t="shared" si="1"/>
        <v/>
      </c>
      <c r="Q51" s="973"/>
      <c r="R51" s="969"/>
      <c r="S51" s="970"/>
      <c r="T51" s="969"/>
      <c r="U51" s="973"/>
      <c r="V51" s="971"/>
      <c r="W51" s="968"/>
      <c r="X51" s="971"/>
      <c r="Y51" s="971"/>
      <c r="Z51" s="971"/>
      <c r="AA51" s="968"/>
      <c r="AB51" s="972"/>
    </row>
    <row r="52" spans="2:28" ht="30" customHeight="1" outlineLevel="1" x14ac:dyDescent="0.25">
      <c r="B52" s="713"/>
      <c r="C52" s="714"/>
      <c r="D52" s="715"/>
      <c r="E52" s="214"/>
      <c r="F52" s="214"/>
      <c r="G52" s="215"/>
      <c r="H52" s="716"/>
      <c r="I52" s="717"/>
      <c r="J52" s="707"/>
      <c r="K52" s="967" t="str">
        <f>IFERROR(IF(D52=FAAS!$K$135,'Outras emissões de processo'!F52,VLOOKUP(D52,FAAS!$B$63:$J$82,9,FALSE)),"")</f>
        <v/>
      </c>
      <c r="L52" s="967" t="str">
        <f t="shared" si="0"/>
        <v/>
      </c>
      <c r="M52" s="967" t="str">
        <f>IFERROR(VLOOKUP(I52,FAAS!$A$142:$E$144,5,FALSE)*365/1000,"")</f>
        <v/>
      </c>
      <c r="N52" s="967" t="str">
        <f t="shared" si="1"/>
        <v/>
      </c>
      <c r="Q52" s="973"/>
      <c r="R52" s="969"/>
      <c r="S52" s="970"/>
      <c r="T52" s="969"/>
      <c r="U52" s="973"/>
      <c r="V52" s="971"/>
      <c r="W52" s="968"/>
      <c r="X52" s="971"/>
      <c r="Y52" s="971"/>
      <c r="Z52" s="971"/>
      <c r="AA52" s="968"/>
      <c r="AB52" s="972"/>
    </row>
    <row r="53" spans="2:28" ht="30" customHeight="1" outlineLevel="1" x14ac:dyDescent="0.25">
      <c r="B53" s="713"/>
      <c r="C53" s="714"/>
      <c r="D53" s="715"/>
      <c r="E53" s="214"/>
      <c r="F53" s="214"/>
      <c r="G53" s="215"/>
      <c r="H53" s="716"/>
      <c r="I53" s="717"/>
      <c r="J53" s="707"/>
      <c r="K53" s="967" t="str">
        <f>IFERROR(IF(D53=FAAS!$K$135,'Outras emissões de processo'!F53,VLOOKUP(D53,FAAS!$B$63:$J$82,9,FALSE)),"")</f>
        <v/>
      </c>
      <c r="L53" s="967" t="str">
        <f t="shared" si="0"/>
        <v/>
      </c>
      <c r="M53" s="967" t="str">
        <f>IFERROR(VLOOKUP(I53,FAAS!$A$142:$E$144,5,FALSE)*365/1000,"")</f>
        <v/>
      </c>
      <c r="N53" s="967" t="str">
        <f t="shared" si="1"/>
        <v/>
      </c>
      <c r="Q53" s="973"/>
      <c r="R53" s="969"/>
      <c r="S53" s="970"/>
      <c r="T53" s="969"/>
      <c r="U53" s="973"/>
      <c r="V53" s="971"/>
      <c r="W53" s="968"/>
      <c r="X53" s="971"/>
      <c r="Y53" s="971"/>
      <c r="Z53" s="971"/>
      <c r="AA53" s="968"/>
      <c r="AB53" s="972"/>
    </row>
    <row r="54" spans="2:28" ht="30" hidden="1" customHeight="1" outlineLevel="2" x14ac:dyDescent="0.25">
      <c r="B54" s="713"/>
      <c r="C54" s="714"/>
      <c r="D54" s="715"/>
      <c r="E54" s="214"/>
      <c r="F54" s="214"/>
      <c r="G54" s="215"/>
      <c r="H54" s="716"/>
      <c r="I54" s="717"/>
      <c r="J54" s="707"/>
      <c r="K54" s="967" t="str">
        <f>IFERROR(IF(D54=FAAS!$K$135,'Outras emissões de processo'!F54,VLOOKUP(D54,FAAS!$B$63:$J$82,9,FALSE)),"")</f>
        <v/>
      </c>
      <c r="L54" s="967" t="str">
        <f t="shared" si="0"/>
        <v/>
      </c>
      <c r="M54" s="967" t="str">
        <f>IFERROR(VLOOKUP(I54,FAAS!$A$142:$E$144,5,FALSE)*365/1000,"")</f>
        <v/>
      </c>
      <c r="N54" s="967" t="str">
        <f t="shared" si="1"/>
        <v/>
      </c>
      <c r="Q54" s="973"/>
      <c r="R54" s="969"/>
      <c r="S54" s="970"/>
      <c r="T54" s="969"/>
      <c r="U54" s="973"/>
      <c r="V54" s="971"/>
      <c r="W54" s="968"/>
      <c r="X54" s="971"/>
      <c r="Y54" s="971"/>
      <c r="Z54" s="971"/>
      <c r="AA54" s="968"/>
      <c r="AB54" s="972"/>
    </row>
    <row r="55" spans="2:28" ht="30" hidden="1" customHeight="1" outlineLevel="2" x14ac:dyDescent="0.25">
      <c r="B55" s="713"/>
      <c r="C55" s="714"/>
      <c r="D55" s="715"/>
      <c r="E55" s="214"/>
      <c r="F55" s="214"/>
      <c r="G55" s="215"/>
      <c r="H55" s="716"/>
      <c r="I55" s="717"/>
      <c r="J55" s="707"/>
      <c r="K55" s="967" t="str">
        <f>IFERROR(IF(D55=FAAS!$K$135,'Outras emissões de processo'!F55,VLOOKUP(D55,FAAS!$B$63:$J$82,9,FALSE)),"")</f>
        <v/>
      </c>
      <c r="L55" s="967" t="str">
        <f t="shared" si="0"/>
        <v/>
      </c>
      <c r="M55" s="967" t="str">
        <f>IFERROR(VLOOKUP(I55,FAAS!$A$142:$E$144,5,FALSE)*365/1000,"")</f>
        <v/>
      </c>
      <c r="N55" s="967" t="str">
        <f t="shared" si="1"/>
        <v/>
      </c>
      <c r="Q55" s="973"/>
      <c r="R55" s="969"/>
      <c r="S55" s="970"/>
      <c r="T55" s="969"/>
      <c r="U55" s="973"/>
      <c r="V55" s="971"/>
      <c r="W55" s="968"/>
      <c r="X55" s="971"/>
      <c r="Y55" s="971"/>
      <c r="Z55" s="971"/>
      <c r="AA55" s="968"/>
      <c r="AB55" s="972"/>
    </row>
    <row r="56" spans="2:28" ht="30" hidden="1" customHeight="1" outlineLevel="2" x14ac:dyDescent="0.25">
      <c r="B56" s="713"/>
      <c r="C56" s="714"/>
      <c r="D56" s="715"/>
      <c r="E56" s="214"/>
      <c r="F56" s="214"/>
      <c r="G56" s="215"/>
      <c r="H56" s="716"/>
      <c r="I56" s="717"/>
      <c r="J56" s="707"/>
      <c r="K56" s="967" t="str">
        <f>IFERROR(IF(D56=FAAS!$K$135,'Outras emissões de processo'!F56,VLOOKUP(D56,FAAS!$B$63:$J$82,9,FALSE)),"")</f>
        <v/>
      </c>
      <c r="L56" s="967" t="str">
        <f t="shared" si="0"/>
        <v/>
      </c>
      <c r="M56" s="967" t="str">
        <f>IFERROR(VLOOKUP(I56,FAAS!$A$142:$E$144,5,FALSE)*365/1000,"")</f>
        <v/>
      </c>
      <c r="N56" s="967" t="str">
        <f t="shared" si="1"/>
        <v/>
      </c>
      <c r="Q56" s="973"/>
      <c r="R56" s="969"/>
      <c r="S56" s="970"/>
      <c r="T56" s="969"/>
      <c r="U56" s="973"/>
      <c r="V56" s="971"/>
      <c r="W56" s="968"/>
      <c r="X56" s="971"/>
      <c r="Y56" s="971"/>
      <c r="Z56" s="971"/>
      <c r="AA56" s="968"/>
      <c r="AB56" s="972"/>
    </row>
    <row r="57" spans="2:28" ht="30" hidden="1" customHeight="1" outlineLevel="2" x14ac:dyDescent="0.25">
      <c r="B57" s="713"/>
      <c r="C57" s="714"/>
      <c r="D57" s="715"/>
      <c r="E57" s="214"/>
      <c r="F57" s="214"/>
      <c r="G57" s="215"/>
      <c r="H57" s="716"/>
      <c r="I57" s="717"/>
      <c r="J57" s="707"/>
      <c r="K57" s="967" t="str">
        <f>IFERROR(IF(D57=FAAS!$K$135,'Outras emissões de processo'!F57,VLOOKUP(D57,FAAS!$B$63:$J$82,9,FALSE)),"")</f>
        <v/>
      </c>
      <c r="L57" s="967" t="str">
        <f t="shared" si="0"/>
        <v/>
      </c>
      <c r="M57" s="967" t="str">
        <f>IFERROR(VLOOKUP(I57,FAAS!$A$142:$E$144,5,FALSE)*365/1000,"")</f>
        <v/>
      </c>
      <c r="N57" s="967" t="str">
        <f t="shared" si="1"/>
        <v/>
      </c>
      <c r="Q57" s="973"/>
      <c r="R57" s="969"/>
      <c r="S57" s="970"/>
      <c r="T57" s="969"/>
      <c r="U57" s="973"/>
      <c r="V57" s="971"/>
      <c r="W57" s="968"/>
      <c r="X57" s="971"/>
      <c r="Y57" s="971"/>
      <c r="Z57" s="971"/>
      <c r="AA57" s="968"/>
      <c r="AB57" s="972"/>
    </row>
    <row r="58" spans="2:28" ht="30" hidden="1" customHeight="1" outlineLevel="2" x14ac:dyDescent="0.25">
      <c r="B58" s="713"/>
      <c r="C58" s="714"/>
      <c r="D58" s="715"/>
      <c r="E58" s="214"/>
      <c r="F58" s="214"/>
      <c r="G58" s="215"/>
      <c r="H58" s="716"/>
      <c r="I58" s="717"/>
      <c r="J58" s="707"/>
      <c r="K58" s="967" t="str">
        <f>IFERROR(IF(D58=FAAS!$K$135,'Outras emissões de processo'!F58,VLOOKUP(D58,FAAS!$B$63:$J$82,9,FALSE)),"")</f>
        <v/>
      </c>
      <c r="L58" s="967" t="str">
        <f t="shared" si="0"/>
        <v/>
      </c>
      <c r="M58" s="967" t="str">
        <f>IFERROR(VLOOKUP(I58,FAAS!$A$142:$E$144,5,FALSE)*365/1000,"")</f>
        <v/>
      </c>
      <c r="N58" s="967" t="str">
        <f t="shared" si="1"/>
        <v/>
      </c>
      <c r="Q58" s="973"/>
      <c r="R58" s="969"/>
      <c r="S58" s="970"/>
      <c r="T58" s="969"/>
      <c r="U58" s="973"/>
      <c r="V58" s="971"/>
      <c r="W58" s="968"/>
      <c r="X58" s="971"/>
      <c r="Y58" s="971"/>
      <c r="Z58" s="971"/>
      <c r="AA58" s="968"/>
      <c r="AB58" s="972"/>
    </row>
    <row r="59" spans="2:28" ht="30" hidden="1" customHeight="1" outlineLevel="2" x14ac:dyDescent="0.25">
      <c r="B59" s="713"/>
      <c r="C59" s="714"/>
      <c r="D59" s="715"/>
      <c r="E59" s="214"/>
      <c r="F59" s="214"/>
      <c r="G59" s="215"/>
      <c r="H59" s="716"/>
      <c r="I59" s="717"/>
      <c r="J59" s="707"/>
      <c r="K59" s="967" t="str">
        <f>IFERROR(IF(D59=FAAS!$K$135,'Outras emissões de processo'!F59,VLOOKUP(D59,FAAS!$B$63:$J$82,9,FALSE)),"")</f>
        <v/>
      </c>
      <c r="L59" s="967" t="str">
        <f t="shared" si="0"/>
        <v/>
      </c>
      <c r="M59" s="967" t="str">
        <f>IFERROR(VLOOKUP(I59,FAAS!$A$142:$E$144,5,FALSE)*365/1000,"")</f>
        <v/>
      </c>
      <c r="N59" s="967" t="str">
        <f t="shared" si="1"/>
        <v/>
      </c>
      <c r="Q59" s="973"/>
      <c r="R59" s="969"/>
      <c r="S59" s="970"/>
      <c r="T59" s="969"/>
      <c r="U59" s="973"/>
      <c r="V59" s="971"/>
      <c r="W59" s="968"/>
      <c r="X59" s="971"/>
      <c r="Y59" s="971"/>
      <c r="Z59" s="971"/>
      <c r="AA59" s="968"/>
      <c r="AB59" s="972"/>
    </row>
    <row r="60" spans="2:28" ht="30" hidden="1" customHeight="1" outlineLevel="2" x14ac:dyDescent="0.25">
      <c r="B60" s="713"/>
      <c r="C60" s="714"/>
      <c r="D60" s="715"/>
      <c r="E60" s="214"/>
      <c r="F60" s="214"/>
      <c r="G60" s="215"/>
      <c r="H60" s="716"/>
      <c r="I60" s="717"/>
      <c r="J60" s="707"/>
      <c r="K60" s="967" t="str">
        <f>IFERROR(IF(D60=FAAS!$K$135,'Outras emissões de processo'!F60,VLOOKUP(D60,FAAS!$B$63:$J$82,9,FALSE)),"")</f>
        <v/>
      </c>
      <c r="L60" s="967" t="str">
        <f t="shared" si="0"/>
        <v/>
      </c>
      <c r="M60" s="967" t="str">
        <f>IFERROR(VLOOKUP(I60,FAAS!$A$142:$E$144,5,FALSE)*365/1000,"")</f>
        <v/>
      </c>
      <c r="N60" s="967" t="str">
        <f t="shared" si="1"/>
        <v/>
      </c>
      <c r="Q60" s="973"/>
      <c r="R60" s="969"/>
      <c r="S60" s="970"/>
      <c r="T60" s="969"/>
      <c r="U60" s="973"/>
      <c r="V60" s="971"/>
      <c r="W60" s="968"/>
      <c r="X60" s="971"/>
      <c r="Y60" s="971"/>
      <c r="Z60" s="971"/>
      <c r="AA60" s="968"/>
      <c r="AB60" s="972"/>
    </row>
    <row r="61" spans="2:28" ht="30" hidden="1" customHeight="1" outlineLevel="2" x14ac:dyDescent="0.25">
      <c r="B61" s="713"/>
      <c r="C61" s="714"/>
      <c r="D61" s="715"/>
      <c r="E61" s="214"/>
      <c r="F61" s="214"/>
      <c r="G61" s="215"/>
      <c r="H61" s="716"/>
      <c r="I61" s="717"/>
      <c r="J61" s="707"/>
      <c r="K61" s="967" t="str">
        <f>IFERROR(IF(D61=FAAS!$K$135,'Outras emissões de processo'!F61,VLOOKUP(D61,FAAS!$B$63:$J$82,9,FALSE)),"")</f>
        <v/>
      </c>
      <c r="L61" s="967" t="str">
        <f t="shared" si="0"/>
        <v/>
      </c>
      <c r="M61" s="967" t="str">
        <f>IFERROR(VLOOKUP(I61,FAAS!$A$142:$E$144,5,FALSE)*365/1000,"")</f>
        <v/>
      </c>
      <c r="N61" s="967" t="str">
        <f t="shared" si="1"/>
        <v/>
      </c>
      <c r="Q61" s="973"/>
      <c r="R61" s="969"/>
      <c r="S61" s="970"/>
      <c r="T61" s="969"/>
      <c r="U61" s="973"/>
      <c r="V61" s="971"/>
      <c r="W61" s="968"/>
      <c r="X61" s="971"/>
      <c r="Y61" s="971"/>
      <c r="Z61" s="971"/>
      <c r="AA61" s="968"/>
      <c r="AB61" s="972"/>
    </row>
    <row r="62" spans="2:28" ht="30" hidden="1" customHeight="1" outlineLevel="2" x14ac:dyDescent="0.25">
      <c r="B62" s="713"/>
      <c r="C62" s="714"/>
      <c r="D62" s="715"/>
      <c r="E62" s="214"/>
      <c r="F62" s="214"/>
      <c r="G62" s="215"/>
      <c r="H62" s="716"/>
      <c r="I62" s="717"/>
      <c r="J62" s="707"/>
      <c r="K62" s="967" t="str">
        <f>IFERROR(IF(D62=FAAS!$K$135,'Outras emissões de processo'!F62,VLOOKUP(D62,FAAS!$B$63:$J$82,9,FALSE)),"")</f>
        <v/>
      </c>
      <c r="L62" s="967" t="str">
        <f t="shared" si="0"/>
        <v/>
      </c>
      <c r="M62" s="967" t="str">
        <f>IFERROR(VLOOKUP(I62,FAAS!$A$142:$E$144,5,FALSE)*365/1000,"")</f>
        <v/>
      </c>
      <c r="N62" s="967" t="str">
        <f t="shared" si="1"/>
        <v/>
      </c>
      <c r="Q62" s="973"/>
      <c r="R62" s="969"/>
      <c r="S62" s="970"/>
      <c r="T62" s="969"/>
      <c r="U62" s="973"/>
      <c r="V62" s="971"/>
      <c r="W62" s="968"/>
      <c r="X62" s="971"/>
      <c r="Y62" s="971"/>
      <c r="Z62" s="971"/>
      <c r="AA62" s="968"/>
      <c r="AB62" s="972"/>
    </row>
    <row r="63" spans="2:28" ht="30" hidden="1" customHeight="1" outlineLevel="2" x14ac:dyDescent="0.25">
      <c r="B63" s="713"/>
      <c r="C63" s="714"/>
      <c r="D63" s="715"/>
      <c r="E63" s="214"/>
      <c r="F63" s="214"/>
      <c r="G63" s="215"/>
      <c r="H63" s="716"/>
      <c r="I63" s="717"/>
      <c r="J63" s="707"/>
      <c r="K63" s="967" t="str">
        <f>IFERROR(IF(D63=FAAS!$K$135,'Outras emissões de processo'!F63,VLOOKUP(D63,FAAS!$B$63:$J$82,9,FALSE)),"")</f>
        <v/>
      </c>
      <c r="L63" s="967" t="str">
        <f t="shared" si="0"/>
        <v/>
      </c>
      <c r="M63" s="967" t="str">
        <f>IFERROR(VLOOKUP(I63,FAAS!$A$142:$E$144,5,FALSE)*365/1000,"")</f>
        <v/>
      </c>
      <c r="N63" s="967" t="str">
        <f t="shared" si="1"/>
        <v/>
      </c>
      <c r="Q63" s="973"/>
      <c r="R63" s="969"/>
      <c r="S63" s="970"/>
      <c r="T63" s="969"/>
      <c r="U63" s="973"/>
      <c r="V63" s="971"/>
      <c r="W63" s="968"/>
      <c r="X63" s="971"/>
      <c r="Y63" s="971"/>
      <c r="Z63" s="971"/>
      <c r="AA63" s="968"/>
      <c r="AB63" s="972"/>
    </row>
    <row r="64" spans="2:28" ht="30" hidden="1" customHeight="1" outlineLevel="2" x14ac:dyDescent="0.25">
      <c r="B64" s="713"/>
      <c r="C64" s="714"/>
      <c r="D64" s="715"/>
      <c r="E64" s="214"/>
      <c r="F64" s="214"/>
      <c r="G64" s="215"/>
      <c r="H64" s="716"/>
      <c r="I64" s="717"/>
      <c r="J64" s="707"/>
      <c r="K64" s="967" t="str">
        <f>IFERROR(IF(D64=FAAS!$K$135,'Outras emissões de processo'!F64,VLOOKUP(D64,FAAS!$B$63:$J$82,9,FALSE)),"")</f>
        <v/>
      </c>
      <c r="L64" s="967" t="str">
        <f t="shared" si="0"/>
        <v/>
      </c>
      <c r="M64" s="967" t="str">
        <f>IFERROR(VLOOKUP(I64,FAAS!$A$142:$E$144,5,FALSE)*365/1000,"")</f>
        <v/>
      </c>
      <c r="N64" s="967" t="str">
        <f t="shared" si="1"/>
        <v/>
      </c>
      <c r="Q64" s="973"/>
      <c r="R64" s="969"/>
      <c r="S64" s="970"/>
      <c r="T64" s="969"/>
      <c r="U64" s="973"/>
      <c r="V64" s="971"/>
      <c r="W64" s="968"/>
      <c r="X64" s="971"/>
      <c r="Y64" s="971"/>
      <c r="Z64" s="971"/>
      <c r="AA64" s="968"/>
      <c r="AB64" s="972"/>
    </row>
    <row r="65" spans="2:28" ht="30" hidden="1" customHeight="1" outlineLevel="2" x14ac:dyDescent="0.25">
      <c r="B65" s="713"/>
      <c r="C65" s="714"/>
      <c r="D65" s="715"/>
      <c r="E65" s="214"/>
      <c r="F65" s="214"/>
      <c r="G65" s="215"/>
      <c r="H65" s="716"/>
      <c r="I65" s="717"/>
      <c r="J65" s="707"/>
      <c r="K65" s="967" t="str">
        <f>IFERROR(IF(D65=FAAS!$K$135,'Outras emissões de processo'!F65,VLOOKUP(D65,FAAS!$B$63:$J$82,9,FALSE)),"")</f>
        <v/>
      </c>
      <c r="L65" s="967" t="str">
        <f t="shared" si="0"/>
        <v/>
      </c>
      <c r="M65" s="967" t="str">
        <f>IFERROR(VLOOKUP(I65,FAAS!$A$142:$E$144,5,FALSE)*365/1000,"")</f>
        <v/>
      </c>
      <c r="N65" s="967" t="str">
        <f t="shared" si="1"/>
        <v/>
      </c>
      <c r="Q65" s="973"/>
      <c r="R65" s="969"/>
      <c r="S65" s="970"/>
      <c r="T65" s="969"/>
      <c r="U65" s="973"/>
      <c r="V65" s="971"/>
      <c r="W65" s="968"/>
      <c r="X65" s="971"/>
      <c r="Y65" s="971"/>
      <c r="Z65" s="971"/>
      <c r="AA65" s="968"/>
      <c r="AB65" s="972"/>
    </row>
    <row r="66" spans="2:28" ht="30" hidden="1" customHeight="1" outlineLevel="2" x14ac:dyDescent="0.25">
      <c r="B66" s="713"/>
      <c r="C66" s="714"/>
      <c r="D66" s="715"/>
      <c r="E66" s="214"/>
      <c r="F66" s="214"/>
      <c r="G66" s="215"/>
      <c r="H66" s="716"/>
      <c r="I66" s="717"/>
      <c r="J66" s="707"/>
      <c r="K66" s="967" t="str">
        <f>IFERROR(IF(D66=FAAS!$K$135,'Outras emissões de processo'!F66,VLOOKUP(D66,FAAS!$B$63:$J$82,9,FALSE)),"")</f>
        <v/>
      </c>
      <c r="L66" s="967" t="str">
        <f t="shared" si="0"/>
        <v/>
      </c>
      <c r="M66" s="967" t="str">
        <f>IFERROR(VLOOKUP(I66,FAAS!$A$142:$E$144,5,FALSE)*365/1000,"")</f>
        <v/>
      </c>
      <c r="N66" s="967" t="str">
        <f t="shared" si="1"/>
        <v/>
      </c>
      <c r="Q66" s="973"/>
      <c r="R66" s="969"/>
      <c r="S66" s="970"/>
      <c r="T66" s="969"/>
      <c r="U66" s="973"/>
      <c r="V66" s="971"/>
      <c r="W66" s="968"/>
      <c r="X66" s="971"/>
      <c r="Y66" s="971"/>
      <c r="Z66" s="971"/>
      <c r="AA66" s="968"/>
      <c r="AB66" s="972"/>
    </row>
    <row r="67" spans="2:28" ht="30" hidden="1" customHeight="1" outlineLevel="2" x14ac:dyDescent="0.25">
      <c r="B67" s="713"/>
      <c r="C67" s="714"/>
      <c r="D67" s="715"/>
      <c r="E67" s="214"/>
      <c r="F67" s="214"/>
      <c r="G67" s="215"/>
      <c r="H67" s="716"/>
      <c r="I67" s="717"/>
      <c r="J67" s="707"/>
      <c r="K67" s="967" t="str">
        <f>IFERROR(IF(D67=FAAS!$K$135,'Outras emissões de processo'!F67,VLOOKUP(D67,FAAS!$B$63:$J$82,9,FALSE)),"")</f>
        <v/>
      </c>
      <c r="L67" s="967" t="str">
        <f t="shared" si="0"/>
        <v/>
      </c>
      <c r="M67" s="967" t="str">
        <f>IFERROR(VLOOKUP(I67,FAAS!$A$142:$E$144,5,FALSE)*365/1000,"")</f>
        <v/>
      </c>
      <c r="N67" s="967" t="str">
        <f t="shared" si="1"/>
        <v/>
      </c>
      <c r="Q67" s="973"/>
      <c r="R67" s="969"/>
      <c r="S67" s="970"/>
      <c r="T67" s="969"/>
      <c r="U67" s="973"/>
      <c r="V67" s="971"/>
      <c r="W67" s="968"/>
      <c r="X67" s="971"/>
      <c r="Y67" s="971"/>
      <c r="Z67" s="971"/>
      <c r="AA67" s="968"/>
      <c r="AB67" s="972"/>
    </row>
    <row r="68" spans="2:28" ht="30" hidden="1" customHeight="1" outlineLevel="2" x14ac:dyDescent="0.25">
      <c r="B68" s="713"/>
      <c r="C68" s="714"/>
      <c r="D68" s="715"/>
      <c r="E68" s="214"/>
      <c r="F68" s="214"/>
      <c r="G68" s="215"/>
      <c r="H68" s="716"/>
      <c r="I68" s="717"/>
      <c r="J68" s="707"/>
      <c r="K68" s="967" t="str">
        <f>IFERROR(IF(D68=FAAS!$K$135,'Outras emissões de processo'!F68,VLOOKUP(D68,FAAS!$B$63:$J$82,9,FALSE)),"")</f>
        <v/>
      </c>
      <c r="L68" s="967" t="str">
        <f t="shared" si="0"/>
        <v/>
      </c>
      <c r="M68" s="967" t="str">
        <f>IFERROR(VLOOKUP(I68,FAAS!$A$142:$E$144,5,FALSE)*365/1000,"")</f>
        <v/>
      </c>
      <c r="N68" s="967" t="str">
        <f t="shared" si="1"/>
        <v/>
      </c>
      <c r="Q68" s="973"/>
      <c r="R68" s="969"/>
      <c r="S68" s="970"/>
      <c r="T68" s="969"/>
      <c r="U68" s="973"/>
      <c r="V68" s="971"/>
      <c r="W68" s="968"/>
      <c r="X68" s="971"/>
      <c r="Y68" s="971"/>
      <c r="Z68" s="971"/>
      <c r="AA68" s="968"/>
      <c r="AB68" s="972"/>
    </row>
    <row r="69" spans="2:28" ht="30" hidden="1" customHeight="1" outlineLevel="2" x14ac:dyDescent="0.25">
      <c r="B69" s="713"/>
      <c r="C69" s="714"/>
      <c r="D69" s="715"/>
      <c r="E69" s="214"/>
      <c r="F69" s="214"/>
      <c r="G69" s="215"/>
      <c r="H69" s="716"/>
      <c r="I69" s="717"/>
      <c r="J69" s="707"/>
      <c r="K69" s="967" t="str">
        <f>IFERROR(IF(D69=FAAS!$K$135,'Outras emissões de processo'!F69,VLOOKUP(D69,FAAS!$B$63:$J$82,9,FALSE)),"")</f>
        <v/>
      </c>
      <c r="L69" s="967" t="str">
        <f t="shared" si="0"/>
        <v/>
      </c>
      <c r="M69" s="967" t="str">
        <f>IFERROR(VLOOKUP(I69,FAAS!$A$142:$E$144,5,FALSE)*365/1000,"")</f>
        <v/>
      </c>
      <c r="N69" s="967" t="str">
        <f t="shared" si="1"/>
        <v/>
      </c>
      <c r="Q69" s="973"/>
      <c r="R69" s="969"/>
      <c r="S69" s="970"/>
      <c r="T69" s="969"/>
      <c r="U69" s="973"/>
      <c r="V69" s="971"/>
      <c r="W69" s="968"/>
      <c r="X69" s="971"/>
      <c r="Y69" s="971"/>
      <c r="Z69" s="971"/>
      <c r="AA69" s="968"/>
      <c r="AB69" s="972"/>
    </row>
    <row r="70" spans="2:28" ht="30" hidden="1" customHeight="1" outlineLevel="2" x14ac:dyDescent="0.25">
      <c r="B70" s="713"/>
      <c r="C70" s="714"/>
      <c r="D70" s="715"/>
      <c r="E70" s="214"/>
      <c r="F70" s="214"/>
      <c r="G70" s="215"/>
      <c r="H70" s="716"/>
      <c r="I70" s="717"/>
      <c r="J70" s="707"/>
      <c r="K70" s="967" t="str">
        <f>IFERROR(IF(D70=FAAS!$K$135,'Outras emissões de processo'!F70,VLOOKUP(D70,FAAS!$B$63:$J$82,9,FALSE)),"")</f>
        <v/>
      </c>
      <c r="L70" s="967" t="str">
        <f t="shared" si="0"/>
        <v/>
      </c>
      <c r="M70" s="967" t="str">
        <f>IFERROR(VLOOKUP(I70,FAAS!$A$142:$E$144,5,FALSE)*365/1000,"")</f>
        <v/>
      </c>
      <c r="N70" s="967" t="str">
        <f t="shared" si="1"/>
        <v/>
      </c>
      <c r="Q70" s="973"/>
      <c r="R70" s="969"/>
      <c r="S70" s="970"/>
      <c r="T70" s="969"/>
      <c r="U70" s="973"/>
      <c r="V70" s="971"/>
      <c r="W70" s="968"/>
      <c r="X70" s="971"/>
      <c r="Y70" s="971"/>
      <c r="Z70" s="971"/>
      <c r="AA70" s="968"/>
      <c r="AB70" s="972"/>
    </row>
    <row r="71" spans="2:28" ht="30" hidden="1" customHeight="1" outlineLevel="2" x14ac:dyDescent="0.25">
      <c r="B71" s="713"/>
      <c r="C71" s="714"/>
      <c r="D71" s="715"/>
      <c r="E71" s="214"/>
      <c r="F71" s="214"/>
      <c r="G71" s="215"/>
      <c r="H71" s="716"/>
      <c r="I71" s="717"/>
      <c r="J71" s="707"/>
      <c r="K71" s="967" t="str">
        <f>IFERROR(IF(D71=FAAS!$K$135,'Outras emissões de processo'!F71,VLOOKUP(D71,FAAS!$B$63:$J$82,9,FALSE)),"")</f>
        <v/>
      </c>
      <c r="L71" s="967" t="str">
        <f t="shared" si="0"/>
        <v/>
      </c>
      <c r="M71" s="967" t="str">
        <f>IFERROR(VLOOKUP(I71,FAAS!$A$142:$E$144,5,FALSE)*365/1000,"")</f>
        <v/>
      </c>
      <c r="N71" s="967" t="str">
        <f t="shared" si="1"/>
        <v/>
      </c>
      <c r="Q71" s="973"/>
      <c r="R71" s="969"/>
      <c r="S71" s="970"/>
      <c r="T71" s="969"/>
      <c r="U71" s="973"/>
      <c r="V71" s="971"/>
      <c r="W71" s="968"/>
      <c r="X71" s="971"/>
      <c r="Y71" s="971"/>
      <c r="Z71" s="971"/>
      <c r="AA71" s="968"/>
      <c r="AB71" s="972"/>
    </row>
    <row r="72" spans="2:28" ht="30" hidden="1" customHeight="1" outlineLevel="2" x14ac:dyDescent="0.25">
      <c r="B72" s="713"/>
      <c r="C72" s="714"/>
      <c r="D72" s="715"/>
      <c r="E72" s="214"/>
      <c r="F72" s="214"/>
      <c r="G72" s="215"/>
      <c r="H72" s="716"/>
      <c r="I72" s="717"/>
      <c r="J72" s="707"/>
      <c r="K72" s="967" t="str">
        <f>IFERROR(IF(D72=FAAS!$K$135,'Outras emissões de processo'!F72,VLOOKUP(D72,FAAS!$B$63:$J$82,9,FALSE)),"")</f>
        <v/>
      </c>
      <c r="L72" s="967" t="str">
        <f t="shared" si="0"/>
        <v/>
      </c>
      <c r="M72" s="967" t="str">
        <f>IFERROR(VLOOKUP(I72,FAAS!$A$142:$E$144,5,FALSE)*365/1000,"")</f>
        <v/>
      </c>
      <c r="N72" s="967" t="str">
        <f t="shared" si="1"/>
        <v/>
      </c>
      <c r="Q72" s="973"/>
      <c r="R72" s="969"/>
      <c r="S72" s="970"/>
      <c r="T72" s="969"/>
      <c r="U72" s="973"/>
      <c r="V72" s="971"/>
      <c r="W72" s="968"/>
      <c r="X72" s="971"/>
      <c r="Y72" s="971"/>
      <c r="Z72" s="971"/>
      <c r="AA72" s="968"/>
      <c r="AB72" s="972"/>
    </row>
    <row r="73" spans="2:28" ht="30" hidden="1" customHeight="1" outlineLevel="2" x14ac:dyDescent="0.25">
      <c r="B73" s="713"/>
      <c r="C73" s="714"/>
      <c r="D73" s="715"/>
      <c r="E73" s="214"/>
      <c r="F73" s="214"/>
      <c r="G73" s="215"/>
      <c r="H73" s="716"/>
      <c r="I73" s="717"/>
      <c r="J73" s="707"/>
      <c r="K73" s="967" t="str">
        <f>IFERROR(IF(D73=FAAS!$K$135,'Outras emissões de processo'!F73,VLOOKUP(D73,FAAS!$B$63:$J$82,9,FALSE)),"")</f>
        <v/>
      </c>
      <c r="L73" s="967" t="str">
        <f t="shared" si="0"/>
        <v/>
      </c>
      <c r="M73" s="967" t="str">
        <f>IFERROR(VLOOKUP(I73,FAAS!$A$142:$E$144,5,FALSE)*365/1000,"")</f>
        <v/>
      </c>
      <c r="N73" s="967" t="str">
        <f t="shared" si="1"/>
        <v/>
      </c>
      <c r="Q73" s="973"/>
      <c r="R73" s="969"/>
      <c r="S73" s="970"/>
      <c r="T73" s="969"/>
      <c r="U73" s="973"/>
      <c r="V73" s="971"/>
      <c r="W73" s="968"/>
      <c r="X73" s="971"/>
      <c r="Y73" s="971"/>
      <c r="Z73" s="971"/>
      <c r="AA73" s="968"/>
      <c r="AB73" s="972"/>
    </row>
    <row r="74" spans="2:28" ht="30" hidden="1" customHeight="1" outlineLevel="2" x14ac:dyDescent="0.25">
      <c r="B74" s="713"/>
      <c r="C74" s="714"/>
      <c r="D74" s="715"/>
      <c r="E74" s="214"/>
      <c r="F74" s="214"/>
      <c r="G74" s="215"/>
      <c r="H74" s="716"/>
      <c r="I74" s="717"/>
      <c r="J74" s="707"/>
      <c r="K74" s="967" t="str">
        <f>IFERROR(IF(D74=FAAS!$K$135,'Outras emissões de processo'!F74,VLOOKUP(D74,FAAS!$B$63:$J$82,9,FALSE)),"")</f>
        <v/>
      </c>
      <c r="L74" s="967" t="str">
        <f t="shared" si="0"/>
        <v/>
      </c>
      <c r="M74" s="967" t="str">
        <f>IFERROR(VLOOKUP(I74,FAAS!$A$142:$E$144,5,FALSE)*365/1000,"")</f>
        <v/>
      </c>
      <c r="N74" s="967" t="str">
        <f t="shared" si="1"/>
        <v/>
      </c>
      <c r="Q74" s="973"/>
      <c r="R74" s="969"/>
      <c r="S74" s="970"/>
      <c r="T74" s="969"/>
      <c r="U74" s="973"/>
      <c r="V74" s="971"/>
      <c r="W74" s="968"/>
      <c r="X74" s="971"/>
      <c r="Y74" s="971"/>
      <c r="Z74" s="971"/>
      <c r="AA74" s="968"/>
      <c r="AB74" s="972"/>
    </row>
    <row r="75" spans="2:28" ht="30" hidden="1" customHeight="1" outlineLevel="2" x14ac:dyDescent="0.25">
      <c r="B75" s="713"/>
      <c r="C75" s="714"/>
      <c r="D75" s="715"/>
      <c r="E75" s="214"/>
      <c r="F75" s="214"/>
      <c r="G75" s="215"/>
      <c r="H75" s="716"/>
      <c r="I75" s="717"/>
      <c r="J75" s="707"/>
      <c r="K75" s="967" t="str">
        <f>IFERROR(IF(D75=FAAS!$K$135,'Outras emissões de processo'!F75,VLOOKUP(D75,FAAS!$B$63:$J$82,9,FALSE)),"")</f>
        <v/>
      </c>
      <c r="L75" s="967" t="str">
        <f t="shared" ref="L75:L106" si="2">IFERROR(K75*H75,"")</f>
        <v/>
      </c>
      <c r="M75" s="967" t="str">
        <f>IFERROR(VLOOKUP(I75,FAAS!$A$142:$E$144,5,FALSE)*365/1000,"")</f>
        <v/>
      </c>
      <c r="N75" s="967" t="str">
        <f t="shared" ref="N75:N106" si="3">IFERROR(M75*J75,"")</f>
        <v/>
      </c>
      <c r="Q75" s="973"/>
      <c r="R75" s="969"/>
      <c r="S75" s="970"/>
      <c r="T75" s="969"/>
      <c r="U75" s="973"/>
      <c r="V75" s="971"/>
      <c r="W75" s="968"/>
      <c r="X75" s="971"/>
      <c r="Y75" s="971"/>
      <c r="Z75" s="971"/>
      <c r="AA75" s="968"/>
      <c r="AB75" s="972"/>
    </row>
    <row r="76" spans="2:28" ht="30" hidden="1" customHeight="1" outlineLevel="2" x14ac:dyDescent="0.25">
      <c r="B76" s="713"/>
      <c r="C76" s="714"/>
      <c r="D76" s="715"/>
      <c r="E76" s="214"/>
      <c r="F76" s="214"/>
      <c r="G76" s="215"/>
      <c r="H76" s="716"/>
      <c r="I76" s="717"/>
      <c r="J76" s="707"/>
      <c r="K76" s="967" t="str">
        <f>IFERROR(IF(D76=FAAS!$K$135,'Outras emissões de processo'!F76,VLOOKUP(D76,FAAS!$B$63:$J$82,9,FALSE)),"")</f>
        <v/>
      </c>
      <c r="L76" s="967" t="str">
        <f t="shared" si="2"/>
        <v/>
      </c>
      <c r="M76" s="967" t="str">
        <f>IFERROR(VLOOKUP(I76,FAAS!$A$142:$E$144,5,FALSE)*365/1000,"")</f>
        <v/>
      </c>
      <c r="N76" s="967" t="str">
        <f t="shared" si="3"/>
        <v/>
      </c>
      <c r="Q76" s="973"/>
      <c r="R76" s="969"/>
      <c r="S76" s="970"/>
      <c r="T76" s="969"/>
      <c r="U76" s="973"/>
      <c r="V76" s="971"/>
      <c r="W76" s="968"/>
      <c r="X76" s="971"/>
      <c r="Y76" s="971"/>
      <c r="Z76" s="971"/>
      <c r="AA76" s="968"/>
      <c r="AB76" s="972"/>
    </row>
    <row r="77" spans="2:28" ht="30" hidden="1" customHeight="1" outlineLevel="2" x14ac:dyDescent="0.25">
      <c r="B77" s="713"/>
      <c r="C77" s="714"/>
      <c r="D77" s="715"/>
      <c r="E77" s="214"/>
      <c r="F77" s="214"/>
      <c r="G77" s="215"/>
      <c r="H77" s="716"/>
      <c r="I77" s="717"/>
      <c r="J77" s="707"/>
      <c r="K77" s="967" t="str">
        <f>IFERROR(IF(D77=FAAS!$K$135,'Outras emissões de processo'!F77,VLOOKUP(D77,FAAS!$B$63:$J$82,9,FALSE)),"")</f>
        <v/>
      </c>
      <c r="L77" s="967" t="str">
        <f t="shared" si="2"/>
        <v/>
      </c>
      <c r="M77" s="967" t="str">
        <f>IFERROR(VLOOKUP(I77,FAAS!$A$142:$E$144,5,FALSE)*365/1000,"")</f>
        <v/>
      </c>
      <c r="N77" s="967" t="str">
        <f t="shared" si="3"/>
        <v/>
      </c>
      <c r="Q77" s="973"/>
      <c r="R77" s="969"/>
      <c r="S77" s="970"/>
      <c r="T77" s="969"/>
      <c r="U77" s="973"/>
      <c r="V77" s="971"/>
      <c r="W77" s="968"/>
      <c r="X77" s="971"/>
      <c r="Y77" s="971"/>
      <c r="Z77" s="971"/>
      <c r="AA77" s="968"/>
      <c r="AB77" s="972"/>
    </row>
    <row r="78" spans="2:28" ht="30" hidden="1" customHeight="1" outlineLevel="2" x14ac:dyDescent="0.25">
      <c r="B78" s="713"/>
      <c r="C78" s="714"/>
      <c r="D78" s="715"/>
      <c r="E78" s="214"/>
      <c r="F78" s="214"/>
      <c r="G78" s="215"/>
      <c r="H78" s="716"/>
      <c r="I78" s="717"/>
      <c r="J78" s="707"/>
      <c r="K78" s="967" t="str">
        <f>IFERROR(IF(D78=FAAS!$K$135,'Outras emissões de processo'!F78,VLOOKUP(D78,FAAS!$B$63:$J$82,9,FALSE)),"")</f>
        <v/>
      </c>
      <c r="L78" s="967" t="str">
        <f t="shared" si="2"/>
        <v/>
      </c>
      <c r="M78" s="967" t="str">
        <f>IFERROR(VLOOKUP(I78,FAAS!$A$142:$E$144,5,FALSE)*365/1000,"")</f>
        <v/>
      </c>
      <c r="N78" s="967" t="str">
        <f t="shared" si="3"/>
        <v/>
      </c>
      <c r="Q78" s="973"/>
      <c r="R78" s="969"/>
      <c r="S78" s="970"/>
      <c r="T78" s="969"/>
      <c r="U78" s="973"/>
      <c r="V78" s="971"/>
      <c r="W78" s="968"/>
      <c r="X78" s="971"/>
      <c r="Y78" s="971"/>
      <c r="Z78" s="971"/>
      <c r="AA78" s="968"/>
      <c r="AB78" s="972"/>
    </row>
    <row r="79" spans="2:28" ht="30" hidden="1" customHeight="1" outlineLevel="2" x14ac:dyDescent="0.25">
      <c r="B79" s="713"/>
      <c r="C79" s="714"/>
      <c r="D79" s="715"/>
      <c r="E79" s="214"/>
      <c r="F79" s="214"/>
      <c r="G79" s="215"/>
      <c r="H79" s="716"/>
      <c r="I79" s="717"/>
      <c r="J79" s="707"/>
      <c r="K79" s="967" t="str">
        <f>IFERROR(IF(D79=FAAS!$K$135,'Outras emissões de processo'!F79,VLOOKUP(D79,FAAS!$B$63:$J$82,9,FALSE)),"")</f>
        <v/>
      </c>
      <c r="L79" s="967" t="str">
        <f t="shared" si="2"/>
        <v/>
      </c>
      <c r="M79" s="967" t="str">
        <f>IFERROR(VLOOKUP(I79,FAAS!$A$142:$E$144,5,FALSE)*365/1000,"")</f>
        <v/>
      </c>
      <c r="N79" s="967" t="str">
        <f t="shared" si="3"/>
        <v/>
      </c>
      <c r="Q79" s="973"/>
      <c r="R79" s="969"/>
      <c r="S79" s="970"/>
      <c r="T79" s="969"/>
      <c r="U79" s="973"/>
      <c r="V79" s="971"/>
      <c r="W79" s="968"/>
      <c r="X79" s="971"/>
      <c r="Y79" s="971"/>
      <c r="Z79" s="971"/>
      <c r="AA79" s="968"/>
      <c r="AB79" s="972"/>
    </row>
    <row r="80" spans="2:28" ht="30" hidden="1" customHeight="1" outlineLevel="2" x14ac:dyDescent="0.25">
      <c r="B80" s="713"/>
      <c r="C80" s="714"/>
      <c r="D80" s="715"/>
      <c r="E80" s="214"/>
      <c r="F80" s="214"/>
      <c r="G80" s="215"/>
      <c r="H80" s="716"/>
      <c r="I80" s="717"/>
      <c r="J80" s="707"/>
      <c r="K80" s="967" t="str">
        <f>IFERROR(IF(D80=FAAS!$K$135,'Outras emissões de processo'!F80,VLOOKUP(D80,FAAS!$B$63:$J$82,9,FALSE)),"")</f>
        <v/>
      </c>
      <c r="L80" s="967" t="str">
        <f t="shared" si="2"/>
        <v/>
      </c>
      <c r="M80" s="967" t="str">
        <f>IFERROR(VLOOKUP(I80,FAAS!$A$142:$E$144,5,FALSE)*365/1000,"")</f>
        <v/>
      </c>
      <c r="N80" s="967" t="str">
        <f t="shared" si="3"/>
        <v/>
      </c>
      <c r="Q80" s="973"/>
      <c r="R80" s="969"/>
      <c r="S80" s="970"/>
      <c r="T80" s="969"/>
      <c r="U80" s="973"/>
      <c r="V80" s="971"/>
      <c r="W80" s="968"/>
      <c r="X80" s="971"/>
      <c r="Y80" s="971"/>
      <c r="Z80" s="971"/>
      <c r="AA80" s="968"/>
      <c r="AB80" s="972"/>
    </row>
    <row r="81" spans="2:28" ht="30" hidden="1" customHeight="1" outlineLevel="2" x14ac:dyDescent="0.25">
      <c r="B81" s="713"/>
      <c r="C81" s="714"/>
      <c r="D81" s="715"/>
      <c r="E81" s="214"/>
      <c r="F81" s="214"/>
      <c r="G81" s="215"/>
      <c r="H81" s="716"/>
      <c r="I81" s="717"/>
      <c r="J81" s="707"/>
      <c r="K81" s="967" t="str">
        <f>IFERROR(IF(D81=FAAS!$K$135,'Outras emissões de processo'!F81,VLOOKUP(D81,FAAS!$B$63:$J$82,9,FALSE)),"")</f>
        <v/>
      </c>
      <c r="L81" s="967" t="str">
        <f t="shared" si="2"/>
        <v/>
      </c>
      <c r="M81" s="967" t="str">
        <f>IFERROR(VLOOKUP(I81,FAAS!$A$142:$E$144,5,FALSE)*365/1000,"")</f>
        <v/>
      </c>
      <c r="N81" s="967" t="str">
        <f t="shared" si="3"/>
        <v/>
      </c>
      <c r="Q81" s="973"/>
      <c r="R81" s="969"/>
      <c r="S81" s="970"/>
      <c r="T81" s="969"/>
      <c r="U81" s="973"/>
      <c r="V81" s="971"/>
      <c r="W81" s="968"/>
      <c r="X81" s="971"/>
      <c r="Y81" s="971"/>
      <c r="Z81" s="971"/>
      <c r="AA81" s="968"/>
      <c r="AB81" s="972"/>
    </row>
    <row r="82" spans="2:28" ht="30" hidden="1" customHeight="1" outlineLevel="2" x14ac:dyDescent="0.25">
      <c r="B82" s="713"/>
      <c r="C82" s="714"/>
      <c r="D82" s="715"/>
      <c r="E82" s="214"/>
      <c r="F82" s="214"/>
      <c r="G82" s="215"/>
      <c r="H82" s="716"/>
      <c r="I82" s="717"/>
      <c r="J82" s="707"/>
      <c r="K82" s="967" t="str">
        <f>IFERROR(IF(D82=FAAS!$K$135,'Outras emissões de processo'!F82,VLOOKUP(D82,FAAS!$B$63:$J$82,9,FALSE)),"")</f>
        <v/>
      </c>
      <c r="L82" s="967" t="str">
        <f t="shared" si="2"/>
        <v/>
      </c>
      <c r="M82" s="967" t="str">
        <f>IFERROR(VLOOKUP(I82,FAAS!$A$142:$E$144,5,FALSE)*365/1000,"")</f>
        <v/>
      </c>
      <c r="N82" s="967" t="str">
        <f t="shared" si="3"/>
        <v/>
      </c>
      <c r="Q82" s="973"/>
      <c r="R82" s="969"/>
      <c r="S82" s="970"/>
      <c r="T82" s="969"/>
      <c r="U82" s="973"/>
      <c r="V82" s="971"/>
      <c r="W82" s="968"/>
      <c r="X82" s="971"/>
      <c r="Y82" s="971"/>
      <c r="Z82" s="971"/>
      <c r="AA82" s="968"/>
      <c r="AB82" s="972"/>
    </row>
    <row r="83" spans="2:28" ht="30" hidden="1" customHeight="1" outlineLevel="2" x14ac:dyDescent="0.25">
      <c r="B83" s="713"/>
      <c r="C83" s="714"/>
      <c r="D83" s="715"/>
      <c r="E83" s="214"/>
      <c r="F83" s="214"/>
      <c r="G83" s="215"/>
      <c r="H83" s="716"/>
      <c r="I83" s="717"/>
      <c r="J83" s="707"/>
      <c r="K83" s="967" t="str">
        <f>IFERROR(IF(D83=FAAS!$K$135,'Outras emissões de processo'!F83,VLOOKUP(D83,FAAS!$B$63:$J$82,9,FALSE)),"")</f>
        <v/>
      </c>
      <c r="L83" s="967" t="str">
        <f t="shared" si="2"/>
        <v/>
      </c>
      <c r="M83" s="967" t="str">
        <f>IFERROR(VLOOKUP(I83,FAAS!$A$142:$E$144,5,FALSE)*365/1000,"")</f>
        <v/>
      </c>
      <c r="N83" s="967" t="str">
        <f t="shared" si="3"/>
        <v/>
      </c>
      <c r="Q83" s="973"/>
      <c r="R83" s="969"/>
      <c r="S83" s="970"/>
      <c r="T83" s="969"/>
      <c r="U83" s="973"/>
      <c r="V83" s="971"/>
      <c r="W83" s="968"/>
      <c r="X83" s="971"/>
      <c r="Y83" s="971"/>
      <c r="Z83" s="971"/>
      <c r="AA83" s="968"/>
      <c r="AB83" s="972"/>
    </row>
    <row r="84" spans="2:28" ht="30" hidden="1" customHeight="1" outlineLevel="2" x14ac:dyDescent="0.25">
      <c r="B84" s="713"/>
      <c r="C84" s="714"/>
      <c r="D84" s="715"/>
      <c r="E84" s="214"/>
      <c r="F84" s="214"/>
      <c r="G84" s="215"/>
      <c r="H84" s="716"/>
      <c r="I84" s="717"/>
      <c r="J84" s="707"/>
      <c r="K84" s="967" t="str">
        <f>IFERROR(IF(D84=FAAS!$K$135,'Outras emissões de processo'!F84,VLOOKUP(D84,FAAS!$B$63:$J$82,9,FALSE)),"")</f>
        <v/>
      </c>
      <c r="L84" s="967" t="str">
        <f t="shared" si="2"/>
        <v/>
      </c>
      <c r="M84" s="967" t="str">
        <f>IFERROR(VLOOKUP(I84,FAAS!$A$142:$E$144,5,FALSE)*365/1000,"")</f>
        <v/>
      </c>
      <c r="N84" s="967" t="str">
        <f t="shared" si="3"/>
        <v/>
      </c>
      <c r="Q84" s="973"/>
      <c r="R84" s="969"/>
      <c r="S84" s="970"/>
      <c r="T84" s="969"/>
      <c r="U84" s="973"/>
      <c r="V84" s="971"/>
      <c r="W84" s="968"/>
      <c r="X84" s="971"/>
      <c r="Y84" s="971"/>
      <c r="Z84" s="971"/>
      <c r="AA84" s="968"/>
      <c r="AB84" s="972"/>
    </row>
    <row r="85" spans="2:28" ht="30" hidden="1" customHeight="1" outlineLevel="2" x14ac:dyDescent="0.25">
      <c r="B85" s="713"/>
      <c r="C85" s="714"/>
      <c r="D85" s="715"/>
      <c r="E85" s="214"/>
      <c r="F85" s="214"/>
      <c r="G85" s="215"/>
      <c r="H85" s="716"/>
      <c r="I85" s="717"/>
      <c r="J85" s="707"/>
      <c r="K85" s="967" t="str">
        <f>IFERROR(IF(D85=FAAS!$K$135,'Outras emissões de processo'!F85,VLOOKUP(D85,FAAS!$B$63:$J$82,9,FALSE)),"")</f>
        <v/>
      </c>
      <c r="L85" s="967" t="str">
        <f t="shared" si="2"/>
        <v/>
      </c>
      <c r="M85" s="967" t="str">
        <f>IFERROR(VLOOKUP(I85,FAAS!$A$142:$E$144,5,FALSE)*365/1000,"")</f>
        <v/>
      </c>
      <c r="N85" s="967" t="str">
        <f t="shared" si="3"/>
        <v/>
      </c>
      <c r="Q85" s="973"/>
      <c r="R85" s="969"/>
      <c r="S85" s="970"/>
      <c r="T85" s="969"/>
      <c r="U85" s="973"/>
      <c r="V85" s="971"/>
      <c r="W85" s="968"/>
      <c r="X85" s="971"/>
      <c r="Y85" s="971"/>
      <c r="Z85" s="971"/>
      <c r="AA85" s="968"/>
      <c r="AB85" s="972"/>
    </row>
    <row r="86" spans="2:28" ht="30" hidden="1" customHeight="1" outlineLevel="2" x14ac:dyDescent="0.25">
      <c r="B86" s="713"/>
      <c r="C86" s="714"/>
      <c r="D86" s="715"/>
      <c r="E86" s="214"/>
      <c r="F86" s="214"/>
      <c r="G86" s="215"/>
      <c r="H86" s="716"/>
      <c r="I86" s="717"/>
      <c r="J86" s="707"/>
      <c r="K86" s="967" t="str">
        <f>IFERROR(IF(D86=FAAS!$K$135,'Outras emissões de processo'!F86,VLOOKUP(D86,FAAS!$B$63:$J$82,9,FALSE)),"")</f>
        <v/>
      </c>
      <c r="L86" s="967" t="str">
        <f t="shared" si="2"/>
        <v/>
      </c>
      <c r="M86" s="967" t="str">
        <f>IFERROR(VLOOKUP(I86,FAAS!$A$142:$E$144,5,FALSE)*365/1000,"")</f>
        <v/>
      </c>
      <c r="N86" s="967" t="str">
        <f t="shared" si="3"/>
        <v/>
      </c>
      <c r="Q86" s="973"/>
      <c r="R86" s="969"/>
      <c r="S86" s="970"/>
      <c r="T86" s="969"/>
      <c r="U86" s="973"/>
      <c r="V86" s="971"/>
      <c r="W86" s="968"/>
      <c r="X86" s="971"/>
      <c r="Y86" s="971"/>
      <c r="Z86" s="971"/>
      <c r="AA86" s="968"/>
      <c r="AB86" s="972"/>
    </row>
    <row r="87" spans="2:28" ht="30" hidden="1" customHeight="1" outlineLevel="2" x14ac:dyDescent="0.25">
      <c r="B87" s="713"/>
      <c r="C87" s="714"/>
      <c r="D87" s="715"/>
      <c r="E87" s="214"/>
      <c r="F87" s="214"/>
      <c r="G87" s="215"/>
      <c r="H87" s="716"/>
      <c r="I87" s="717"/>
      <c r="J87" s="707"/>
      <c r="K87" s="967" t="str">
        <f>IFERROR(IF(D87=FAAS!$K$135,'Outras emissões de processo'!F87,VLOOKUP(D87,FAAS!$B$63:$J$82,9,FALSE)),"")</f>
        <v/>
      </c>
      <c r="L87" s="967" t="str">
        <f t="shared" si="2"/>
        <v/>
      </c>
      <c r="M87" s="967" t="str">
        <f>IFERROR(VLOOKUP(I87,FAAS!$A$142:$E$144,5,FALSE)*365/1000,"")</f>
        <v/>
      </c>
      <c r="N87" s="967" t="str">
        <f t="shared" si="3"/>
        <v/>
      </c>
      <c r="Q87" s="973"/>
      <c r="R87" s="969"/>
      <c r="S87" s="970"/>
      <c r="T87" s="969"/>
      <c r="U87" s="973"/>
      <c r="V87" s="971"/>
      <c r="W87" s="968"/>
      <c r="X87" s="971"/>
      <c r="Y87" s="971"/>
      <c r="Z87" s="971"/>
      <c r="AA87" s="968"/>
      <c r="AB87" s="972"/>
    </row>
    <row r="88" spans="2:28" ht="30" hidden="1" customHeight="1" outlineLevel="2" x14ac:dyDescent="0.25">
      <c r="B88" s="713"/>
      <c r="C88" s="714"/>
      <c r="D88" s="715"/>
      <c r="E88" s="214"/>
      <c r="F88" s="214"/>
      <c r="G88" s="215"/>
      <c r="H88" s="716"/>
      <c r="I88" s="717"/>
      <c r="J88" s="707"/>
      <c r="K88" s="967" t="str">
        <f>IFERROR(IF(D88=FAAS!$K$135,'Outras emissões de processo'!F88,VLOOKUP(D88,FAAS!$B$63:$J$82,9,FALSE)),"")</f>
        <v/>
      </c>
      <c r="L88" s="967" t="str">
        <f t="shared" si="2"/>
        <v/>
      </c>
      <c r="M88" s="967" t="str">
        <f>IFERROR(VLOOKUP(I88,FAAS!$A$142:$E$144,5,FALSE)*365/1000,"")</f>
        <v/>
      </c>
      <c r="N88" s="967" t="str">
        <f t="shared" si="3"/>
        <v/>
      </c>
      <c r="Q88" s="973"/>
      <c r="R88" s="969"/>
      <c r="S88" s="970"/>
      <c r="T88" s="969"/>
      <c r="U88" s="973"/>
      <c r="V88" s="971"/>
      <c r="W88" s="968"/>
      <c r="X88" s="971"/>
      <c r="Y88" s="971"/>
      <c r="Z88" s="971"/>
      <c r="AA88" s="968"/>
      <c r="AB88" s="972"/>
    </row>
    <row r="89" spans="2:28" ht="30" hidden="1" customHeight="1" outlineLevel="2" x14ac:dyDescent="0.25">
      <c r="B89" s="713"/>
      <c r="C89" s="714"/>
      <c r="D89" s="715"/>
      <c r="E89" s="214"/>
      <c r="F89" s="214"/>
      <c r="G89" s="215"/>
      <c r="H89" s="716"/>
      <c r="I89" s="717"/>
      <c r="J89" s="707"/>
      <c r="K89" s="967" t="str">
        <f>IFERROR(IF(D89=FAAS!$K$135,'Outras emissões de processo'!F89,VLOOKUP(D89,FAAS!$B$63:$J$82,9,FALSE)),"")</f>
        <v/>
      </c>
      <c r="L89" s="967" t="str">
        <f t="shared" si="2"/>
        <v/>
      </c>
      <c r="M89" s="967" t="str">
        <f>IFERROR(VLOOKUP(I89,FAAS!$A$142:$E$144,5,FALSE)*365/1000,"")</f>
        <v/>
      </c>
      <c r="N89" s="967" t="str">
        <f t="shared" si="3"/>
        <v/>
      </c>
      <c r="Q89" s="973"/>
      <c r="R89" s="969"/>
      <c r="S89" s="970"/>
      <c r="T89" s="969"/>
      <c r="U89" s="973"/>
      <c r="V89" s="971"/>
      <c r="W89" s="968"/>
      <c r="X89" s="971"/>
      <c r="Y89" s="971"/>
      <c r="Z89" s="971"/>
      <c r="AA89" s="968"/>
      <c r="AB89" s="972"/>
    </row>
    <row r="90" spans="2:28" ht="30" hidden="1" customHeight="1" outlineLevel="2" x14ac:dyDescent="0.25">
      <c r="B90" s="713"/>
      <c r="C90" s="714"/>
      <c r="D90" s="715"/>
      <c r="E90" s="214"/>
      <c r="F90" s="214"/>
      <c r="G90" s="215"/>
      <c r="H90" s="716"/>
      <c r="I90" s="717"/>
      <c r="J90" s="707"/>
      <c r="K90" s="967" t="str">
        <f>IFERROR(IF(D90=FAAS!$K$135,'Outras emissões de processo'!F90,VLOOKUP(D90,FAAS!$B$63:$J$82,9,FALSE)),"")</f>
        <v/>
      </c>
      <c r="L90" s="967" t="str">
        <f t="shared" si="2"/>
        <v/>
      </c>
      <c r="M90" s="967" t="str">
        <f>IFERROR(VLOOKUP(I90,FAAS!$A$142:$E$144,5,FALSE)*365/1000,"")</f>
        <v/>
      </c>
      <c r="N90" s="967" t="str">
        <f t="shared" si="3"/>
        <v/>
      </c>
      <c r="Q90" s="973"/>
      <c r="R90" s="969"/>
      <c r="S90" s="970"/>
      <c r="T90" s="969"/>
      <c r="U90" s="973"/>
      <c r="V90" s="971"/>
      <c r="W90" s="968"/>
      <c r="X90" s="971"/>
      <c r="Y90" s="971"/>
      <c r="Z90" s="971"/>
      <c r="AA90" s="968"/>
      <c r="AB90" s="972"/>
    </row>
    <row r="91" spans="2:28" ht="30" hidden="1" customHeight="1" outlineLevel="2" x14ac:dyDescent="0.25">
      <c r="B91" s="713"/>
      <c r="C91" s="714"/>
      <c r="D91" s="715"/>
      <c r="E91" s="214"/>
      <c r="F91" s="214"/>
      <c r="G91" s="215"/>
      <c r="H91" s="716"/>
      <c r="I91" s="717"/>
      <c r="J91" s="707"/>
      <c r="K91" s="967" t="str">
        <f>IFERROR(IF(D91=FAAS!$K$135,'Outras emissões de processo'!F91,VLOOKUP(D91,FAAS!$B$63:$J$82,9,FALSE)),"")</f>
        <v/>
      </c>
      <c r="L91" s="967" t="str">
        <f t="shared" si="2"/>
        <v/>
      </c>
      <c r="M91" s="967" t="str">
        <f>IFERROR(VLOOKUP(I91,FAAS!$A$142:$E$144,5,FALSE)*365/1000,"")</f>
        <v/>
      </c>
      <c r="N91" s="967" t="str">
        <f t="shared" si="3"/>
        <v/>
      </c>
      <c r="Q91" s="973"/>
      <c r="R91" s="969"/>
      <c r="S91" s="970"/>
      <c r="T91" s="969"/>
      <c r="U91" s="973"/>
      <c r="V91" s="971"/>
      <c r="W91" s="968"/>
      <c r="X91" s="971"/>
      <c r="Y91" s="971"/>
      <c r="Z91" s="971"/>
      <c r="AA91" s="968"/>
      <c r="AB91" s="972"/>
    </row>
    <row r="92" spans="2:28" ht="30" hidden="1" customHeight="1" outlineLevel="2" x14ac:dyDescent="0.25">
      <c r="B92" s="713"/>
      <c r="C92" s="714"/>
      <c r="D92" s="715"/>
      <c r="E92" s="214"/>
      <c r="F92" s="214"/>
      <c r="G92" s="215"/>
      <c r="H92" s="716"/>
      <c r="I92" s="717"/>
      <c r="J92" s="707"/>
      <c r="K92" s="967" t="str">
        <f>IFERROR(IF(D92=FAAS!$K$135,'Outras emissões de processo'!F92,VLOOKUP(D92,FAAS!$B$63:$J$82,9,FALSE)),"")</f>
        <v/>
      </c>
      <c r="L92" s="967" t="str">
        <f t="shared" si="2"/>
        <v/>
      </c>
      <c r="M92" s="967" t="str">
        <f>IFERROR(VLOOKUP(I92,FAAS!$A$142:$E$144,5,FALSE)*365/1000,"")</f>
        <v/>
      </c>
      <c r="N92" s="967" t="str">
        <f t="shared" si="3"/>
        <v/>
      </c>
      <c r="Q92" s="973"/>
      <c r="R92" s="969"/>
      <c r="S92" s="970"/>
      <c r="T92" s="969"/>
      <c r="U92" s="973"/>
      <c r="V92" s="971"/>
      <c r="W92" s="968"/>
      <c r="X92" s="971"/>
      <c r="Y92" s="971"/>
      <c r="Z92" s="971"/>
      <c r="AA92" s="968"/>
      <c r="AB92" s="972"/>
    </row>
    <row r="93" spans="2:28" ht="30" hidden="1" customHeight="1" outlineLevel="2" x14ac:dyDescent="0.25">
      <c r="B93" s="713"/>
      <c r="C93" s="714"/>
      <c r="D93" s="715"/>
      <c r="E93" s="214"/>
      <c r="F93" s="214"/>
      <c r="G93" s="215"/>
      <c r="H93" s="716"/>
      <c r="I93" s="717"/>
      <c r="J93" s="707"/>
      <c r="K93" s="967" t="str">
        <f>IFERROR(IF(D93=FAAS!$K$135,'Outras emissões de processo'!F93,VLOOKUP(D93,FAAS!$B$63:$J$82,9,FALSE)),"")</f>
        <v/>
      </c>
      <c r="L93" s="967" t="str">
        <f t="shared" si="2"/>
        <v/>
      </c>
      <c r="M93" s="967" t="str">
        <f>IFERROR(VLOOKUP(I93,FAAS!$A$142:$E$144,5,FALSE)*365/1000,"")</f>
        <v/>
      </c>
      <c r="N93" s="967" t="str">
        <f t="shared" si="3"/>
        <v/>
      </c>
      <c r="Q93" s="973"/>
      <c r="R93" s="969"/>
      <c r="S93" s="970"/>
      <c r="T93" s="969"/>
      <c r="U93" s="973"/>
      <c r="V93" s="971"/>
      <c r="W93" s="968"/>
      <c r="X93" s="971"/>
      <c r="Y93" s="971"/>
      <c r="Z93" s="971"/>
      <c r="AA93" s="968"/>
      <c r="AB93" s="972"/>
    </row>
    <row r="94" spans="2:28" ht="30" hidden="1" customHeight="1" outlineLevel="2" x14ac:dyDescent="0.25">
      <c r="B94" s="713"/>
      <c r="C94" s="714"/>
      <c r="D94" s="715"/>
      <c r="E94" s="214"/>
      <c r="F94" s="214"/>
      <c r="G94" s="215"/>
      <c r="H94" s="716"/>
      <c r="I94" s="717"/>
      <c r="J94" s="707"/>
      <c r="K94" s="967" t="str">
        <f>IFERROR(IF(D94=FAAS!$K$135,'Outras emissões de processo'!F94,VLOOKUP(D94,FAAS!$B$63:$J$82,9,FALSE)),"")</f>
        <v/>
      </c>
      <c r="L94" s="967" t="str">
        <f t="shared" si="2"/>
        <v/>
      </c>
      <c r="M94" s="967" t="str">
        <f>IFERROR(VLOOKUP(I94,FAAS!$A$142:$E$144,5,FALSE)*365/1000,"")</f>
        <v/>
      </c>
      <c r="N94" s="967" t="str">
        <f t="shared" si="3"/>
        <v/>
      </c>
      <c r="Q94" s="973"/>
      <c r="R94" s="969"/>
      <c r="S94" s="970"/>
      <c r="T94" s="969"/>
      <c r="U94" s="973"/>
      <c r="V94" s="971"/>
      <c r="W94" s="968"/>
      <c r="X94" s="971"/>
      <c r="Y94" s="971"/>
      <c r="Z94" s="971"/>
      <c r="AA94" s="968"/>
      <c r="AB94" s="972"/>
    </row>
    <row r="95" spans="2:28" ht="30" hidden="1" customHeight="1" outlineLevel="2" x14ac:dyDescent="0.25">
      <c r="B95" s="713"/>
      <c r="C95" s="714"/>
      <c r="D95" s="715"/>
      <c r="E95" s="214"/>
      <c r="F95" s="214"/>
      <c r="G95" s="215"/>
      <c r="H95" s="716"/>
      <c r="I95" s="717"/>
      <c r="J95" s="707"/>
      <c r="K95" s="967" t="str">
        <f>IFERROR(IF(D95=FAAS!$K$135,'Outras emissões de processo'!F95,VLOOKUP(D95,FAAS!$B$63:$J$82,9,FALSE)),"")</f>
        <v/>
      </c>
      <c r="L95" s="967" t="str">
        <f t="shared" si="2"/>
        <v/>
      </c>
      <c r="M95" s="967" t="str">
        <f>IFERROR(VLOOKUP(I95,FAAS!$A$142:$E$144,5,FALSE)*365/1000,"")</f>
        <v/>
      </c>
      <c r="N95" s="967" t="str">
        <f t="shared" si="3"/>
        <v/>
      </c>
      <c r="Q95" s="973"/>
      <c r="R95" s="969"/>
      <c r="S95" s="970"/>
      <c r="T95" s="969"/>
      <c r="U95" s="973"/>
      <c r="V95" s="971"/>
      <c r="W95" s="968"/>
      <c r="X95" s="971"/>
      <c r="Y95" s="971"/>
      <c r="Z95" s="971"/>
      <c r="AA95" s="968"/>
      <c r="AB95" s="972"/>
    </row>
    <row r="96" spans="2:28" ht="30" hidden="1" customHeight="1" outlineLevel="2" x14ac:dyDescent="0.25">
      <c r="B96" s="713"/>
      <c r="C96" s="714"/>
      <c r="D96" s="715"/>
      <c r="E96" s="214"/>
      <c r="F96" s="214"/>
      <c r="G96" s="215"/>
      <c r="H96" s="716"/>
      <c r="I96" s="717"/>
      <c r="J96" s="707"/>
      <c r="K96" s="967" t="str">
        <f>IFERROR(IF(D96=FAAS!$K$135,'Outras emissões de processo'!F96,VLOOKUP(D96,FAAS!$B$63:$J$82,9,FALSE)),"")</f>
        <v/>
      </c>
      <c r="L96" s="967" t="str">
        <f t="shared" si="2"/>
        <v/>
      </c>
      <c r="M96" s="967" t="str">
        <f>IFERROR(VLOOKUP(I96,FAAS!$A$142:$E$144,5,FALSE)*365/1000,"")</f>
        <v/>
      </c>
      <c r="N96" s="967" t="str">
        <f t="shared" si="3"/>
        <v/>
      </c>
      <c r="Q96" s="973"/>
      <c r="R96" s="969"/>
      <c r="S96" s="970"/>
      <c r="T96" s="969"/>
      <c r="U96" s="973"/>
      <c r="V96" s="971"/>
      <c r="W96" s="968"/>
      <c r="X96" s="971"/>
      <c r="Y96" s="971"/>
      <c r="Z96" s="971"/>
      <c r="AA96" s="968"/>
      <c r="AB96" s="972"/>
    </row>
    <row r="97" spans="2:28" ht="30" hidden="1" customHeight="1" outlineLevel="2" x14ac:dyDescent="0.25">
      <c r="B97" s="713"/>
      <c r="C97" s="714"/>
      <c r="D97" s="715"/>
      <c r="E97" s="214"/>
      <c r="F97" s="214"/>
      <c r="G97" s="215"/>
      <c r="H97" s="716"/>
      <c r="I97" s="717"/>
      <c r="J97" s="707"/>
      <c r="K97" s="967" t="str">
        <f>IFERROR(IF(D97=FAAS!$K$135,'Outras emissões de processo'!F97,VLOOKUP(D97,FAAS!$B$63:$J$82,9,FALSE)),"")</f>
        <v/>
      </c>
      <c r="L97" s="967" t="str">
        <f t="shared" si="2"/>
        <v/>
      </c>
      <c r="M97" s="967" t="str">
        <f>IFERROR(VLOOKUP(I97,FAAS!$A$142:$E$144,5,FALSE)*365/1000,"")</f>
        <v/>
      </c>
      <c r="N97" s="967" t="str">
        <f t="shared" si="3"/>
        <v/>
      </c>
      <c r="Q97" s="973"/>
      <c r="R97" s="969"/>
      <c r="S97" s="970"/>
      <c r="T97" s="969"/>
      <c r="U97" s="973"/>
      <c r="V97" s="971"/>
      <c r="W97" s="968"/>
      <c r="X97" s="971"/>
      <c r="Y97" s="971"/>
      <c r="Z97" s="971"/>
      <c r="AA97" s="968"/>
      <c r="AB97" s="972"/>
    </row>
    <row r="98" spans="2:28" ht="30" hidden="1" customHeight="1" outlineLevel="2" x14ac:dyDescent="0.25">
      <c r="B98" s="713"/>
      <c r="C98" s="714"/>
      <c r="D98" s="715"/>
      <c r="E98" s="214"/>
      <c r="F98" s="214"/>
      <c r="G98" s="215"/>
      <c r="H98" s="716"/>
      <c r="I98" s="717"/>
      <c r="J98" s="707"/>
      <c r="K98" s="967" t="str">
        <f>IFERROR(IF(D98=FAAS!$K$135,'Outras emissões de processo'!F98,VLOOKUP(D98,FAAS!$B$63:$J$82,9,FALSE)),"")</f>
        <v/>
      </c>
      <c r="L98" s="967" t="str">
        <f t="shared" si="2"/>
        <v/>
      </c>
      <c r="M98" s="967" t="str">
        <f>IFERROR(VLOOKUP(I98,FAAS!$A$142:$E$144,5,FALSE)*365/1000,"")</f>
        <v/>
      </c>
      <c r="N98" s="967" t="str">
        <f t="shared" si="3"/>
        <v/>
      </c>
      <c r="Q98" s="973"/>
      <c r="R98" s="969"/>
      <c r="S98" s="970"/>
      <c r="T98" s="969"/>
      <c r="U98" s="973"/>
      <c r="V98" s="971"/>
      <c r="W98" s="968"/>
      <c r="X98" s="971"/>
      <c r="Y98" s="971"/>
      <c r="Z98" s="971"/>
      <c r="AA98" s="968"/>
      <c r="AB98" s="972"/>
    </row>
    <row r="99" spans="2:28" ht="30" hidden="1" customHeight="1" outlineLevel="2" x14ac:dyDescent="0.25">
      <c r="B99" s="713"/>
      <c r="C99" s="714"/>
      <c r="D99" s="715"/>
      <c r="E99" s="214"/>
      <c r="F99" s="214"/>
      <c r="G99" s="215"/>
      <c r="H99" s="716"/>
      <c r="I99" s="717"/>
      <c r="J99" s="707"/>
      <c r="K99" s="967" t="str">
        <f>IFERROR(IF(D99=FAAS!$K$135,'Outras emissões de processo'!F99,VLOOKUP(D99,FAAS!$B$63:$J$82,9,FALSE)),"")</f>
        <v/>
      </c>
      <c r="L99" s="967" t="str">
        <f t="shared" si="2"/>
        <v/>
      </c>
      <c r="M99" s="967" t="str">
        <f>IFERROR(VLOOKUP(I99,FAAS!$A$142:$E$144,5,FALSE)*365/1000,"")</f>
        <v/>
      </c>
      <c r="N99" s="967" t="str">
        <f t="shared" si="3"/>
        <v/>
      </c>
      <c r="Q99" s="973"/>
      <c r="R99" s="969"/>
      <c r="S99" s="970"/>
      <c r="T99" s="969"/>
      <c r="U99" s="973"/>
      <c r="V99" s="971"/>
      <c r="W99" s="968"/>
      <c r="X99" s="971"/>
      <c r="Y99" s="971"/>
      <c r="Z99" s="971"/>
      <c r="AA99" s="968"/>
      <c r="AB99" s="972"/>
    </row>
    <row r="100" spans="2:28" ht="30" hidden="1" customHeight="1" outlineLevel="2" x14ac:dyDescent="0.25">
      <c r="B100" s="713"/>
      <c r="C100" s="714"/>
      <c r="D100" s="715"/>
      <c r="E100" s="214"/>
      <c r="F100" s="214"/>
      <c r="G100" s="215"/>
      <c r="H100" s="716"/>
      <c r="I100" s="717"/>
      <c r="J100" s="707"/>
      <c r="K100" s="967" t="str">
        <f>IFERROR(IF(D100=FAAS!$K$135,'Outras emissões de processo'!F100,VLOOKUP(D100,FAAS!$B$63:$J$82,9,FALSE)),"")</f>
        <v/>
      </c>
      <c r="L100" s="967" t="str">
        <f t="shared" si="2"/>
        <v/>
      </c>
      <c r="M100" s="967" t="str">
        <f>IFERROR(VLOOKUP(I100,FAAS!$A$142:$E$144,5,FALSE)*365/1000,"")</f>
        <v/>
      </c>
      <c r="N100" s="967" t="str">
        <f t="shared" si="3"/>
        <v/>
      </c>
      <c r="Q100" s="973"/>
      <c r="R100" s="969"/>
      <c r="S100" s="970"/>
      <c r="T100" s="969"/>
      <c r="U100" s="973"/>
      <c r="V100" s="971"/>
      <c r="W100" s="968"/>
      <c r="X100" s="971"/>
      <c r="Y100" s="971"/>
      <c r="Z100" s="971"/>
      <c r="AA100" s="968"/>
      <c r="AB100" s="972"/>
    </row>
    <row r="101" spans="2:28" ht="30" hidden="1" customHeight="1" outlineLevel="2" x14ac:dyDescent="0.25">
      <c r="B101" s="713"/>
      <c r="C101" s="714"/>
      <c r="D101" s="715"/>
      <c r="E101" s="214"/>
      <c r="F101" s="214"/>
      <c r="G101" s="215"/>
      <c r="H101" s="716"/>
      <c r="I101" s="717"/>
      <c r="J101" s="707"/>
      <c r="K101" s="967" t="str">
        <f>IFERROR(IF(D101=FAAS!$K$135,'Outras emissões de processo'!F101,VLOOKUP(D101,FAAS!$B$63:$J$82,9,FALSE)),"")</f>
        <v/>
      </c>
      <c r="L101" s="967" t="str">
        <f t="shared" si="2"/>
        <v/>
      </c>
      <c r="M101" s="967" t="str">
        <f>IFERROR(VLOOKUP(I101,FAAS!$A$142:$E$144,5,FALSE)*365/1000,"")</f>
        <v/>
      </c>
      <c r="N101" s="967" t="str">
        <f t="shared" si="3"/>
        <v/>
      </c>
      <c r="Q101" s="973"/>
      <c r="R101" s="969"/>
      <c r="S101" s="970"/>
      <c r="T101" s="969"/>
      <c r="U101" s="973"/>
      <c r="V101" s="971"/>
      <c r="W101" s="968"/>
      <c r="X101" s="971"/>
      <c r="Y101" s="971"/>
      <c r="Z101" s="971"/>
      <c r="AA101" s="968"/>
      <c r="AB101" s="972"/>
    </row>
    <row r="102" spans="2:28" ht="30" hidden="1" customHeight="1" outlineLevel="2" x14ac:dyDescent="0.25">
      <c r="B102" s="713"/>
      <c r="C102" s="714"/>
      <c r="D102" s="715"/>
      <c r="E102" s="214"/>
      <c r="F102" s="214"/>
      <c r="G102" s="215"/>
      <c r="H102" s="716"/>
      <c r="I102" s="717"/>
      <c r="J102" s="707"/>
      <c r="K102" s="967" t="str">
        <f>IFERROR(IF(D102=FAAS!$K$135,'Outras emissões de processo'!F102,VLOOKUP(D102,FAAS!$B$63:$J$82,9,FALSE)),"")</f>
        <v/>
      </c>
      <c r="L102" s="967" t="str">
        <f t="shared" si="2"/>
        <v/>
      </c>
      <c r="M102" s="967" t="str">
        <f>IFERROR(VLOOKUP(I102,FAAS!$A$142:$E$144,5,FALSE)*365/1000,"")</f>
        <v/>
      </c>
      <c r="N102" s="967" t="str">
        <f t="shared" si="3"/>
        <v/>
      </c>
      <c r="Q102" s="973"/>
      <c r="R102" s="969"/>
      <c r="S102" s="970"/>
      <c r="T102" s="969"/>
      <c r="U102" s="973"/>
      <c r="V102" s="971"/>
      <c r="W102" s="968"/>
      <c r="X102" s="971"/>
      <c r="Y102" s="971"/>
      <c r="Z102" s="971"/>
      <c r="AA102" s="968"/>
      <c r="AB102" s="972"/>
    </row>
    <row r="103" spans="2:28" ht="30" hidden="1" customHeight="1" outlineLevel="2" x14ac:dyDescent="0.25">
      <c r="B103" s="713"/>
      <c r="C103" s="714"/>
      <c r="D103" s="715"/>
      <c r="E103" s="214"/>
      <c r="F103" s="214"/>
      <c r="G103" s="215"/>
      <c r="H103" s="716"/>
      <c r="I103" s="717"/>
      <c r="J103" s="707"/>
      <c r="K103" s="967" t="str">
        <f>IFERROR(IF(D103=FAAS!$K$135,'Outras emissões de processo'!F103,VLOOKUP(D103,FAAS!$B$63:$J$82,9,FALSE)),"")</f>
        <v/>
      </c>
      <c r="L103" s="967" t="str">
        <f t="shared" si="2"/>
        <v/>
      </c>
      <c r="M103" s="967" t="str">
        <f>IFERROR(VLOOKUP(I103,FAAS!$A$142:$E$144,5,FALSE)*365/1000,"")</f>
        <v/>
      </c>
      <c r="N103" s="967" t="str">
        <f t="shared" si="3"/>
        <v/>
      </c>
      <c r="Q103" s="973"/>
      <c r="R103" s="969"/>
      <c r="S103" s="970"/>
      <c r="T103" s="969"/>
      <c r="U103" s="973"/>
      <c r="V103" s="971"/>
      <c r="W103" s="968"/>
      <c r="X103" s="971"/>
      <c r="Y103" s="971"/>
      <c r="Z103" s="971"/>
      <c r="AA103" s="968"/>
      <c r="AB103" s="972"/>
    </row>
    <row r="104" spans="2:28" ht="30" hidden="1" customHeight="1" outlineLevel="2" x14ac:dyDescent="0.25">
      <c r="B104" s="713"/>
      <c r="C104" s="714"/>
      <c r="D104" s="715"/>
      <c r="E104" s="214"/>
      <c r="F104" s="214"/>
      <c r="G104" s="215"/>
      <c r="H104" s="716"/>
      <c r="I104" s="717"/>
      <c r="J104" s="707"/>
      <c r="K104" s="967" t="str">
        <f>IFERROR(IF(D104=FAAS!$K$135,'Outras emissões de processo'!F104,VLOOKUP(D104,FAAS!$B$63:$J$82,9,FALSE)),"")</f>
        <v/>
      </c>
      <c r="L104" s="967" t="str">
        <f t="shared" si="2"/>
        <v/>
      </c>
      <c r="M104" s="967" t="str">
        <f>IFERROR(VLOOKUP(I104,FAAS!$A$142:$E$144,5,FALSE)*365/1000,"")</f>
        <v/>
      </c>
      <c r="N104" s="967" t="str">
        <f t="shared" si="3"/>
        <v/>
      </c>
      <c r="Q104" s="973"/>
      <c r="R104" s="969"/>
      <c r="S104" s="970"/>
      <c r="T104" s="969"/>
      <c r="U104" s="973"/>
      <c r="V104" s="971"/>
      <c r="W104" s="968"/>
      <c r="X104" s="971"/>
      <c r="Y104" s="971"/>
      <c r="Z104" s="971"/>
      <c r="AA104" s="968"/>
      <c r="AB104" s="972"/>
    </row>
    <row r="105" spans="2:28" ht="30" hidden="1" customHeight="1" outlineLevel="2" x14ac:dyDescent="0.25">
      <c r="B105" s="713"/>
      <c r="C105" s="714"/>
      <c r="D105" s="715"/>
      <c r="E105" s="214"/>
      <c r="F105" s="214"/>
      <c r="G105" s="215"/>
      <c r="H105" s="716"/>
      <c r="I105" s="717"/>
      <c r="J105" s="707"/>
      <c r="K105" s="967" t="str">
        <f>IFERROR(IF(D105=FAAS!$K$135,'Outras emissões de processo'!F105,VLOOKUP(D105,FAAS!$B$63:$J$82,9,FALSE)),"")</f>
        <v/>
      </c>
      <c r="L105" s="967" t="str">
        <f t="shared" si="2"/>
        <v/>
      </c>
      <c r="M105" s="967" t="str">
        <f>IFERROR(VLOOKUP(I105,FAAS!$A$142:$E$144,5,FALSE)*365/1000,"")</f>
        <v/>
      </c>
      <c r="N105" s="967" t="str">
        <f t="shared" si="3"/>
        <v/>
      </c>
      <c r="Q105" s="973"/>
      <c r="R105" s="969"/>
      <c r="S105" s="970"/>
      <c r="T105" s="969"/>
      <c r="U105" s="973"/>
      <c r="V105" s="971"/>
      <c r="W105" s="968"/>
      <c r="X105" s="971"/>
      <c r="Y105" s="971"/>
      <c r="Z105" s="971"/>
      <c r="AA105" s="968"/>
      <c r="AB105" s="972"/>
    </row>
    <row r="106" spans="2:28" ht="30" hidden="1" customHeight="1" outlineLevel="2" x14ac:dyDescent="0.25">
      <c r="B106" s="713"/>
      <c r="C106" s="714"/>
      <c r="D106" s="715"/>
      <c r="E106" s="214"/>
      <c r="F106" s="214"/>
      <c r="G106" s="215"/>
      <c r="H106" s="716"/>
      <c r="I106" s="717"/>
      <c r="J106" s="707"/>
      <c r="K106" s="967" t="str">
        <f>IFERROR(IF(D106=FAAS!$K$135,'Outras emissões de processo'!F106,VLOOKUP(D106,FAAS!$B$63:$J$82,9,FALSE)),"")</f>
        <v/>
      </c>
      <c r="L106" s="967" t="str">
        <f t="shared" si="2"/>
        <v/>
      </c>
      <c r="M106" s="967" t="str">
        <f>IFERROR(VLOOKUP(I106,FAAS!$A$142:$E$144,5,FALSE)*365/1000,"")</f>
        <v/>
      </c>
      <c r="N106" s="967" t="str">
        <f t="shared" si="3"/>
        <v/>
      </c>
      <c r="Q106" s="973"/>
      <c r="R106" s="969"/>
      <c r="S106" s="970"/>
      <c r="T106" s="969"/>
      <c r="U106" s="973"/>
      <c r="V106" s="971"/>
      <c r="W106" s="968"/>
      <c r="X106" s="971"/>
      <c r="Y106" s="971"/>
      <c r="Z106" s="971"/>
      <c r="AA106" s="968"/>
      <c r="AB106" s="972"/>
    </row>
    <row r="107" spans="2:28" ht="30" hidden="1" customHeight="1" outlineLevel="2" x14ac:dyDescent="0.25">
      <c r="B107" s="713"/>
      <c r="C107" s="714"/>
      <c r="D107" s="715"/>
      <c r="E107" s="214"/>
      <c r="F107" s="214"/>
      <c r="G107" s="215"/>
      <c r="H107" s="716"/>
      <c r="I107" s="717"/>
      <c r="J107" s="707"/>
      <c r="K107" s="967" t="str">
        <f>IFERROR(IF(D107=FAAS!$K$135,'Outras emissões de processo'!F107,VLOOKUP(D107,FAAS!$B$63:$J$82,9,FALSE)),"")</f>
        <v/>
      </c>
      <c r="L107" s="967" t="str">
        <f t="shared" ref="L107:L138" si="4">IFERROR(K107*H107,"")</f>
        <v/>
      </c>
      <c r="M107" s="967" t="str">
        <f>IFERROR(VLOOKUP(I107,FAAS!$A$142:$E$144,5,FALSE)*365/1000,"")</f>
        <v/>
      </c>
      <c r="N107" s="967" t="str">
        <f t="shared" ref="N107:N138" si="5">IFERROR(M107*J107,"")</f>
        <v/>
      </c>
      <c r="Q107" s="973"/>
      <c r="R107" s="969"/>
      <c r="S107" s="970"/>
      <c r="T107" s="969"/>
      <c r="U107" s="973"/>
      <c r="V107" s="971"/>
      <c r="W107" s="968"/>
      <c r="X107" s="971"/>
      <c r="Y107" s="971"/>
      <c r="Z107" s="971"/>
      <c r="AA107" s="968"/>
      <c r="AB107" s="972"/>
    </row>
    <row r="108" spans="2:28" ht="30" hidden="1" customHeight="1" outlineLevel="2" x14ac:dyDescent="0.25">
      <c r="B108" s="713"/>
      <c r="C108" s="714"/>
      <c r="D108" s="715"/>
      <c r="E108" s="214"/>
      <c r="F108" s="214"/>
      <c r="G108" s="215"/>
      <c r="H108" s="716"/>
      <c r="I108" s="717"/>
      <c r="J108" s="707"/>
      <c r="K108" s="967" t="str">
        <f>IFERROR(IF(D108=FAAS!$K$135,'Outras emissões de processo'!F108,VLOOKUP(D108,FAAS!$B$63:$J$82,9,FALSE)),"")</f>
        <v/>
      </c>
      <c r="L108" s="967" t="str">
        <f t="shared" si="4"/>
        <v/>
      </c>
      <c r="M108" s="967" t="str">
        <f>IFERROR(VLOOKUP(I108,FAAS!$A$142:$E$144,5,FALSE)*365/1000,"")</f>
        <v/>
      </c>
      <c r="N108" s="967" t="str">
        <f t="shared" si="5"/>
        <v/>
      </c>
      <c r="Q108" s="973"/>
      <c r="R108" s="969"/>
      <c r="S108" s="970"/>
      <c r="T108" s="969"/>
      <c r="U108" s="973"/>
      <c r="V108" s="971"/>
      <c r="W108" s="968"/>
      <c r="X108" s="971"/>
      <c r="Y108" s="971"/>
      <c r="Z108" s="971"/>
      <c r="AA108" s="968"/>
      <c r="AB108" s="972"/>
    </row>
    <row r="109" spans="2:28" ht="30" hidden="1" customHeight="1" outlineLevel="2" x14ac:dyDescent="0.25">
      <c r="B109" s="713"/>
      <c r="C109" s="714"/>
      <c r="D109" s="715"/>
      <c r="E109" s="214"/>
      <c r="F109" s="214"/>
      <c r="G109" s="215"/>
      <c r="H109" s="716"/>
      <c r="I109" s="717"/>
      <c r="J109" s="707"/>
      <c r="K109" s="967" t="str">
        <f>IFERROR(IF(D109=FAAS!$K$135,'Outras emissões de processo'!F109,VLOOKUP(D109,FAAS!$B$63:$J$82,9,FALSE)),"")</f>
        <v/>
      </c>
      <c r="L109" s="967" t="str">
        <f t="shared" si="4"/>
        <v/>
      </c>
      <c r="M109" s="967" t="str">
        <f>IFERROR(VLOOKUP(I109,FAAS!$A$142:$E$144,5,FALSE)*365/1000,"")</f>
        <v/>
      </c>
      <c r="N109" s="967" t="str">
        <f t="shared" si="5"/>
        <v/>
      </c>
      <c r="Q109" s="973"/>
      <c r="R109" s="969"/>
      <c r="S109" s="970"/>
      <c r="T109" s="969"/>
      <c r="U109" s="973"/>
      <c r="V109" s="971"/>
      <c r="W109" s="968"/>
      <c r="X109" s="971"/>
      <c r="Y109" s="971"/>
      <c r="Z109" s="971"/>
      <c r="AA109" s="968"/>
      <c r="AB109" s="972"/>
    </row>
    <row r="110" spans="2:28" ht="30" hidden="1" customHeight="1" outlineLevel="2" x14ac:dyDescent="0.25">
      <c r="B110" s="713"/>
      <c r="C110" s="714"/>
      <c r="D110" s="715"/>
      <c r="E110" s="214"/>
      <c r="F110" s="214"/>
      <c r="G110" s="215"/>
      <c r="H110" s="716"/>
      <c r="I110" s="717"/>
      <c r="J110" s="707"/>
      <c r="K110" s="967" t="str">
        <f>IFERROR(IF(D110=FAAS!$K$135,'Outras emissões de processo'!F110,VLOOKUP(D110,FAAS!$B$63:$J$82,9,FALSE)),"")</f>
        <v/>
      </c>
      <c r="L110" s="967" t="str">
        <f t="shared" si="4"/>
        <v/>
      </c>
      <c r="M110" s="967" t="str">
        <f>IFERROR(VLOOKUP(I110,FAAS!$A$142:$E$144,5,FALSE)*365/1000,"")</f>
        <v/>
      </c>
      <c r="N110" s="967" t="str">
        <f t="shared" si="5"/>
        <v/>
      </c>
      <c r="Q110" s="973"/>
      <c r="R110" s="969"/>
      <c r="S110" s="970"/>
      <c r="T110" s="969"/>
      <c r="U110" s="973"/>
      <c r="V110" s="971"/>
      <c r="W110" s="968"/>
      <c r="X110" s="971"/>
      <c r="Y110" s="971"/>
      <c r="Z110" s="971"/>
      <c r="AA110" s="968"/>
      <c r="AB110" s="972"/>
    </row>
    <row r="111" spans="2:28" ht="30" hidden="1" customHeight="1" outlineLevel="2" x14ac:dyDescent="0.25">
      <c r="B111" s="713"/>
      <c r="C111" s="714"/>
      <c r="D111" s="715"/>
      <c r="E111" s="214"/>
      <c r="F111" s="214"/>
      <c r="G111" s="215"/>
      <c r="H111" s="716"/>
      <c r="I111" s="717"/>
      <c r="J111" s="707"/>
      <c r="K111" s="967" t="str">
        <f>IFERROR(IF(D111=FAAS!$K$135,'Outras emissões de processo'!F111,VLOOKUP(D111,FAAS!$B$63:$J$82,9,FALSE)),"")</f>
        <v/>
      </c>
      <c r="L111" s="967" t="str">
        <f t="shared" si="4"/>
        <v/>
      </c>
      <c r="M111" s="967" t="str">
        <f>IFERROR(VLOOKUP(I111,FAAS!$A$142:$E$144,5,FALSE)*365/1000,"")</f>
        <v/>
      </c>
      <c r="N111" s="967" t="str">
        <f t="shared" si="5"/>
        <v/>
      </c>
      <c r="Q111" s="973"/>
      <c r="R111" s="969"/>
      <c r="S111" s="970"/>
      <c r="T111" s="969"/>
      <c r="U111" s="973"/>
      <c r="V111" s="971"/>
      <c r="W111" s="968"/>
      <c r="X111" s="971"/>
      <c r="Y111" s="971"/>
      <c r="Z111" s="971"/>
      <c r="AA111" s="968"/>
      <c r="AB111" s="972"/>
    </row>
    <row r="112" spans="2:28" ht="30" hidden="1" customHeight="1" outlineLevel="2" x14ac:dyDescent="0.25">
      <c r="B112" s="713"/>
      <c r="C112" s="714"/>
      <c r="D112" s="715"/>
      <c r="E112" s="214"/>
      <c r="F112" s="214"/>
      <c r="G112" s="215"/>
      <c r="H112" s="716"/>
      <c r="I112" s="717"/>
      <c r="J112" s="707"/>
      <c r="K112" s="967" t="str">
        <f>IFERROR(IF(D112=FAAS!$K$135,'Outras emissões de processo'!F112,VLOOKUP(D112,FAAS!$B$63:$J$82,9,FALSE)),"")</f>
        <v/>
      </c>
      <c r="L112" s="967" t="str">
        <f t="shared" si="4"/>
        <v/>
      </c>
      <c r="M112" s="967" t="str">
        <f>IFERROR(VLOOKUP(I112,FAAS!$A$142:$E$144,5,FALSE)*365/1000,"")</f>
        <v/>
      </c>
      <c r="N112" s="967" t="str">
        <f t="shared" si="5"/>
        <v/>
      </c>
      <c r="Q112" s="973"/>
      <c r="R112" s="969"/>
      <c r="S112" s="970"/>
      <c r="T112" s="969"/>
      <c r="U112" s="973"/>
      <c r="V112" s="971"/>
      <c r="W112" s="968"/>
      <c r="X112" s="971"/>
      <c r="Y112" s="971"/>
      <c r="Z112" s="971"/>
      <c r="AA112" s="968"/>
      <c r="AB112" s="972"/>
    </row>
    <row r="113" spans="2:28" ht="30" hidden="1" customHeight="1" outlineLevel="2" x14ac:dyDescent="0.25">
      <c r="B113" s="713"/>
      <c r="C113" s="714"/>
      <c r="D113" s="715"/>
      <c r="E113" s="214"/>
      <c r="F113" s="214"/>
      <c r="G113" s="215"/>
      <c r="H113" s="716"/>
      <c r="I113" s="717"/>
      <c r="J113" s="707"/>
      <c r="K113" s="967" t="str">
        <f>IFERROR(IF(D113=FAAS!$K$135,'Outras emissões de processo'!F113,VLOOKUP(D113,FAAS!$B$63:$J$82,9,FALSE)),"")</f>
        <v/>
      </c>
      <c r="L113" s="967" t="str">
        <f t="shared" si="4"/>
        <v/>
      </c>
      <c r="M113" s="967" t="str">
        <f>IFERROR(VLOOKUP(I113,FAAS!$A$142:$E$144,5,FALSE)*365/1000,"")</f>
        <v/>
      </c>
      <c r="N113" s="967" t="str">
        <f t="shared" si="5"/>
        <v/>
      </c>
      <c r="Q113" s="973"/>
      <c r="R113" s="969"/>
      <c r="S113" s="970"/>
      <c r="T113" s="969"/>
      <c r="U113" s="973"/>
      <c r="V113" s="971"/>
      <c r="W113" s="968"/>
      <c r="X113" s="971"/>
      <c r="Y113" s="971"/>
      <c r="Z113" s="971"/>
      <c r="AA113" s="968"/>
      <c r="AB113" s="972"/>
    </row>
    <row r="114" spans="2:28" ht="30" hidden="1" customHeight="1" outlineLevel="2" x14ac:dyDescent="0.25">
      <c r="B114" s="713"/>
      <c r="C114" s="714"/>
      <c r="D114" s="715"/>
      <c r="E114" s="214"/>
      <c r="F114" s="214"/>
      <c r="G114" s="215"/>
      <c r="H114" s="716"/>
      <c r="I114" s="717"/>
      <c r="J114" s="707"/>
      <c r="K114" s="967" t="str">
        <f>IFERROR(IF(D114=FAAS!$K$135,'Outras emissões de processo'!F114,VLOOKUP(D114,FAAS!$B$63:$J$82,9,FALSE)),"")</f>
        <v/>
      </c>
      <c r="L114" s="967" t="str">
        <f t="shared" si="4"/>
        <v/>
      </c>
      <c r="M114" s="967" t="str">
        <f>IFERROR(VLOOKUP(I114,FAAS!$A$142:$E$144,5,FALSE)*365/1000,"")</f>
        <v/>
      </c>
      <c r="N114" s="967" t="str">
        <f t="shared" si="5"/>
        <v/>
      </c>
      <c r="Q114" s="973"/>
      <c r="R114" s="969"/>
      <c r="S114" s="970"/>
      <c r="T114" s="969"/>
      <c r="U114" s="973"/>
      <c r="V114" s="971"/>
      <c r="W114" s="968"/>
      <c r="X114" s="971"/>
      <c r="Y114" s="971"/>
      <c r="Z114" s="971"/>
      <c r="AA114" s="968"/>
      <c r="AB114" s="972"/>
    </row>
    <row r="115" spans="2:28" ht="30" hidden="1" customHeight="1" outlineLevel="2" x14ac:dyDescent="0.25">
      <c r="B115" s="713"/>
      <c r="C115" s="714"/>
      <c r="D115" s="715"/>
      <c r="E115" s="214"/>
      <c r="F115" s="214"/>
      <c r="G115" s="215"/>
      <c r="H115" s="716"/>
      <c r="I115" s="717"/>
      <c r="J115" s="707"/>
      <c r="K115" s="967" t="str">
        <f>IFERROR(IF(D115=FAAS!$K$135,'Outras emissões de processo'!F115,VLOOKUP(D115,FAAS!$B$63:$J$82,9,FALSE)),"")</f>
        <v/>
      </c>
      <c r="L115" s="967" t="str">
        <f t="shared" si="4"/>
        <v/>
      </c>
      <c r="M115" s="967" t="str">
        <f>IFERROR(VLOOKUP(I115,FAAS!$A$142:$E$144,5,FALSE)*365/1000,"")</f>
        <v/>
      </c>
      <c r="N115" s="967" t="str">
        <f t="shared" si="5"/>
        <v/>
      </c>
      <c r="Q115" s="973"/>
      <c r="R115" s="969"/>
      <c r="S115" s="970"/>
      <c r="T115" s="969"/>
      <c r="U115" s="973"/>
      <c r="V115" s="971"/>
      <c r="W115" s="968"/>
      <c r="X115" s="971"/>
      <c r="Y115" s="971"/>
      <c r="Z115" s="971"/>
      <c r="AA115" s="968"/>
      <c r="AB115" s="972"/>
    </row>
    <row r="116" spans="2:28" ht="30" hidden="1" customHeight="1" outlineLevel="2" x14ac:dyDescent="0.25">
      <c r="B116" s="713"/>
      <c r="C116" s="714"/>
      <c r="D116" s="715"/>
      <c r="E116" s="214"/>
      <c r="F116" s="214"/>
      <c r="G116" s="215"/>
      <c r="H116" s="716"/>
      <c r="I116" s="717"/>
      <c r="J116" s="707"/>
      <c r="K116" s="967" t="str">
        <f>IFERROR(IF(D116=FAAS!$K$135,'Outras emissões de processo'!F116,VLOOKUP(D116,FAAS!$B$63:$J$82,9,FALSE)),"")</f>
        <v/>
      </c>
      <c r="L116" s="967" t="str">
        <f t="shared" si="4"/>
        <v/>
      </c>
      <c r="M116" s="967" t="str">
        <f>IFERROR(VLOOKUP(I116,FAAS!$A$142:$E$144,5,FALSE)*365/1000,"")</f>
        <v/>
      </c>
      <c r="N116" s="967" t="str">
        <f t="shared" si="5"/>
        <v/>
      </c>
      <c r="Q116" s="973"/>
      <c r="R116" s="969"/>
      <c r="S116" s="970"/>
      <c r="T116" s="969"/>
      <c r="U116" s="973"/>
      <c r="V116" s="971"/>
      <c r="W116" s="968"/>
      <c r="X116" s="971"/>
      <c r="Y116" s="971"/>
      <c r="Z116" s="971"/>
      <c r="AA116" s="968"/>
      <c r="AB116" s="972"/>
    </row>
    <row r="117" spans="2:28" ht="30" hidden="1" customHeight="1" outlineLevel="2" x14ac:dyDescent="0.25">
      <c r="B117" s="713"/>
      <c r="C117" s="714"/>
      <c r="D117" s="715"/>
      <c r="E117" s="214"/>
      <c r="F117" s="214"/>
      <c r="G117" s="215"/>
      <c r="H117" s="716"/>
      <c r="I117" s="717"/>
      <c r="J117" s="707"/>
      <c r="K117" s="967" t="str">
        <f>IFERROR(IF(D117=FAAS!$K$135,'Outras emissões de processo'!F117,VLOOKUP(D117,FAAS!$B$63:$J$82,9,FALSE)),"")</f>
        <v/>
      </c>
      <c r="L117" s="967" t="str">
        <f t="shared" si="4"/>
        <v/>
      </c>
      <c r="M117" s="967" t="str">
        <f>IFERROR(VLOOKUP(I117,FAAS!$A$142:$E$144,5,FALSE)*365/1000,"")</f>
        <v/>
      </c>
      <c r="N117" s="967" t="str">
        <f t="shared" si="5"/>
        <v/>
      </c>
      <c r="Q117" s="973"/>
      <c r="R117" s="969"/>
      <c r="S117" s="970"/>
      <c r="T117" s="969"/>
      <c r="U117" s="973"/>
      <c r="V117" s="971"/>
      <c r="W117" s="968"/>
      <c r="X117" s="971"/>
      <c r="Y117" s="971"/>
      <c r="Z117" s="971"/>
      <c r="AA117" s="968"/>
      <c r="AB117" s="972"/>
    </row>
    <row r="118" spans="2:28" ht="30" hidden="1" customHeight="1" outlineLevel="2" x14ac:dyDescent="0.25">
      <c r="B118" s="713"/>
      <c r="C118" s="714"/>
      <c r="D118" s="715"/>
      <c r="E118" s="214"/>
      <c r="F118" s="214"/>
      <c r="G118" s="215"/>
      <c r="H118" s="716"/>
      <c r="I118" s="717"/>
      <c r="J118" s="707"/>
      <c r="K118" s="967" t="str">
        <f>IFERROR(IF(D118=FAAS!$K$135,'Outras emissões de processo'!F118,VLOOKUP(D118,FAAS!$B$63:$J$82,9,FALSE)),"")</f>
        <v/>
      </c>
      <c r="L118" s="967" t="str">
        <f t="shared" si="4"/>
        <v/>
      </c>
      <c r="M118" s="967" t="str">
        <f>IFERROR(VLOOKUP(I118,FAAS!$A$142:$E$144,5,FALSE)*365/1000,"")</f>
        <v/>
      </c>
      <c r="N118" s="967" t="str">
        <f t="shared" si="5"/>
        <v/>
      </c>
      <c r="Q118" s="973"/>
      <c r="R118" s="969"/>
      <c r="S118" s="970"/>
      <c r="T118" s="969"/>
      <c r="U118" s="973"/>
      <c r="V118" s="971"/>
      <c r="W118" s="968"/>
      <c r="X118" s="971"/>
      <c r="Y118" s="971"/>
      <c r="Z118" s="971"/>
      <c r="AA118" s="968"/>
      <c r="AB118" s="972"/>
    </row>
    <row r="119" spans="2:28" ht="30" hidden="1" customHeight="1" outlineLevel="2" x14ac:dyDescent="0.25">
      <c r="B119" s="713"/>
      <c r="C119" s="714"/>
      <c r="D119" s="715"/>
      <c r="E119" s="214"/>
      <c r="F119" s="214"/>
      <c r="G119" s="215"/>
      <c r="H119" s="716"/>
      <c r="I119" s="717"/>
      <c r="J119" s="707"/>
      <c r="K119" s="967" t="str">
        <f>IFERROR(IF(D119=FAAS!$K$135,'Outras emissões de processo'!F119,VLOOKUP(D119,FAAS!$B$63:$J$82,9,FALSE)),"")</f>
        <v/>
      </c>
      <c r="L119" s="967" t="str">
        <f t="shared" si="4"/>
        <v/>
      </c>
      <c r="M119" s="967" t="str">
        <f>IFERROR(VLOOKUP(I119,FAAS!$A$142:$E$144,5,FALSE)*365/1000,"")</f>
        <v/>
      </c>
      <c r="N119" s="967" t="str">
        <f t="shared" si="5"/>
        <v/>
      </c>
      <c r="Q119" s="973"/>
      <c r="R119" s="969"/>
      <c r="S119" s="970"/>
      <c r="T119" s="969"/>
      <c r="U119" s="973"/>
      <c r="V119" s="971"/>
      <c r="W119" s="968"/>
      <c r="X119" s="971"/>
      <c r="Y119" s="971"/>
      <c r="Z119" s="971"/>
      <c r="AA119" s="968"/>
      <c r="AB119" s="972"/>
    </row>
    <row r="120" spans="2:28" ht="30" hidden="1" customHeight="1" outlineLevel="2" x14ac:dyDescent="0.25">
      <c r="B120" s="713"/>
      <c r="C120" s="714"/>
      <c r="D120" s="715"/>
      <c r="E120" s="214"/>
      <c r="F120" s="214"/>
      <c r="G120" s="215"/>
      <c r="H120" s="716"/>
      <c r="I120" s="717"/>
      <c r="J120" s="707"/>
      <c r="K120" s="967" t="str">
        <f>IFERROR(IF(D120=FAAS!$K$135,'Outras emissões de processo'!F120,VLOOKUP(D120,FAAS!$B$63:$J$82,9,FALSE)),"")</f>
        <v/>
      </c>
      <c r="L120" s="967" t="str">
        <f t="shared" si="4"/>
        <v/>
      </c>
      <c r="M120" s="967" t="str">
        <f>IFERROR(VLOOKUP(I120,FAAS!$A$142:$E$144,5,FALSE)*365/1000,"")</f>
        <v/>
      </c>
      <c r="N120" s="967" t="str">
        <f t="shared" si="5"/>
        <v/>
      </c>
      <c r="Q120" s="973"/>
      <c r="R120" s="969"/>
      <c r="S120" s="970"/>
      <c r="T120" s="969"/>
      <c r="U120" s="973"/>
      <c r="V120" s="971"/>
      <c r="W120" s="968"/>
      <c r="X120" s="971"/>
      <c r="Y120" s="971"/>
      <c r="Z120" s="971"/>
      <c r="AA120" s="968"/>
      <c r="AB120" s="972"/>
    </row>
    <row r="121" spans="2:28" ht="30" hidden="1" customHeight="1" outlineLevel="2" x14ac:dyDescent="0.25">
      <c r="B121" s="713"/>
      <c r="C121" s="714"/>
      <c r="D121" s="715"/>
      <c r="E121" s="214"/>
      <c r="F121" s="214"/>
      <c r="G121" s="215"/>
      <c r="H121" s="716"/>
      <c r="I121" s="717"/>
      <c r="J121" s="707"/>
      <c r="K121" s="967" t="str">
        <f>IFERROR(IF(D121=FAAS!$K$135,'Outras emissões de processo'!F121,VLOOKUP(D121,FAAS!$B$63:$J$82,9,FALSE)),"")</f>
        <v/>
      </c>
      <c r="L121" s="967" t="str">
        <f t="shared" si="4"/>
        <v/>
      </c>
      <c r="M121" s="967" t="str">
        <f>IFERROR(VLOOKUP(I121,FAAS!$A$142:$E$144,5,FALSE)*365/1000,"")</f>
        <v/>
      </c>
      <c r="N121" s="967" t="str">
        <f t="shared" si="5"/>
        <v/>
      </c>
      <c r="Q121" s="973"/>
      <c r="R121" s="969"/>
      <c r="S121" s="970"/>
      <c r="T121" s="969"/>
      <c r="U121" s="973"/>
      <c r="V121" s="971"/>
      <c r="W121" s="968"/>
      <c r="X121" s="971"/>
      <c r="Y121" s="971"/>
      <c r="Z121" s="971"/>
      <c r="AA121" s="968"/>
      <c r="AB121" s="972"/>
    </row>
    <row r="122" spans="2:28" ht="30" hidden="1" customHeight="1" outlineLevel="2" x14ac:dyDescent="0.25">
      <c r="B122" s="713"/>
      <c r="C122" s="714"/>
      <c r="D122" s="715"/>
      <c r="E122" s="214"/>
      <c r="F122" s="214"/>
      <c r="G122" s="215"/>
      <c r="H122" s="716"/>
      <c r="I122" s="717"/>
      <c r="J122" s="707"/>
      <c r="K122" s="967" t="str">
        <f>IFERROR(IF(D122=FAAS!$K$135,'Outras emissões de processo'!F122,VLOOKUP(D122,FAAS!$B$63:$J$82,9,FALSE)),"")</f>
        <v/>
      </c>
      <c r="L122" s="967" t="str">
        <f t="shared" si="4"/>
        <v/>
      </c>
      <c r="M122" s="967" t="str">
        <f>IFERROR(VLOOKUP(I122,FAAS!$A$142:$E$144,5,FALSE)*365/1000,"")</f>
        <v/>
      </c>
      <c r="N122" s="967" t="str">
        <f t="shared" si="5"/>
        <v/>
      </c>
      <c r="Q122" s="973"/>
      <c r="R122" s="969"/>
      <c r="S122" s="970"/>
      <c r="T122" s="969"/>
      <c r="U122" s="973"/>
      <c r="V122" s="971"/>
      <c r="W122" s="968"/>
      <c r="X122" s="971"/>
      <c r="Y122" s="971"/>
      <c r="Z122" s="971"/>
      <c r="AA122" s="968"/>
      <c r="AB122" s="972"/>
    </row>
    <row r="123" spans="2:28" ht="30" hidden="1" customHeight="1" outlineLevel="2" x14ac:dyDescent="0.25">
      <c r="B123" s="713"/>
      <c r="C123" s="714"/>
      <c r="D123" s="715"/>
      <c r="E123" s="214"/>
      <c r="F123" s="214"/>
      <c r="G123" s="215"/>
      <c r="H123" s="716"/>
      <c r="I123" s="717"/>
      <c r="J123" s="707"/>
      <c r="K123" s="967" t="str">
        <f>IFERROR(IF(D123=FAAS!$K$135,'Outras emissões de processo'!F123,VLOOKUP(D123,FAAS!$B$63:$J$82,9,FALSE)),"")</f>
        <v/>
      </c>
      <c r="L123" s="967" t="str">
        <f t="shared" si="4"/>
        <v/>
      </c>
      <c r="M123" s="967" t="str">
        <f>IFERROR(VLOOKUP(I123,FAAS!$A$142:$E$144,5,FALSE)*365/1000,"")</f>
        <v/>
      </c>
      <c r="N123" s="967" t="str">
        <f t="shared" si="5"/>
        <v/>
      </c>
      <c r="Q123" s="973"/>
      <c r="R123" s="969"/>
      <c r="S123" s="970"/>
      <c r="T123" s="969"/>
      <c r="U123" s="973"/>
      <c r="V123" s="971"/>
      <c r="W123" s="968"/>
      <c r="X123" s="971"/>
      <c r="Y123" s="971"/>
      <c r="Z123" s="971"/>
      <c r="AA123" s="968"/>
      <c r="AB123" s="972"/>
    </row>
    <row r="124" spans="2:28" ht="30" hidden="1" customHeight="1" outlineLevel="2" x14ac:dyDescent="0.25">
      <c r="B124" s="713"/>
      <c r="C124" s="714"/>
      <c r="D124" s="715"/>
      <c r="E124" s="214"/>
      <c r="F124" s="214"/>
      <c r="G124" s="215"/>
      <c r="H124" s="716"/>
      <c r="I124" s="717"/>
      <c r="J124" s="707"/>
      <c r="K124" s="967" t="str">
        <f>IFERROR(IF(D124=FAAS!$K$135,'Outras emissões de processo'!F124,VLOOKUP(D124,FAAS!$B$63:$J$82,9,FALSE)),"")</f>
        <v/>
      </c>
      <c r="L124" s="967" t="str">
        <f t="shared" si="4"/>
        <v/>
      </c>
      <c r="M124" s="967" t="str">
        <f>IFERROR(VLOOKUP(I124,FAAS!$A$142:$E$144,5,FALSE)*365/1000,"")</f>
        <v/>
      </c>
      <c r="N124" s="967" t="str">
        <f t="shared" si="5"/>
        <v/>
      </c>
      <c r="Q124" s="973"/>
      <c r="R124" s="969"/>
      <c r="S124" s="970"/>
      <c r="T124" s="969"/>
      <c r="U124" s="973"/>
      <c r="V124" s="971"/>
      <c r="W124" s="968"/>
      <c r="X124" s="971"/>
      <c r="Y124" s="971"/>
      <c r="Z124" s="971"/>
      <c r="AA124" s="968"/>
      <c r="AB124" s="972"/>
    </row>
    <row r="125" spans="2:28" ht="30" hidden="1" customHeight="1" outlineLevel="2" x14ac:dyDescent="0.25">
      <c r="B125" s="713"/>
      <c r="C125" s="714"/>
      <c r="D125" s="715"/>
      <c r="E125" s="214"/>
      <c r="F125" s="214"/>
      <c r="G125" s="215"/>
      <c r="H125" s="716"/>
      <c r="I125" s="717"/>
      <c r="J125" s="707"/>
      <c r="K125" s="967" t="str">
        <f>IFERROR(IF(D125=FAAS!$K$135,'Outras emissões de processo'!F125,VLOOKUP(D125,FAAS!$B$63:$J$82,9,FALSE)),"")</f>
        <v/>
      </c>
      <c r="L125" s="967" t="str">
        <f t="shared" si="4"/>
        <v/>
      </c>
      <c r="M125" s="967" t="str">
        <f>IFERROR(VLOOKUP(I125,FAAS!$A$142:$E$144,5,FALSE)*365/1000,"")</f>
        <v/>
      </c>
      <c r="N125" s="967" t="str">
        <f t="shared" si="5"/>
        <v/>
      </c>
      <c r="Q125" s="973"/>
      <c r="R125" s="969"/>
      <c r="S125" s="970"/>
      <c r="T125" s="969"/>
      <c r="U125" s="973"/>
      <c r="V125" s="971"/>
      <c r="W125" s="968"/>
      <c r="X125" s="971"/>
      <c r="Y125" s="971"/>
      <c r="Z125" s="971"/>
      <c r="AA125" s="968"/>
      <c r="AB125" s="972"/>
    </row>
    <row r="126" spans="2:28" ht="30" hidden="1" customHeight="1" outlineLevel="2" x14ac:dyDescent="0.25">
      <c r="B126" s="713"/>
      <c r="C126" s="714"/>
      <c r="D126" s="715"/>
      <c r="E126" s="214"/>
      <c r="F126" s="214"/>
      <c r="G126" s="215"/>
      <c r="H126" s="716"/>
      <c r="I126" s="717"/>
      <c r="J126" s="707"/>
      <c r="K126" s="967" t="str">
        <f>IFERROR(IF(D126=FAAS!$K$135,'Outras emissões de processo'!F126,VLOOKUP(D126,FAAS!$B$63:$J$82,9,FALSE)),"")</f>
        <v/>
      </c>
      <c r="L126" s="967" t="str">
        <f t="shared" si="4"/>
        <v/>
      </c>
      <c r="M126" s="967" t="str">
        <f>IFERROR(VLOOKUP(I126,FAAS!$A$142:$E$144,5,FALSE)*365/1000,"")</f>
        <v/>
      </c>
      <c r="N126" s="967" t="str">
        <f t="shared" si="5"/>
        <v/>
      </c>
      <c r="Q126" s="973"/>
      <c r="R126" s="969"/>
      <c r="S126" s="970"/>
      <c r="T126" s="969"/>
      <c r="U126" s="973"/>
      <c r="V126" s="971"/>
      <c r="W126" s="968"/>
      <c r="X126" s="971"/>
      <c r="Y126" s="971"/>
      <c r="Z126" s="971"/>
      <c r="AA126" s="968"/>
      <c r="AB126" s="972"/>
    </row>
    <row r="127" spans="2:28" ht="30" hidden="1" customHeight="1" outlineLevel="2" x14ac:dyDescent="0.25">
      <c r="B127" s="713"/>
      <c r="C127" s="714"/>
      <c r="D127" s="715"/>
      <c r="E127" s="214"/>
      <c r="F127" s="214"/>
      <c r="G127" s="215"/>
      <c r="H127" s="716"/>
      <c r="I127" s="717"/>
      <c r="J127" s="707"/>
      <c r="K127" s="967" t="str">
        <f>IFERROR(IF(D127=FAAS!$K$135,'Outras emissões de processo'!F127,VLOOKUP(D127,FAAS!$B$63:$J$82,9,FALSE)),"")</f>
        <v/>
      </c>
      <c r="L127" s="967" t="str">
        <f t="shared" si="4"/>
        <v/>
      </c>
      <c r="M127" s="967" t="str">
        <f>IFERROR(VLOOKUP(I127,FAAS!$A$142:$E$144,5,FALSE)*365/1000,"")</f>
        <v/>
      </c>
      <c r="N127" s="967" t="str">
        <f t="shared" si="5"/>
        <v/>
      </c>
      <c r="Q127" s="973"/>
      <c r="R127" s="969"/>
      <c r="S127" s="970"/>
      <c r="T127" s="969"/>
      <c r="U127" s="973"/>
      <c r="V127" s="971"/>
      <c r="W127" s="968"/>
      <c r="X127" s="971"/>
      <c r="Y127" s="971"/>
      <c r="Z127" s="971"/>
      <c r="AA127" s="968"/>
      <c r="AB127" s="972"/>
    </row>
    <row r="128" spans="2:28" ht="30" hidden="1" customHeight="1" outlineLevel="2" x14ac:dyDescent="0.25">
      <c r="B128" s="713"/>
      <c r="C128" s="714"/>
      <c r="D128" s="715"/>
      <c r="E128" s="214"/>
      <c r="F128" s="214"/>
      <c r="G128" s="215"/>
      <c r="H128" s="716"/>
      <c r="I128" s="717"/>
      <c r="J128" s="707"/>
      <c r="K128" s="967" t="str">
        <f>IFERROR(IF(D128=FAAS!$K$135,'Outras emissões de processo'!F128,VLOOKUP(D128,FAAS!$B$63:$J$82,9,FALSE)),"")</f>
        <v/>
      </c>
      <c r="L128" s="967" t="str">
        <f t="shared" si="4"/>
        <v/>
      </c>
      <c r="M128" s="967" t="str">
        <f>IFERROR(VLOOKUP(I128,FAAS!$A$142:$E$144,5,FALSE)*365/1000,"")</f>
        <v/>
      </c>
      <c r="N128" s="967" t="str">
        <f t="shared" si="5"/>
        <v/>
      </c>
      <c r="Q128" s="973"/>
      <c r="R128" s="969"/>
      <c r="S128" s="970"/>
      <c r="T128" s="969"/>
      <c r="U128" s="973"/>
      <c r="V128" s="971"/>
      <c r="W128" s="968"/>
      <c r="X128" s="971"/>
      <c r="Y128" s="971"/>
      <c r="Z128" s="971"/>
      <c r="AA128" s="968"/>
      <c r="AB128" s="972"/>
    </row>
    <row r="129" spans="2:28" ht="30" hidden="1" customHeight="1" outlineLevel="2" x14ac:dyDescent="0.25">
      <c r="B129" s="713"/>
      <c r="C129" s="714"/>
      <c r="D129" s="715"/>
      <c r="E129" s="214"/>
      <c r="F129" s="214"/>
      <c r="G129" s="215"/>
      <c r="H129" s="716"/>
      <c r="I129" s="717"/>
      <c r="J129" s="707"/>
      <c r="K129" s="967" t="str">
        <f>IFERROR(IF(D129=FAAS!$K$135,'Outras emissões de processo'!F129,VLOOKUP(D129,FAAS!$B$63:$J$82,9,FALSE)),"")</f>
        <v/>
      </c>
      <c r="L129" s="967" t="str">
        <f t="shared" si="4"/>
        <v/>
      </c>
      <c r="M129" s="967" t="str">
        <f>IFERROR(VLOOKUP(I129,FAAS!$A$142:$E$144,5,FALSE)*365/1000,"")</f>
        <v/>
      </c>
      <c r="N129" s="967" t="str">
        <f t="shared" si="5"/>
        <v/>
      </c>
      <c r="Q129" s="973"/>
      <c r="R129" s="969"/>
      <c r="S129" s="970"/>
      <c r="T129" s="969"/>
      <c r="U129" s="973"/>
      <c r="V129" s="971"/>
      <c r="W129" s="968"/>
      <c r="X129" s="971"/>
      <c r="Y129" s="971"/>
      <c r="Z129" s="971"/>
      <c r="AA129" s="968"/>
      <c r="AB129" s="972"/>
    </row>
    <row r="130" spans="2:28" ht="30" hidden="1" customHeight="1" outlineLevel="2" x14ac:dyDescent="0.25">
      <c r="B130" s="713"/>
      <c r="C130" s="714"/>
      <c r="D130" s="715"/>
      <c r="E130" s="214"/>
      <c r="F130" s="214"/>
      <c r="G130" s="215"/>
      <c r="H130" s="716"/>
      <c r="I130" s="717"/>
      <c r="J130" s="707"/>
      <c r="K130" s="967" t="str">
        <f>IFERROR(IF(D130=FAAS!$K$135,'Outras emissões de processo'!F130,VLOOKUP(D130,FAAS!$B$63:$J$82,9,FALSE)),"")</f>
        <v/>
      </c>
      <c r="L130" s="967" t="str">
        <f t="shared" si="4"/>
        <v/>
      </c>
      <c r="M130" s="967" t="str">
        <f>IFERROR(VLOOKUP(I130,FAAS!$A$142:$E$144,5,FALSE)*365/1000,"")</f>
        <v/>
      </c>
      <c r="N130" s="967" t="str">
        <f t="shared" si="5"/>
        <v/>
      </c>
      <c r="Q130" s="973"/>
      <c r="R130" s="969"/>
      <c r="S130" s="970"/>
      <c r="T130" s="969"/>
      <c r="U130" s="973"/>
      <c r="V130" s="971"/>
      <c r="W130" s="968"/>
      <c r="X130" s="971"/>
      <c r="Y130" s="971"/>
      <c r="Z130" s="971"/>
      <c r="AA130" s="968"/>
      <c r="AB130" s="972"/>
    </row>
    <row r="131" spans="2:28" ht="30" hidden="1" customHeight="1" outlineLevel="2" x14ac:dyDescent="0.25">
      <c r="B131" s="713"/>
      <c r="C131" s="714"/>
      <c r="D131" s="715"/>
      <c r="E131" s="214"/>
      <c r="F131" s="214"/>
      <c r="G131" s="215"/>
      <c r="H131" s="716"/>
      <c r="I131" s="717"/>
      <c r="J131" s="707"/>
      <c r="K131" s="967" t="str">
        <f>IFERROR(IF(D131=FAAS!$K$135,'Outras emissões de processo'!F131,VLOOKUP(D131,FAAS!$B$63:$J$82,9,FALSE)),"")</f>
        <v/>
      </c>
      <c r="L131" s="967" t="str">
        <f t="shared" si="4"/>
        <v/>
      </c>
      <c r="M131" s="967" t="str">
        <f>IFERROR(VLOOKUP(I131,FAAS!$A$142:$E$144,5,FALSE)*365/1000,"")</f>
        <v/>
      </c>
      <c r="N131" s="967" t="str">
        <f t="shared" si="5"/>
        <v/>
      </c>
      <c r="Q131" s="973"/>
      <c r="R131" s="969"/>
      <c r="S131" s="970"/>
      <c r="T131" s="969"/>
      <c r="U131" s="973"/>
      <c r="V131" s="971"/>
      <c r="W131" s="968"/>
      <c r="X131" s="971"/>
      <c r="Y131" s="971"/>
      <c r="Z131" s="971"/>
      <c r="AA131" s="968"/>
      <c r="AB131" s="972"/>
    </row>
    <row r="132" spans="2:28" ht="30" hidden="1" customHeight="1" outlineLevel="2" x14ac:dyDescent="0.25">
      <c r="B132" s="713"/>
      <c r="C132" s="714"/>
      <c r="D132" s="715"/>
      <c r="E132" s="214"/>
      <c r="F132" s="214"/>
      <c r="G132" s="215"/>
      <c r="H132" s="716"/>
      <c r="I132" s="717"/>
      <c r="J132" s="707"/>
      <c r="K132" s="967" t="str">
        <f>IFERROR(IF(D132=FAAS!$K$135,'Outras emissões de processo'!F132,VLOOKUP(D132,FAAS!$B$63:$J$82,9,FALSE)),"")</f>
        <v/>
      </c>
      <c r="L132" s="967" t="str">
        <f t="shared" si="4"/>
        <v/>
      </c>
      <c r="M132" s="967" t="str">
        <f>IFERROR(VLOOKUP(I132,FAAS!$A$142:$E$144,5,FALSE)*365/1000,"")</f>
        <v/>
      </c>
      <c r="N132" s="967" t="str">
        <f t="shared" si="5"/>
        <v/>
      </c>
      <c r="Q132" s="973"/>
      <c r="R132" s="969"/>
      <c r="S132" s="970"/>
      <c r="T132" s="969"/>
      <c r="U132" s="973"/>
      <c r="V132" s="971"/>
      <c r="W132" s="968"/>
      <c r="X132" s="971"/>
      <c r="Y132" s="971"/>
      <c r="Z132" s="971"/>
      <c r="AA132" s="968"/>
      <c r="AB132" s="972"/>
    </row>
    <row r="133" spans="2:28" ht="30" hidden="1" customHeight="1" outlineLevel="2" x14ac:dyDescent="0.25">
      <c r="B133" s="713"/>
      <c r="C133" s="714"/>
      <c r="D133" s="715"/>
      <c r="E133" s="214"/>
      <c r="F133" s="214"/>
      <c r="G133" s="215"/>
      <c r="H133" s="716"/>
      <c r="I133" s="717"/>
      <c r="J133" s="707"/>
      <c r="K133" s="967" t="str">
        <f>IFERROR(IF(D133=FAAS!$K$135,'Outras emissões de processo'!F133,VLOOKUP(D133,FAAS!$B$63:$J$82,9,FALSE)),"")</f>
        <v/>
      </c>
      <c r="L133" s="967" t="str">
        <f t="shared" si="4"/>
        <v/>
      </c>
      <c r="M133" s="967" t="str">
        <f>IFERROR(VLOOKUP(I133,FAAS!$A$142:$E$144,5,FALSE)*365/1000,"")</f>
        <v/>
      </c>
      <c r="N133" s="967" t="str">
        <f t="shared" si="5"/>
        <v/>
      </c>
      <c r="Q133" s="973"/>
      <c r="R133" s="969"/>
      <c r="S133" s="970"/>
      <c r="T133" s="969"/>
      <c r="U133" s="973"/>
      <c r="V133" s="971"/>
      <c r="W133" s="968"/>
      <c r="X133" s="971"/>
      <c r="Y133" s="971"/>
      <c r="Z133" s="971"/>
      <c r="AA133" s="968"/>
      <c r="AB133" s="972"/>
    </row>
    <row r="134" spans="2:28" ht="30" hidden="1" customHeight="1" outlineLevel="2" x14ac:dyDescent="0.25">
      <c r="B134" s="713"/>
      <c r="C134" s="714"/>
      <c r="D134" s="715"/>
      <c r="E134" s="214"/>
      <c r="F134" s="214"/>
      <c r="G134" s="215"/>
      <c r="H134" s="716"/>
      <c r="I134" s="717"/>
      <c r="J134" s="707"/>
      <c r="K134" s="967" t="str">
        <f>IFERROR(IF(D134=FAAS!$K$135,'Outras emissões de processo'!F134,VLOOKUP(D134,FAAS!$B$63:$J$82,9,FALSE)),"")</f>
        <v/>
      </c>
      <c r="L134" s="967" t="str">
        <f t="shared" si="4"/>
        <v/>
      </c>
      <c r="M134" s="967" t="str">
        <f>IFERROR(VLOOKUP(I134,FAAS!$A$142:$E$144,5,FALSE)*365/1000,"")</f>
        <v/>
      </c>
      <c r="N134" s="967" t="str">
        <f t="shared" si="5"/>
        <v/>
      </c>
      <c r="Q134" s="973"/>
      <c r="R134" s="969"/>
      <c r="S134" s="970"/>
      <c r="T134" s="969"/>
      <c r="U134" s="973"/>
      <c r="V134" s="971"/>
      <c r="W134" s="968"/>
      <c r="X134" s="971"/>
      <c r="Y134" s="971"/>
      <c r="Z134" s="971"/>
      <c r="AA134" s="968"/>
      <c r="AB134" s="972"/>
    </row>
    <row r="135" spans="2:28" ht="30" hidden="1" customHeight="1" outlineLevel="2" x14ac:dyDescent="0.25">
      <c r="B135" s="713"/>
      <c r="C135" s="714"/>
      <c r="D135" s="715"/>
      <c r="E135" s="214"/>
      <c r="F135" s="214"/>
      <c r="G135" s="215"/>
      <c r="H135" s="716"/>
      <c r="I135" s="717"/>
      <c r="J135" s="707"/>
      <c r="K135" s="967" t="str">
        <f>IFERROR(IF(D135=FAAS!$K$135,'Outras emissões de processo'!F135,VLOOKUP(D135,FAAS!$B$63:$J$82,9,FALSE)),"")</f>
        <v/>
      </c>
      <c r="L135" s="967" t="str">
        <f t="shared" si="4"/>
        <v/>
      </c>
      <c r="M135" s="967" t="str">
        <f>IFERROR(VLOOKUP(I135,FAAS!$A$142:$E$144,5,FALSE)*365/1000,"")</f>
        <v/>
      </c>
      <c r="N135" s="967" t="str">
        <f t="shared" si="5"/>
        <v/>
      </c>
      <c r="Q135" s="973"/>
      <c r="R135" s="969"/>
      <c r="S135" s="970"/>
      <c r="T135" s="969"/>
      <c r="U135" s="973"/>
      <c r="V135" s="971"/>
      <c r="W135" s="968"/>
      <c r="X135" s="971"/>
      <c r="Y135" s="971"/>
      <c r="Z135" s="971"/>
      <c r="AA135" s="968"/>
      <c r="AB135" s="972"/>
    </row>
    <row r="136" spans="2:28" ht="30" hidden="1" customHeight="1" outlineLevel="2" x14ac:dyDescent="0.25">
      <c r="B136" s="713"/>
      <c r="C136" s="714"/>
      <c r="D136" s="715"/>
      <c r="E136" s="214"/>
      <c r="F136" s="214"/>
      <c r="G136" s="215"/>
      <c r="H136" s="716"/>
      <c r="I136" s="717"/>
      <c r="J136" s="707"/>
      <c r="K136" s="967" t="str">
        <f>IFERROR(IF(D136=FAAS!$K$135,'Outras emissões de processo'!F136,VLOOKUP(D136,FAAS!$B$63:$J$82,9,FALSE)),"")</f>
        <v/>
      </c>
      <c r="L136" s="967" t="str">
        <f t="shared" si="4"/>
        <v/>
      </c>
      <c r="M136" s="967" t="str">
        <f>IFERROR(VLOOKUP(I136,FAAS!$A$142:$E$144,5,FALSE)*365/1000,"")</f>
        <v/>
      </c>
      <c r="N136" s="967" t="str">
        <f t="shared" si="5"/>
        <v/>
      </c>
      <c r="Q136" s="973"/>
      <c r="R136" s="969"/>
      <c r="S136" s="970"/>
      <c r="T136" s="969"/>
      <c r="U136" s="973"/>
      <c r="V136" s="971"/>
      <c r="W136" s="968"/>
      <c r="X136" s="971"/>
      <c r="Y136" s="971"/>
      <c r="Z136" s="971"/>
      <c r="AA136" s="968"/>
      <c r="AB136" s="972"/>
    </row>
    <row r="137" spans="2:28" ht="30" hidden="1" customHeight="1" outlineLevel="2" x14ac:dyDescent="0.25">
      <c r="B137" s="713"/>
      <c r="C137" s="714"/>
      <c r="D137" s="715"/>
      <c r="E137" s="214"/>
      <c r="F137" s="214"/>
      <c r="G137" s="215"/>
      <c r="H137" s="716"/>
      <c r="I137" s="717"/>
      <c r="J137" s="707"/>
      <c r="K137" s="967" t="str">
        <f>IFERROR(IF(D137=FAAS!$K$135,'Outras emissões de processo'!F137,VLOOKUP(D137,FAAS!$B$63:$J$82,9,FALSE)),"")</f>
        <v/>
      </c>
      <c r="L137" s="967" t="str">
        <f t="shared" si="4"/>
        <v/>
      </c>
      <c r="M137" s="967" t="str">
        <f>IFERROR(VLOOKUP(I137,FAAS!$A$142:$E$144,5,FALSE)*365/1000,"")</f>
        <v/>
      </c>
      <c r="N137" s="967" t="str">
        <f t="shared" si="5"/>
        <v/>
      </c>
      <c r="Q137" s="973"/>
      <c r="R137" s="969"/>
      <c r="S137" s="970"/>
      <c r="T137" s="969"/>
      <c r="U137" s="973"/>
      <c r="V137" s="971"/>
      <c r="W137" s="968"/>
      <c r="X137" s="971"/>
      <c r="Y137" s="971"/>
      <c r="Z137" s="971"/>
      <c r="AA137" s="968"/>
      <c r="AB137" s="972"/>
    </row>
    <row r="138" spans="2:28" ht="30" hidden="1" customHeight="1" outlineLevel="2" x14ac:dyDescent="0.25">
      <c r="B138" s="713"/>
      <c r="C138" s="714"/>
      <c r="D138" s="715"/>
      <c r="E138" s="214"/>
      <c r="F138" s="214"/>
      <c r="G138" s="215"/>
      <c r="H138" s="716"/>
      <c r="I138" s="717"/>
      <c r="J138" s="707"/>
      <c r="K138" s="967" t="str">
        <f>IFERROR(IF(D138=FAAS!$K$135,'Outras emissões de processo'!F138,VLOOKUP(D138,FAAS!$B$63:$J$82,9,FALSE)),"")</f>
        <v/>
      </c>
      <c r="L138" s="967" t="str">
        <f t="shared" si="4"/>
        <v/>
      </c>
      <c r="M138" s="967" t="str">
        <f>IFERROR(VLOOKUP(I138,FAAS!$A$142:$E$144,5,FALSE)*365/1000,"")</f>
        <v/>
      </c>
      <c r="N138" s="967" t="str">
        <f t="shared" si="5"/>
        <v/>
      </c>
      <c r="Q138" s="973"/>
      <c r="R138" s="969"/>
      <c r="S138" s="970"/>
      <c r="T138" s="969"/>
      <c r="U138" s="973"/>
      <c r="V138" s="971"/>
      <c r="W138" s="968"/>
      <c r="X138" s="971"/>
      <c r="Y138" s="971"/>
      <c r="Z138" s="971"/>
      <c r="AA138" s="968"/>
      <c r="AB138" s="972"/>
    </row>
    <row r="139" spans="2:28" ht="30" hidden="1" customHeight="1" outlineLevel="2" x14ac:dyDescent="0.25">
      <c r="B139" s="713"/>
      <c r="C139" s="714"/>
      <c r="D139" s="715"/>
      <c r="E139" s="214"/>
      <c r="F139" s="214"/>
      <c r="G139" s="215"/>
      <c r="H139" s="716"/>
      <c r="I139" s="717"/>
      <c r="J139" s="707"/>
      <c r="K139" s="967" t="str">
        <f>IFERROR(IF(D139=FAAS!$K$135,'Outras emissões de processo'!F139,VLOOKUP(D139,FAAS!$B$63:$J$82,9,FALSE)),"")</f>
        <v/>
      </c>
      <c r="L139" s="967" t="str">
        <f t="shared" ref="L139:L142" si="6">IFERROR(K139*H139,"")</f>
        <v/>
      </c>
      <c r="M139" s="967" t="str">
        <f>IFERROR(VLOOKUP(I139,FAAS!$A$142:$E$144,5,FALSE)*365/1000,"")</f>
        <v/>
      </c>
      <c r="N139" s="967" t="str">
        <f t="shared" ref="N139:N142" si="7">IFERROR(M139*J139,"")</f>
        <v/>
      </c>
      <c r="Q139" s="973"/>
      <c r="R139" s="969"/>
      <c r="S139" s="970"/>
      <c r="T139" s="969"/>
      <c r="U139" s="973"/>
      <c r="V139" s="971"/>
      <c r="W139" s="968"/>
      <c r="X139" s="971"/>
      <c r="Y139" s="971"/>
      <c r="Z139" s="971"/>
      <c r="AA139" s="968"/>
      <c r="AB139" s="972"/>
    </row>
    <row r="140" spans="2:28" ht="30" hidden="1" customHeight="1" outlineLevel="2" x14ac:dyDescent="0.25">
      <c r="B140" s="713"/>
      <c r="C140" s="714"/>
      <c r="D140" s="715"/>
      <c r="E140" s="214"/>
      <c r="F140" s="214"/>
      <c r="G140" s="215"/>
      <c r="H140" s="716"/>
      <c r="I140" s="717"/>
      <c r="J140" s="707"/>
      <c r="K140" s="967" t="str">
        <f>IFERROR(IF(D140=FAAS!$K$135,'Outras emissões de processo'!F140,VLOOKUP(D140,FAAS!$B$63:$J$82,9,FALSE)),"")</f>
        <v/>
      </c>
      <c r="L140" s="967" t="str">
        <f t="shared" si="6"/>
        <v/>
      </c>
      <c r="M140" s="967" t="str">
        <f>IFERROR(VLOOKUP(I140,FAAS!$A$142:$E$144,5,FALSE)*365/1000,"")</f>
        <v/>
      </c>
      <c r="N140" s="967" t="str">
        <f t="shared" si="7"/>
        <v/>
      </c>
      <c r="Q140" s="973"/>
      <c r="R140" s="969"/>
      <c r="S140" s="970"/>
      <c r="T140" s="969"/>
      <c r="U140" s="973"/>
      <c r="V140" s="971"/>
      <c r="W140" s="968"/>
      <c r="X140" s="971"/>
      <c r="Y140" s="971"/>
      <c r="Z140" s="971"/>
      <c r="AA140" s="968"/>
      <c r="AB140" s="972"/>
    </row>
    <row r="141" spans="2:28" ht="30" hidden="1" customHeight="1" outlineLevel="2" x14ac:dyDescent="0.25">
      <c r="B141" s="713"/>
      <c r="C141" s="714"/>
      <c r="D141" s="715"/>
      <c r="E141" s="214"/>
      <c r="F141" s="214"/>
      <c r="G141" s="215"/>
      <c r="H141" s="716"/>
      <c r="I141" s="717"/>
      <c r="J141" s="707"/>
      <c r="K141" s="967" t="str">
        <f>IFERROR(IF(D141=FAAS!$K$135,'Outras emissões de processo'!F141,VLOOKUP(D141,FAAS!$B$63:$J$82,9,FALSE)),"")</f>
        <v/>
      </c>
      <c r="L141" s="967" t="str">
        <f t="shared" si="6"/>
        <v/>
      </c>
      <c r="M141" s="967" t="str">
        <f>IFERROR(VLOOKUP(I141,FAAS!$A$142:$E$144,5,FALSE)*365/1000,"")</f>
        <v/>
      </c>
      <c r="N141" s="967" t="str">
        <f t="shared" si="7"/>
        <v/>
      </c>
      <c r="Q141" s="973"/>
      <c r="R141" s="969"/>
      <c r="S141" s="970"/>
      <c r="T141" s="969"/>
      <c r="U141" s="973"/>
      <c r="V141" s="971"/>
      <c r="W141" s="968"/>
      <c r="X141" s="971"/>
      <c r="Y141" s="971"/>
      <c r="Z141" s="971"/>
      <c r="AA141" s="968"/>
      <c r="AB141" s="972"/>
    </row>
    <row r="142" spans="2:28" ht="30" hidden="1" customHeight="1" outlineLevel="2" x14ac:dyDescent="0.25">
      <c r="B142" s="713"/>
      <c r="C142" s="714"/>
      <c r="D142" s="715"/>
      <c r="E142" s="214"/>
      <c r="F142" s="214"/>
      <c r="G142" s="215"/>
      <c r="H142" s="716"/>
      <c r="I142" s="717"/>
      <c r="J142" s="707"/>
      <c r="K142" s="967" t="str">
        <f>IFERROR(IF(D142=FAAS!$K$135,'Outras emissões de processo'!F142,VLOOKUP(D142,FAAS!$B$63:$J$82,9,FALSE)),"")</f>
        <v/>
      </c>
      <c r="L142" s="967" t="str">
        <f t="shared" si="6"/>
        <v/>
      </c>
      <c r="M142" s="967" t="str">
        <f>IFERROR(VLOOKUP(I142,FAAS!$A$142:$E$144,5,FALSE)*365/1000,"")</f>
        <v/>
      </c>
      <c r="N142" s="967" t="str">
        <f t="shared" si="7"/>
        <v/>
      </c>
      <c r="Q142" s="973"/>
      <c r="R142" s="969"/>
      <c r="S142" s="970"/>
      <c r="T142" s="969"/>
      <c r="U142" s="973"/>
      <c r="V142" s="971"/>
      <c r="W142" s="968"/>
      <c r="X142" s="971"/>
      <c r="Y142" s="971"/>
      <c r="Z142" s="971"/>
      <c r="AA142" s="968"/>
      <c r="AB142" s="972"/>
    </row>
    <row r="143" spans="2:28" ht="24.6" customHeight="1" outlineLevel="1" collapsed="1" x14ac:dyDescent="0.25">
      <c r="B143" s="604" t="s">
        <v>37</v>
      </c>
      <c r="C143" s="605"/>
      <c r="D143" s="605"/>
      <c r="E143" s="605"/>
      <c r="F143" s="605"/>
      <c r="G143" s="974"/>
      <c r="H143" s="975">
        <f>SUM(H43:H142)</f>
        <v>0</v>
      </c>
      <c r="I143" s="605"/>
      <c r="J143" s="975">
        <f>SUM(J43:J142)</f>
        <v>0</v>
      </c>
      <c r="K143" s="976">
        <f t="shared" ref="K143:N143" si="8">SUM(K43:K142)</f>
        <v>0</v>
      </c>
      <c r="L143" s="977">
        <f t="shared" si="8"/>
        <v>0</v>
      </c>
      <c r="M143" s="967">
        <f t="shared" si="8"/>
        <v>0</v>
      </c>
      <c r="N143" s="978">
        <f t="shared" si="8"/>
        <v>0</v>
      </c>
    </row>
    <row r="144" spans="2:28" s="168" customFormat="1" ht="24.6" customHeight="1" outlineLevel="1" x14ac:dyDescent="0.25">
      <c r="B144" s="942" t="s">
        <v>1069</v>
      </c>
      <c r="C144" s="943"/>
      <c r="D144" s="943"/>
      <c r="E144" s="943"/>
      <c r="F144" s="943"/>
      <c r="G144" s="944"/>
      <c r="H144" s="944"/>
      <c r="I144" s="944"/>
    </row>
    <row r="145" spans="1:27" s="168" customFormat="1" ht="24.6" customHeight="1" x14ac:dyDescent="0.25">
      <c r="B145" s="942"/>
      <c r="C145" s="943"/>
      <c r="D145" s="943"/>
      <c r="E145" s="943"/>
      <c r="F145" s="943"/>
      <c r="G145" s="943"/>
      <c r="H145" s="944"/>
      <c r="I145" s="944"/>
      <c r="J145" s="944"/>
    </row>
    <row r="146" spans="1:27" s="168" customFormat="1" ht="24.6" customHeight="1" x14ac:dyDescent="0.25">
      <c r="B146" s="942"/>
      <c r="C146" s="943"/>
      <c r="D146" s="943"/>
      <c r="E146" s="943"/>
      <c r="F146" s="943"/>
      <c r="G146" s="943"/>
      <c r="H146" s="944"/>
      <c r="I146" s="944"/>
      <c r="J146" s="944"/>
    </row>
    <row r="147" spans="1:27" s="231" customFormat="1" ht="30" customHeight="1" x14ac:dyDescent="0.25">
      <c r="A147" s="949"/>
      <c r="B147" s="231" t="s">
        <v>1323</v>
      </c>
    </row>
    <row r="148" spans="1:27" ht="15.75" x14ac:dyDescent="0.25"/>
    <row r="149" spans="1:27" ht="15.75" x14ac:dyDescent="0.25"/>
    <row r="150" spans="1:27" ht="15.75" x14ac:dyDescent="0.25">
      <c r="B150" s="837" t="s">
        <v>0</v>
      </c>
      <c r="C150" s="778"/>
      <c r="D150" s="778"/>
      <c r="E150" s="778"/>
      <c r="F150" s="778"/>
      <c r="G150" s="778"/>
      <c r="H150" s="778"/>
      <c r="I150" s="778"/>
      <c r="J150" s="778"/>
      <c r="K150" s="778"/>
      <c r="L150" s="778"/>
      <c r="M150" s="778"/>
      <c r="N150" s="778"/>
      <c r="O150" s="778"/>
      <c r="P150" s="778"/>
      <c r="Q150" s="778"/>
      <c r="R150" s="168"/>
      <c r="S150" s="168"/>
    </row>
    <row r="151" spans="1:27" ht="15.75" x14ac:dyDescent="0.25">
      <c r="B151" s="838" t="s">
        <v>1506</v>
      </c>
      <c r="C151" s="778"/>
      <c r="D151" s="778"/>
      <c r="E151" s="778"/>
      <c r="F151" s="778"/>
      <c r="G151" s="778"/>
      <c r="H151" s="778"/>
      <c r="I151" s="778"/>
      <c r="J151" s="778"/>
      <c r="K151" s="778"/>
      <c r="L151" s="778"/>
      <c r="M151" s="778"/>
      <c r="N151" s="778"/>
      <c r="O151" s="778"/>
      <c r="P151" s="778"/>
      <c r="Q151" s="778"/>
      <c r="R151" s="168"/>
      <c r="S151" s="168"/>
    </row>
    <row r="152" spans="1:27" ht="19.899999999999999" customHeight="1" x14ac:dyDescent="0.25">
      <c r="B152" s="778" t="s">
        <v>1252</v>
      </c>
      <c r="C152" s="928"/>
      <c r="D152" s="928"/>
      <c r="E152" s="928"/>
      <c r="F152" s="928"/>
      <c r="G152" s="928"/>
      <c r="H152" s="928"/>
      <c r="I152" s="928"/>
      <c r="J152" s="928"/>
      <c r="K152" s="928"/>
      <c r="L152" s="928"/>
      <c r="M152" s="928"/>
      <c r="N152" s="928"/>
      <c r="O152" s="928"/>
      <c r="P152" s="797"/>
      <c r="Q152" s="797"/>
      <c r="R152" s="929"/>
      <c r="S152" s="929"/>
      <c r="T152" s="196"/>
      <c r="U152" s="196"/>
      <c r="V152" s="196"/>
      <c r="W152" s="196"/>
      <c r="X152" s="196"/>
      <c r="Y152" s="196"/>
      <c r="Z152" s="196"/>
      <c r="AA152" s="197"/>
    </row>
    <row r="153" spans="1:27" ht="19.899999999999999" customHeight="1" x14ac:dyDescent="0.25">
      <c r="B153" s="778" t="s">
        <v>1672</v>
      </c>
      <c r="C153" s="928"/>
      <c r="D153" s="928"/>
      <c r="E153" s="928"/>
      <c r="F153" s="928"/>
      <c r="G153" s="928"/>
      <c r="H153" s="928"/>
      <c r="I153" s="928"/>
      <c r="J153" s="928"/>
      <c r="K153" s="928"/>
      <c r="L153" s="928"/>
      <c r="M153" s="928"/>
      <c r="N153" s="928"/>
      <c r="O153" s="928"/>
      <c r="P153" s="928"/>
      <c r="Q153" s="797"/>
      <c r="R153" s="929"/>
      <c r="S153" s="929"/>
      <c r="T153" s="196"/>
      <c r="U153" s="196"/>
      <c r="V153" s="196"/>
      <c r="W153" s="196"/>
      <c r="X153" s="196"/>
      <c r="Y153" s="196"/>
      <c r="Z153" s="196"/>
      <c r="AA153" s="197"/>
    </row>
    <row r="154" spans="1:27" ht="19.899999999999999" customHeight="1" x14ac:dyDescent="0.25">
      <c r="B154" s="778" t="s">
        <v>1321</v>
      </c>
      <c r="C154" s="928"/>
      <c r="D154" s="928"/>
      <c r="E154" s="928"/>
      <c r="F154" s="928"/>
      <c r="G154" s="928"/>
      <c r="H154" s="928"/>
      <c r="I154" s="928"/>
      <c r="J154" s="928"/>
      <c r="K154" s="928"/>
      <c r="L154" s="928"/>
      <c r="M154" s="928"/>
      <c r="N154" s="928"/>
      <c r="O154" s="928"/>
      <c r="P154" s="928"/>
      <c r="Q154" s="797"/>
      <c r="R154" s="929"/>
      <c r="S154" s="929"/>
      <c r="T154" s="196"/>
      <c r="U154" s="196"/>
      <c r="V154" s="196"/>
      <c r="W154" s="196"/>
      <c r="X154" s="196"/>
      <c r="Y154" s="196"/>
      <c r="Z154" s="196"/>
      <c r="AA154" s="197"/>
    </row>
    <row r="155" spans="1:27" ht="19.899999999999999" customHeight="1" x14ac:dyDescent="0.25">
      <c r="B155" s="778" t="s">
        <v>1673</v>
      </c>
      <c r="C155" s="928"/>
      <c r="D155" s="928"/>
      <c r="E155" s="928"/>
      <c r="F155" s="928"/>
      <c r="G155" s="928"/>
      <c r="H155" s="928"/>
      <c r="I155" s="928"/>
      <c r="J155" s="928"/>
      <c r="K155" s="928"/>
      <c r="L155" s="928"/>
      <c r="M155" s="928"/>
      <c r="N155" s="928"/>
      <c r="O155" s="928"/>
      <c r="P155" s="928"/>
      <c r="Q155" s="797"/>
      <c r="R155" s="929"/>
      <c r="S155" s="929"/>
      <c r="T155" s="196"/>
      <c r="U155" s="196"/>
      <c r="V155" s="196"/>
      <c r="W155" s="196"/>
      <c r="X155" s="196"/>
      <c r="Y155" s="196"/>
      <c r="Z155" s="196"/>
      <c r="AA155" s="197"/>
    </row>
    <row r="156" spans="1:27" ht="15.75" x14ac:dyDescent="0.25">
      <c r="B156" s="778" t="s">
        <v>1674</v>
      </c>
      <c r="C156" s="928"/>
      <c r="D156" s="928"/>
      <c r="E156" s="928"/>
      <c r="F156" s="928"/>
      <c r="G156" s="928"/>
      <c r="H156" s="928"/>
      <c r="I156" s="928"/>
      <c r="J156" s="928"/>
      <c r="K156" s="928"/>
      <c r="L156" s="928"/>
      <c r="M156" s="928"/>
      <c r="N156" s="928"/>
      <c r="O156" s="928"/>
      <c r="P156" s="928"/>
      <c r="Q156" s="797"/>
      <c r="R156" s="927"/>
      <c r="S156" s="927"/>
      <c r="T156" s="198"/>
      <c r="U156" s="198"/>
      <c r="V156" s="198"/>
      <c r="W156" s="198"/>
      <c r="X156" s="198"/>
      <c r="Y156" s="198"/>
      <c r="Z156" s="198"/>
      <c r="AA156" s="198"/>
    </row>
    <row r="157" spans="1:27" ht="19.899999999999999" customHeight="1" x14ac:dyDescent="0.25">
      <c r="B157" s="1305" t="s">
        <v>1322</v>
      </c>
      <c r="C157" s="1305"/>
      <c r="D157" s="1305"/>
      <c r="E157" s="1305"/>
      <c r="F157" s="1305"/>
      <c r="G157" s="1305"/>
      <c r="H157" s="1305"/>
      <c r="I157" s="1305"/>
      <c r="J157" s="1305"/>
      <c r="K157" s="1305"/>
      <c r="L157" s="1305"/>
      <c r="M157" s="1305"/>
      <c r="N157" s="1305"/>
      <c r="O157" s="1305"/>
      <c r="P157" s="1305"/>
      <c r="Q157" s="797"/>
      <c r="R157" s="927"/>
      <c r="S157" s="927"/>
      <c r="T157" s="198"/>
      <c r="U157" s="198"/>
      <c r="V157" s="198"/>
      <c r="W157" s="198"/>
      <c r="X157" s="198"/>
      <c r="Y157" s="198"/>
      <c r="Z157" s="198"/>
      <c r="AA157" s="198"/>
    </row>
    <row r="158" spans="1:27" ht="15.75" x14ac:dyDescent="0.25"/>
    <row r="159" spans="1:27" ht="15.75" x14ac:dyDescent="0.25">
      <c r="I159" s="173"/>
    </row>
    <row r="160" spans="1:27" ht="30" customHeight="1" x14ac:dyDescent="0.25">
      <c r="B160" s="459" t="s">
        <v>1426</v>
      </c>
    </row>
    <row r="161" spans="1:18" ht="30" customHeight="1" x14ac:dyDescent="0.25">
      <c r="B161" s="1184" t="s">
        <v>780</v>
      </c>
      <c r="C161" s="1184" t="s">
        <v>1512</v>
      </c>
      <c r="D161" s="1184" t="s">
        <v>1513</v>
      </c>
      <c r="E161" s="1184" t="s">
        <v>1514</v>
      </c>
      <c r="F161" s="1300" t="s">
        <v>1507</v>
      </c>
      <c r="G161" s="1300"/>
      <c r="H161" s="1300"/>
      <c r="I161" s="1290" t="s">
        <v>1317</v>
      </c>
      <c r="J161" s="1291"/>
      <c r="K161" s="1291"/>
      <c r="L161" s="1290" t="s">
        <v>1515</v>
      </c>
      <c r="M161" s="1291"/>
      <c r="N161" s="1291"/>
      <c r="O161" s="1292"/>
      <c r="P161" s="1204" t="s">
        <v>1516</v>
      </c>
      <c r="Q161" s="1204" t="s">
        <v>1682</v>
      </c>
    </row>
    <row r="162" spans="1:18" ht="30" customHeight="1" x14ac:dyDescent="0.25">
      <c r="B162" s="1185"/>
      <c r="C162" s="1185"/>
      <c r="D162" s="1185"/>
      <c r="E162" s="1185"/>
      <c r="F162" s="1218" t="s">
        <v>1508</v>
      </c>
      <c r="G162" s="1301" t="s">
        <v>26</v>
      </c>
      <c r="H162" s="1301" t="s">
        <v>805</v>
      </c>
      <c r="I162" s="1218" t="s">
        <v>1318</v>
      </c>
      <c r="J162" s="1300" t="s">
        <v>29</v>
      </c>
      <c r="K162" s="1218" t="s">
        <v>813</v>
      </c>
      <c r="L162" s="1301" t="s">
        <v>1266</v>
      </c>
      <c r="M162" s="1301" t="s">
        <v>1285</v>
      </c>
      <c r="N162" s="1218" t="s">
        <v>1290</v>
      </c>
      <c r="O162" s="1218" t="s">
        <v>1291</v>
      </c>
      <c r="P162" s="1205"/>
      <c r="Q162" s="1205"/>
    </row>
    <row r="163" spans="1:18" ht="30" customHeight="1" x14ac:dyDescent="0.25">
      <c r="B163" s="1186"/>
      <c r="C163" s="1186"/>
      <c r="D163" s="1186"/>
      <c r="E163" s="1186"/>
      <c r="F163" s="1218"/>
      <c r="G163" s="1301"/>
      <c r="H163" s="1301"/>
      <c r="I163" s="1218"/>
      <c r="J163" s="1300"/>
      <c r="K163" s="1218"/>
      <c r="L163" s="1301"/>
      <c r="M163" s="1301"/>
      <c r="N163" s="1218"/>
      <c r="O163" s="1218"/>
      <c r="P163" s="1206"/>
      <c r="Q163" s="1206"/>
    </row>
    <row r="164" spans="1:18" s="204" customFormat="1" ht="30" customHeight="1" x14ac:dyDescent="0.25">
      <c r="A164" s="1032" t="s">
        <v>36</v>
      </c>
      <c r="B164" s="1033" t="s">
        <v>784</v>
      </c>
      <c r="C164" s="1033" t="s">
        <v>924</v>
      </c>
      <c r="D164" s="1033" t="s">
        <v>501</v>
      </c>
      <c r="E164" s="1034"/>
      <c r="F164" s="1035">
        <v>10000</v>
      </c>
      <c r="G164" s="1036" t="s">
        <v>1319</v>
      </c>
      <c r="H164" s="1037"/>
      <c r="I164" s="1033">
        <v>0.5</v>
      </c>
      <c r="J164" s="1038" t="s">
        <v>1320</v>
      </c>
      <c r="K164" s="1033"/>
      <c r="L164" s="1039"/>
      <c r="M164" s="1039"/>
      <c r="N164" s="1040"/>
      <c r="O164" s="1040"/>
      <c r="P164" s="1038">
        <v>0.5</v>
      </c>
      <c r="Q164" s="1041">
        <v>5000</v>
      </c>
    </row>
    <row r="165" spans="1:18" ht="30" customHeight="1" x14ac:dyDescent="0.25">
      <c r="B165" s="718"/>
      <c r="C165" s="719"/>
      <c r="D165" s="654"/>
      <c r="E165" s="720"/>
      <c r="F165" s="672"/>
      <c r="G165" s="979" t="str">
        <f>IFERROR(VLOOKUP(C165,FAOEP!$E$37:$G$43,2,FALSE),"")</f>
        <v/>
      </c>
      <c r="H165" s="674"/>
      <c r="I165" s="722"/>
      <c r="J165" s="724" t="str">
        <f>IF(G165="","","t CO2e / "&amp;G165)</f>
        <v/>
      </c>
      <c r="K165" s="726"/>
      <c r="L165" s="1006"/>
      <c r="M165" s="1006"/>
      <c r="N165" s="1006"/>
      <c r="O165" s="1006"/>
      <c r="P165" s="980" t="str">
        <f>IF(FAOEP!AB108=0,"",FAOEP!AB108)</f>
        <v/>
      </c>
      <c r="Q165" s="981" t="str">
        <f>IF(FAOEP!AC108=0,"",FAOEP!AC108)</f>
        <v/>
      </c>
      <c r="R165" s="982" t="str">
        <f>IF(COUNT(I165,#REF!,#REF!)&gt;1,"ERRO: PREENCHA APENAS UMA DAS TRÊS OPÇÕES","")</f>
        <v/>
      </c>
    </row>
    <row r="166" spans="1:18" ht="30" customHeight="1" x14ac:dyDescent="0.25">
      <c r="B166" s="718"/>
      <c r="C166" s="714"/>
      <c r="D166" s="650"/>
      <c r="E166" s="715"/>
      <c r="F166" s="673"/>
      <c r="G166" s="979" t="str">
        <f>IFERROR(VLOOKUP(C166,FAOEP!$E$37:$G$43,2,FALSE),"")</f>
        <v/>
      </c>
      <c r="H166" s="675"/>
      <c r="I166" s="723"/>
      <c r="J166" s="725" t="str">
        <f t="shared" ref="J166:J229" si="9">IF(G166="","","t CO2e / "&amp;G166)</f>
        <v/>
      </c>
      <c r="K166" s="727"/>
      <c r="L166" s="1007"/>
      <c r="M166" s="1007"/>
      <c r="N166" s="1007"/>
      <c r="O166" s="1007"/>
      <c r="P166" s="980" t="str">
        <f>IF(FAOEP!AB109=0,"",FAOEP!AB109)</f>
        <v/>
      </c>
      <c r="Q166" s="981" t="str">
        <f>IF(FAOEP!AC109=0,"",FAOEP!AC109)</f>
        <v/>
      </c>
      <c r="R166" s="982" t="str">
        <f>IF(COUNT(I166,#REF!,#REF!)&gt;1,"ERRO: PREENCHA APENAS UMA DAS TRÊS OPÇÕES","")</f>
        <v/>
      </c>
    </row>
    <row r="167" spans="1:18" ht="30" customHeight="1" x14ac:dyDescent="0.25">
      <c r="A167" s="168"/>
      <c r="B167" s="718"/>
      <c r="C167" s="714"/>
      <c r="D167" s="650"/>
      <c r="E167" s="715"/>
      <c r="F167" s="673"/>
      <c r="G167" s="979" t="str">
        <f>IFERROR(VLOOKUP(C167,FAOEP!$E$37:$G$43,2,FALSE),"")</f>
        <v/>
      </c>
      <c r="H167" s="675"/>
      <c r="I167" s="723"/>
      <c r="J167" s="725" t="str">
        <f t="shared" si="9"/>
        <v/>
      </c>
      <c r="K167" s="727"/>
      <c r="L167" s="1007"/>
      <c r="M167" s="1007"/>
      <c r="N167" s="1007"/>
      <c r="O167" s="1007"/>
      <c r="P167" s="980" t="str">
        <f>IF(FAOEP!AB110=0,"",FAOEP!AB110)</f>
        <v/>
      </c>
      <c r="Q167" s="981" t="str">
        <f>IF(FAOEP!AC110=0,"",FAOEP!AC110)</f>
        <v/>
      </c>
      <c r="R167" s="982" t="str">
        <f>IF(COUNT(I167,#REF!,#REF!)&gt;1,"ERRO: PREENCHA APENAS UMA DAS TRÊS OPÇÕES","")</f>
        <v/>
      </c>
    </row>
    <row r="168" spans="1:18" ht="30" customHeight="1" x14ac:dyDescent="0.25">
      <c r="A168" s="168"/>
      <c r="B168" s="718"/>
      <c r="C168" s="714"/>
      <c r="D168" s="650"/>
      <c r="E168" s="715"/>
      <c r="F168" s="673"/>
      <c r="G168" s="979" t="str">
        <f>IFERROR(VLOOKUP(C168,FAOEP!$E$37:$G$43,2,FALSE),"")</f>
        <v/>
      </c>
      <c r="H168" s="675"/>
      <c r="I168" s="723"/>
      <c r="J168" s="725" t="str">
        <f t="shared" si="9"/>
        <v/>
      </c>
      <c r="K168" s="727"/>
      <c r="L168" s="1007"/>
      <c r="M168" s="1007"/>
      <c r="N168" s="1007"/>
      <c r="O168" s="1007"/>
      <c r="P168" s="980" t="str">
        <f>IF(FAOEP!AB111=0,"",FAOEP!AB111)</f>
        <v/>
      </c>
      <c r="Q168" s="981" t="str">
        <f>IF(FAOEP!AC111=0,"",FAOEP!AC111)</f>
        <v/>
      </c>
      <c r="R168" s="982" t="str">
        <f>IF(COUNT(I168,#REF!,#REF!)&gt;1,"ERRO: PREENCHA APENAS UMA DAS TRÊS OPÇÕES","")</f>
        <v/>
      </c>
    </row>
    <row r="169" spans="1:18" ht="30" customHeight="1" x14ac:dyDescent="0.25">
      <c r="A169" s="168"/>
      <c r="B169" s="718"/>
      <c r="C169" s="714"/>
      <c r="D169" s="650"/>
      <c r="E169" s="715"/>
      <c r="F169" s="673"/>
      <c r="G169" s="979" t="str">
        <f>IFERROR(VLOOKUP(C169,FAOEP!$E$37:$G$43,2,FALSE),"")</f>
        <v/>
      </c>
      <c r="H169" s="675"/>
      <c r="I169" s="723"/>
      <c r="J169" s="725" t="str">
        <f t="shared" si="9"/>
        <v/>
      </c>
      <c r="K169" s="727"/>
      <c r="L169" s="1007"/>
      <c r="M169" s="1007"/>
      <c r="N169" s="1007"/>
      <c r="O169" s="1007"/>
      <c r="P169" s="980" t="str">
        <f>IF(FAOEP!AB112=0,"",FAOEP!AB112)</f>
        <v/>
      </c>
      <c r="Q169" s="981" t="str">
        <f>IF(FAOEP!AC112=0,"",FAOEP!AC112)</f>
        <v/>
      </c>
      <c r="R169" s="982" t="str">
        <f>IF(COUNT(I169,#REF!,#REF!)&gt;1,"ERRO: PREENCHA APENAS UMA DAS TRÊS OPÇÕES","")</f>
        <v/>
      </c>
    </row>
    <row r="170" spans="1:18" ht="30" customHeight="1" x14ac:dyDescent="0.25">
      <c r="A170" s="168"/>
      <c r="B170" s="718"/>
      <c r="C170" s="721"/>
      <c r="D170" s="650"/>
      <c r="E170" s="715"/>
      <c r="F170" s="673"/>
      <c r="G170" s="979" t="str">
        <f>IFERROR(VLOOKUP(C170,FAOEP!$E$37:$G$43,2,FALSE),"")</f>
        <v/>
      </c>
      <c r="H170" s="675"/>
      <c r="I170" s="723"/>
      <c r="J170" s="725" t="str">
        <f t="shared" si="9"/>
        <v/>
      </c>
      <c r="K170" s="727"/>
      <c r="L170" s="1007"/>
      <c r="M170" s="1007"/>
      <c r="N170" s="1007"/>
      <c r="O170" s="1007"/>
      <c r="P170" s="980" t="str">
        <f>IF(FAOEP!AB113=0,"",FAOEP!AB113)</f>
        <v/>
      </c>
      <c r="Q170" s="981" t="str">
        <f>IF(FAOEP!AC113=0,"",FAOEP!AC113)</f>
        <v/>
      </c>
      <c r="R170" s="982" t="str">
        <f>IF(COUNT(I170,#REF!,#REF!)&gt;1,"ERRO: PREENCHA APENAS UMA DAS TRÊS OPÇÕES","")</f>
        <v/>
      </c>
    </row>
    <row r="171" spans="1:18" ht="30" customHeight="1" x14ac:dyDescent="0.25">
      <c r="A171" s="168"/>
      <c r="B171" s="718"/>
      <c r="C171" s="714"/>
      <c r="D171" s="650"/>
      <c r="E171" s="715"/>
      <c r="F171" s="673"/>
      <c r="G171" s="979" t="str">
        <f>IFERROR(VLOOKUP(C171,FAOEP!$E$37:$G$43,2,FALSE),"")</f>
        <v/>
      </c>
      <c r="H171" s="675"/>
      <c r="I171" s="723"/>
      <c r="J171" s="725" t="str">
        <f t="shared" si="9"/>
        <v/>
      </c>
      <c r="K171" s="727"/>
      <c r="L171" s="1007"/>
      <c r="M171" s="1007"/>
      <c r="N171" s="1007"/>
      <c r="O171" s="1007"/>
      <c r="P171" s="980" t="str">
        <f>IF(FAOEP!AB114=0,"",FAOEP!AB114)</f>
        <v/>
      </c>
      <c r="Q171" s="981" t="str">
        <f>IF(FAOEP!AC114=0,"",FAOEP!AC114)</f>
        <v/>
      </c>
      <c r="R171" s="982" t="str">
        <f>IF(COUNT(I171,#REF!,#REF!)&gt;1,"ERRO: PREENCHA APENAS UMA DAS TRÊS OPÇÕES","")</f>
        <v/>
      </c>
    </row>
    <row r="172" spans="1:18" ht="30" customHeight="1" x14ac:dyDescent="0.25">
      <c r="A172" s="168"/>
      <c r="B172" s="718"/>
      <c r="C172" s="714"/>
      <c r="D172" s="650"/>
      <c r="E172" s="715"/>
      <c r="F172" s="673"/>
      <c r="G172" s="979" t="str">
        <f>IFERROR(VLOOKUP(C172,FAOEP!$E$37:$G$43,2,FALSE),"")</f>
        <v/>
      </c>
      <c r="H172" s="675"/>
      <c r="I172" s="723"/>
      <c r="J172" s="725" t="str">
        <f t="shared" si="9"/>
        <v/>
      </c>
      <c r="K172" s="727"/>
      <c r="L172" s="1007"/>
      <c r="M172" s="1007"/>
      <c r="N172" s="1007"/>
      <c r="O172" s="1007"/>
      <c r="P172" s="980" t="str">
        <f>IF(FAOEP!AB115=0,"",FAOEP!AB115)</f>
        <v/>
      </c>
      <c r="Q172" s="981" t="str">
        <f>IF(FAOEP!AC115=0,"",FAOEP!AC115)</f>
        <v/>
      </c>
      <c r="R172" s="982" t="str">
        <f>IF(COUNT(I172,#REF!,#REF!)&gt;1,"ERRO: PREENCHA APENAS UMA DAS TRÊS OPÇÕES","")</f>
        <v/>
      </c>
    </row>
    <row r="173" spans="1:18" ht="30" customHeight="1" x14ac:dyDescent="0.25">
      <c r="B173" s="718"/>
      <c r="C173" s="714"/>
      <c r="D173" s="650"/>
      <c r="E173" s="715"/>
      <c r="F173" s="673"/>
      <c r="G173" s="979" t="str">
        <f>IFERROR(VLOOKUP(C173,FAOEP!$E$37:$G$43,2,FALSE),"")</f>
        <v/>
      </c>
      <c r="H173" s="675"/>
      <c r="I173" s="723"/>
      <c r="J173" s="725" t="str">
        <f t="shared" si="9"/>
        <v/>
      </c>
      <c r="K173" s="727"/>
      <c r="L173" s="1007"/>
      <c r="M173" s="1007"/>
      <c r="N173" s="1007"/>
      <c r="O173" s="1007"/>
      <c r="P173" s="980" t="str">
        <f>IF(FAOEP!AB116=0,"",FAOEP!AB116)</f>
        <v/>
      </c>
      <c r="Q173" s="981" t="str">
        <f>IF(FAOEP!AC116=0,"",FAOEP!AC116)</f>
        <v/>
      </c>
      <c r="R173" s="982" t="str">
        <f>IF(COUNT(I173,#REF!,#REF!)&gt;1,"ERRO: PREENCHA APENAS UMA DAS TRÊS OPÇÕES","")</f>
        <v/>
      </c>
    </row>
    <row r="174" spans="1:18" ht="30" customHeight="1" x14ac:dyDescent="0.25">
      <c r="B174" s="718"/>
      <c r="C174" s="714"/>
      <c r="D174" s="650"/>
      <c r="E174" s="715"/>
      <c r="F174" s="673"/>
      <c r="G174" s="979" t="str">
        <f>IFERROR(VLOOKUP(C174,FAOEP!$E$37:$G$43,2,FALSE),"")</f>
        <v/>
      </c>
      <c r="H174" s="675"/>
      <c r="I174" s="723"/>
      <c r="J174" s="725" t="str">
        <f t="shared" si="9"/>
        <v/>
      </c>
      <c r="K174" s="727"/>
      <c r="L174" s="1007"/>
      <c r="M174" s="1007"/>
      <c r="N174" s="1007"/>
      <c r="O174" s="1007"/>
      <c r="P174" s="980" t="str">
        <f>IF(FAOEP!AB117=0,"",FAOEP!AB117)</f>
        <v/>
      </c>
      <c r="Q174" s="981" t="str">
        <f>IF(FAOEP!AC117=0,"",FAOEP!AC117)</f>
        <v/>
      </c>
      <c r="R174" s="982" t="str">
        <f>IF(COUNT(I174,#REF!,#REF!)&gt;1,"ERRO: PREENCHA APENAS UMA DAS TRÊS OPÇÕES","")</f>
        <v/>
      </c>
    </row>
    <row r="175" spans="1:18" ht="30" customHeight="1" x14ac:dyDescent="0.25">
      <c r="B175" s="718"/>
      <c r="C175" s="714"/>
      <c r="D175" s="650"/>
      <c r="E175" s="715"/>
      <c r="F175" s="673"/>
      <c r="G175" s="979" t="str">
        <f>IFERROR(VLOOKUP(C175,FAOEP!$E$37:$G$43,2,FALSE),"")</f>
        <v/>
      </c>
      <c r="H175" s="675"/>
      <c r="I175" s="723"/>
      <c r="J175" s="725" t="str">
        <f t="shared" si="9"/>
        <v/>
      </c>
      <c r="K175" s="727"/>
      <c r="L175" s="1007"/>
      <c r="M175" s="1007"/>
      <c r="N175" s="1007"/>
      <c r="O175" s="1007"/>
      <c r="P175" s="980" t="str">
        <f>IF(FAOEP!AB118=0,"",FAOEP!AB118)</f>
        <v/>
      </c>
      <c r="Q175" s="981" t="str">
        <f>IF(FAOEP!AC118=0,"",FAOEP!AC118)</f>
        <v/>
      </c>
      <c r="R175" s="982" t="str">
        <f>IF(COUNT(I175,#REF!,#REF!)&gt;1,"ERRO: PREENCHA APENAS UMA DAS TRÊS OPÇÕES","")</f>
        <v/>
      </c>
    </row>
    <row r="176" spans="1:18" ht="30" hidden="1" customHeight="1" outlineLevel="1" x14ac:dyDescent="0.25">
      <c r="B176" s="718"/>
      <c r="C176" s="714"/>
      <c r="D176" s="650"/>
      <c r="E176" s="715"/>
      <c r="F176" s="673"/>
      <c r="G176" s="979" t="str">
        <f>IFERROR(VLOOKUP(C176,FAOEP!$E$37:$G$43,2,FALSE),"")</f>
        <v/>
      </c>
      <c r="H176" s="675"/>
      <c r="I176" s="723"/>
      <c r="J176" s="725" t="str">
        <f t="shared" si="9"/>
        <v/>
      </c>
      <c r="K176" s="727"/>
      <c r="L176" s="1007"/>
      <c r="M176" s="1007"/>
      <c r="N176" s="1007"/>
      <c r="O176" s="1007"/>
      <c r="P176" s="980" t="str">
        <f>IF(FAOEP!AB119=0,"",FAOEP!AB119)</f>
        <v/>
      </c>
      <c r="Q176" s="981" t="str">
        <f>IF(FAOEP!AC119=0,"",FAOEP!AC119)</f>
        <v/>
      </c>
      <c r="R176" s="982" t="str">
        <f>IF(COUNT(I176,#REF!,#REF!)&gt;1,"ERRO: PREENCHA APENAS UMA DAS TRÊS OPÇÕES","")</f>
        <v/>
      </c>
    </row>
    <row r="177" spans="2:18" ht="15.75" hidden="1" outlineLevel="1" x14ac:dyDescent="0.25">
      <c r="B177" s="718"/>
      <c r="C177" s="714"/>
      <c r="D177" s="650"/>
      <c r="E177" s="715"/>
      <c r="F177" s="673"/>
      <c r="G177" s="983" t="str">
        <f>IFERROR(VLOOKUP(C177,FAOEP!$E$37:$G$43,2,FALSE),"")</f>
        <v/>
      </c>
      <c r="H177" s="675"/>
      <c r="I177" s="723"/>
      <c r="J177" s="725" t="str">
        <f t="shared" si="9"/>
        <v/>
      </c>
      <c r="K177" s="727"/>
      <c r="L177" s="1007"/>
      <c r="M177" s="1007"/>
      <c r="N177" s="1007"/>
      <c r="O177" s="1007"/>
      <c r="P177" s="980" t="str">
        <f>IF(FAOEP!AB120=0,"",FAOEP!AB120)</f>
        <v/>
      </c>
      <c r="Q177" s="981" t="str">
        <f>IF(FAOEP!AC120=0,"",FAOEP!AC120)</f>
        <v/>
      </c>
      <c r="R177" s="982" t="str">
        <f>IF(COUNT(I177,#REF!,#REF!)&gt;1,"ERRO: PREENCHA APENAS UMA DAS TRÊS OPÇÕES","")</f>
        <v/>
      </c>
    </row>
    <row r="178" spans="2:18" ht="15.75" hidden="1" outlineLevel="1" x14ac:dyDescent="0.25">
      <c r="B178" s="718"/>
      <c r="C178" s="714"/>
      <c r="D178" s="650"/>
      <c r="E178" s="715"/>
      <c r="F178" s="673"/>
      <c r="G178" s="983" t="str">
        <f>IFERROR(VLOOKUP(C178,FAOEP!$E$37:$G$43,2,FALSE),"")</f>
        <v/>
      </c>
      <c r="H178" s="675"/>
      <c r="I178" s="723"/>
      <c r="J178" s="725" t="str">
        <f t="shared" si="9"/>
        <v/>
      </c>
      <c r="K178" s="727"/>
      <c r="L178" s="1007"/>
      <c r="M178" s="1007"/>
      <c r="N178" s="1007"/>
      <c r="O178" s="1007"/>
      <c r="P178" s="980" t="str">
        <f>IF(FAOEP!AB121=0,"",FAOEP!AB121)</f>
        <v/>
      </c>
      <c r="Q178" s="981" t="str">
        <f>IF(FAOEP!AC121=0,"",FAOEP!AC121)</f>
        <v/>
      </c>
      <c r="R178" s="982" t="str">
        <f>IF(COUNT(I178,#REF!,#REF!)&gt;1,"ERRO: PREENCHA APENAS UMA DAS TRÊS OPÇÕES","")</f>
        <v/>
      </c>
    </row>
    <row r="179" spans="2:18" ht="15.75" hidden="1" outlineLevel="1" x14ac:dyDescent="0.25">
      <c r="B179" s="718"/>
      <c r="C179" s="714"/>
      <c r="D179" s="650"/>
      <c r="E179" s="715"/>
      <c r="F179" s="673"/>
      <c r="G179" s="983" t="str">
        <f>IFERROR(VLOOKUP(C179,FAOEP!$E$37:$G$43,2,FALSE),"")</f>
        <v/>
      </c>
      <c r="H179" s="675"/>
      <c r="I179" s="723"/>
      <c r="J179" s="725" t="str">
        <f t="shared" si="9"/>
        <v/>
      </c>
      <c r="K179" s="727"/>
      <c r="L179" s="1007"/>
      <c r="M179" s="1007"/>
      <c r="N179" s="1007"/>
      <c r="O179" s="1007"/>
      <c r="P179" s="980" t="str">
        <f>IF(FAOEP!AB122=0,"",FAOEP!AB122)</f>
        <v/>
      </c>
      <c r="Q179" s="981" t="str">
        <f>IF(FAOEP!AC122=0,"",FAOEP!AC122)</f>
        <v/>
      </c>
      <c r="R179" s="982" t="str">
        <f>IF(COUNT(I179,#REF!,#REF!)&gt;1,"ERRO: PREENCHA APENAS UMA DAS TRÊS OPÇÕES","")</f>
        <v/>
      </c>
    </row>
    <row r="180" spans="2:18" ht="15.75" hidden="1" outlineLevel="1" x14ac:dyDescent="0.25">
      <c r="B180" s="718"/>
      <c r="C180" s="714"/>
      <c r="D180" s="650"/>
      <c r="E180" s="715"/>
      <c r="F180" s="673"/>
      <c r="G180" s="983" t="str">
        <f>IFERROR(VLOOKUP(C180,FAOEP!$E$37:$G$43,2,FALSE),"")</f>
        <v/>
      </c>
      <c r="H180" s="675"/>
      <c r="I180" s="723"/>
      <c r="J180" s="725" t="str">
        <f t="shared" si="9"/>
        <v/>
      </c>
      <c r="K180" s="727"/>
      <c r="L180" s="1007"/>
      <c r="M180" s="1007"/>
      <c r="N180" s="1007"/>
      <c r="O180" s="1007"/>
      <c r="P180" s="980" t="str">
        <f>IF(FAOEP!AB123=0,"",FAOEP!AB123)</f>
        <v/>
      </c>
      <c r="Q180" s="981" t="str">
        <f>IF(FAOEP!AC123=0,"",FAOEP!AC123)</f>
        <v/>
      </c>
      <c r="R180" s="982" t="str">
        <f>IF(COUNT(I180,#REF!,#REF!)&gt;1,"ERRO: PREENCHA APENAS UMA DAS TRÊS OPÇÕES","")</f>
        <v/>
      </c>
    </row>
    <row r="181" spans="2:18" ht="15.75" hidden="1" outlineLevel="1" x14ac:dyDescent="0.25">
      <c r="B181" s="718"/>
      <c r="C181" s="714"/>
      <c r="D181" s="650"/>
      <c r="E181" s="715"/>
      <c r="F181" s="673"/>
      <c r="G181" s="983" t="str">
        <f>IFERROR(VLOOKUP(C181,FAOEP!$E$37:$G$43,2,FALSE),"")</f>
        <v/>
      </c>
      <c r="H181" s="675"/>
      <c r="I181" s="723"/>
      <c r="J181" s="725" t="str">
        <f t="shared" si="9"/>
        <v/>
      </c>
      <c r="K181" s="727"/>
      <c r="L181" s="1007"/>
      <c r="M181" s="1007"/>
      <c r="N181" s="1007"/>
      <c r="O181" s="1007"/>
      <c r="P181" s="980" t="str">
        <f>IF(FAOEP!AB124=0,"",FAOEP!AB124)</f>
        <v/>
      </c>
      <c r="Q181" s="981" t="str">
        <f>IF(FAOEP!AC124=0,"",FAOEP!AC124)</f>
        <v/>
      </c>
      <c r="R181" s="982" t="str">
        <f>IF(COUNT(I181,#REF!,#REF!)&gt;1,"ERRO: PREENCHA APENAS UMA DAS TRÊS OPÇÕES","")</f>
        <v/>
      </c>
    </row>
    <row r="182" spans="2:18" ht="15.75" hidden="1" outlineLevel="1" x14ac:dyDescent="0.25">
      <c r="B182" s="718"/>
      <c r="C182" s="714"/>
      <c r="D182" s="650"/>
      <c r="E182" s="715"/>
      <c r="F182" s="673"/>
      <c r="G182" s="983" t="str">
        <f>IFERROR(VLOOKUP(C182,FAOEP!$E$37:$G$43,2,FALSE),"")</f>
        <v/>
      </c>
      <c r="H182" s="675"/>
      <c r="I182" s="723"/>
      <c r="J182" s="725" t="str">
        <f t="shared" si="9"/>
        <v/>
      </c>
      <c r="K182" s="727"/>
      <c r="L182" s="1007"/>
      <c r="M182" s="1007"/>
      <c r="N182" s="1007"/>
      <c r="O182" s="1007"/>
      <c r="P182" s="980" t="str">
        <f>IF(FAOEP!AB125=0,"",FAOEP!AB125)</f>
        <v/>
      </c>
      <c r="Q182" s="981" t="str">
        <f>IF(FAOEP!AC125=0,"",FAOEP!AC125)</f>
        <v/>
      </c>
      <c r="R182" s="982" t="str">
        <f>IF(COUNT(I182,#REF!,#REF!)&gt;1,"ERRO: PREENCHA APENAS UMA DAS TRÊS OPÇÕES","")</f>
        <v/>
      </c>
    </row>
    <row r="183" spans="2:18" ht="15.75" hidden="1" outlineLevel="1" x14ac:dyDescent="0.25">
      <c r="B183" s="718"/>
      <c r="C183" s="714"/>
      <c r="D183" s="650"/>
      <c r="E183" s="715"/>
      <c r="F183" s="673"/>
      <c r="G183" s="983" t="str">
        <f>IFERROR(VLOOKUP(C183,FAOEP!$E$37:$G$43,2,FALSE),"")</f>
        <v/>
      </c>
      <c r="H183" s="675"/>
      <c r="I183" s="723"/>
      <c r="J183" s="725" t="str">
        <f t="shared" si="9"/>
        <v/>
      </c>
      <c r="K183" s="727"/>
      <c r="L183" s="1007"/>
      <c r="M183" s="1007"/>
      <c r="N183" s="1007"/>
      <c r="O183" s="1007"/>
      <c r="P183" s="980" t="str">
        <f>IF(FAOEP!AB126=0,"",FAOEP!AB126)</f>
        <v/>
      </c>
      <c r="Q183" s="981" t="str">
        <f>IF(FAOEP!AC126=0,"",FAOEP!AC126)</f>
        <v/>
      </c>
      <c r="R183" s="982" t="str">
        <f>IF(COUNT(I183,#REF!,#REF!)&gt;1,"ERRO: PREENCHA APENAS UMA DAS TRÊS OPÇÕES","")</f>
        <v/>
      </c>
    </row>
    <row r="184" spans="2:18" ht="15.75" hidden="1" outlineLevel="1" x14ac:dyDescent="0.25">
      <c r="B184" s="718"/>
      <c r="C184" s="714"/>
      <c r="D184" s="650"/>
      <c r="E184" s="715"/>
      <c r="F184" s="673"/>
      <c r="G184" s="983" t="str">
        <f>IFERROR(VLOOKUP(C184,FAOEP!$E$37:$G$43,2,FALSE),"")</f>
        <v/>
      </c>
      <c r="H184" s="675"/>
      <c r="I184" s="723"/>
      <c r="J184" s="725" t="str">
        <f t="shared" si="9"/>
        <v/>
      </c>
      <c r="K184" s="727"/>
      <c r="L184" s="1007"/>
      <c r="M184" s="1007"/>
      <c r="N184" s="1007"/>
      <c r="O184" s="1007"/>
      <c r="P184" s="980" t="str">
        <f>IF(FAOEP!AB127=0,"",FAOEP!AB127)</f>
        <v/>
      </c>
      <c r="Q184" s="981" t="str">
        <f>IF(FAOEP!AC127=0,"",FAOEP!AC127)</f>
        <v/>
      </c>
      <c r="R184" s="982" t="str">
        <f>IF(COUNT(I184,#REF!,#REF!)&gt;1,"ERRO: PREENCHA APENAS UMA DAS TRÊS OPÇÕES","")</f>
        <v/>
      </c>
    </row>
    <row r="185" spans="2:18" ht="15.75" hidden="1" outlineLevel="1" x14ac:dyDescent="0.25">
      <c r="B185" s="718"/>
      <c r="C185" s="714"/>
      <c r="D185" s="650"/>
      <c r="E185" s="715"/>
      <c r="F185" s="673"/>
      <c r="G185" s="983" t="str">
        <f>IFERROR(VLOOKUP(C185,FAOEP!$E$37:$G$43,2,FALSE),"")</f>
        <v/>
      </c>
      <c r="H185" s="675"/>
      <c r="I185" s="723"/>
      <c r="J185" s="725" t="str">
        <f t="shared" si="9"/>
        <v/>
      </c>
      <c r="K185" s="727"/>
      <c r="L185" s="1007"/>
      <c r="M185" s="1007"/>
      <c r="N185" s="1007"/>
      <c r="O185" s="1007"/>
      <c r="P185" s="980" t="str">
        <f>IF(FAOEP!AB128=0,"",FAOEP!AB128)</f>
        <v/>
      </c>
      <c r="Q185" s="981" t="str">
        <f>IF(FAOEP!AC128=0,"",FAOEP!AC128)</f>
        <v/>
      </c>
      <c r="R185" s="982" t="str">
        <f>IF(COUNT(I185,#REF!,#REF!)&gt;1,"ERRO: PREENCHA APENAS UMA DAS TRÊS OPÇÕES","")</f>
        <v/>
      </c>
    </row>
    <row r="186" spans="2:18" ht="15.75" hidden="1" outlineLevel="1" x14ac:dyDescent="0.25">
      <c r="B186" s="718"/>
      <c r="C186" s="714"/>
      <c r="D186" s="650"/>
      <c r="E186" s="715"/>
      <c r="F186" s="673"/>
      <c r="G186" s="983" t="str">
        <f>IFERROR(VLOOKUP(C186,FAOEP!$E$37:$G$43,2,FALSE),"")</f>
        <v/>
      </c>
      <c r="H186" s="675"/>
      <c r="I186" s="723"/>
      <c r="J186" s="725" t="str">
        <f t="shared" si="9"/>
        <v/>
      </c>
      <c r="K186" s="727"/>
      <c r="L186" s="1007"/>
      <c r="M186" s="1007"/>
      <c r="N186" s="1007"/>
      <c r="O186" s="1007"/>
      <c r="P186" s="980" t="str">
        <f>IF(FAOEP!AB129=0,"",FAOEP!AB129)</f>
        <v/>
      </c>
      <c r="Q186" s="981" t="str">
        <f>IF(FAOEP!AC129=0,"",FAOEP!AC129)</f>
        <v/>
      </c>
      <c r="R186" s="982" t="str">
        <f>IF(COUNT(I186,#REF!,#REF!)&gt;1,"ERRO: PREENCHA APENAS UMA DAS TRÊS OPÇÕES","")</f>
        <v/>
      </c>
    </row>
    <row r="187" spans="2:18" ht="15.75" hidden="1" outlineLevel="1" x14ac:dyDescent="0.25">
      <c r="B187" s="718"/>
      <c r="C187" s="714"/>
      <c r="D187" s="650"/>
      <c r="E187" s="715"/>
      <c r="F187" s="673"/>
      <c r="G187" s="983" t="str">
        <f>IFERROR(VLOOKUP(C187,FAOEP!$E$37:$G$43,2,FALSE),"")</f>
        <v/>
      </c>
      <c r="H187" s="675"/>
      <c r="I187" s="723"/>
      <c r="J187" s="725" t="str">
        <f t="shared" si="9"/>
        <v/>
      </c>
      <c r="K187" s="727"/>
      <c r="L187" s="1007"/>
      <c r="M187" s="1007"/>
      <c r="N187" s="1007"/>
      <c r="O187" s="1007"/>
      <c r="P187" s="980" t="str">
        <f>IF(FAOEP!AB130=0,"",FAOEP!AB130)</f>
        <v/>
      </c>
      <c r="Q187" s="981" t="str">
        <f>IF(FAOEP!AC130=0,"",FAOEP!AC130)</f>
        <v/>
      </c>
      <c r="R187" s="982" t="str">
        <f>IF(COUNT(I187,#REF!,#REF!)&gt;1,"ERRO: PREENCHA APENAS UMA DAS TRÊS OPÇÕES","")</f>
        <v/>
      </c>
    </row>
    <row r="188" spans="2:18" ht="15.75" hidden="1" outlineLevel="1" x14ac:dyDescent="0.25">
      <c r="B188" s="718"/>
      <c r="C188" s="714"/>
      <c r="D188" s="650"/>
      <c r="E188" s="715"/>
      <c r="F188" s="673"/>
      <c r="G188" s="983" t="str">
        <f>IFERROR(VLOOKUP(C188,FAOEP!$E$37:$G$43,2,FALSE),"")</f>
        <v/>
      </c>
      <c r="H188" s="675"/>
      <c r="I188" s="723"/>
      <c r="J188" s="725" t="str">
        <f t="shared" si="9"/>
        <v/>
      </c>
      <c r="K188" s="727"/>
      <c r="L188" s="1007"/>
      <c r="M188" s="1007"/>
      <c r="N188" s="1007"/>
      <c r="O188" s="1007"/>
      <c r="P188" s="980" t="str">
        <f>IF(FAOEP!AB131=0,"",FAOEP!AB131)</f>
        <v/>
      </c>
      <c r="Q188" s="981" t="str">
        <f>IF(FAOEP!AC131=0,"",FAOEP!AC131)</f>
        <v/>
      </c>
      <c r="R188" s="982" t="str">
        <f>IF(COUNT(I188,#REF!,#REF!)&gt;1,"ERRO: PREENCHA APENAS UMA DAS TRÊS OPÇÕES","")</f>
        <v/>
      </c>
    </row>
    <row r="189" spans="2:18" ht="15.75" hidden="1" outlineLevel="1" x14ac:dyDescent="0.25">
      <c r="B189" s="718"/>
      <c r="C189" s="714"/>
      <c r="D189" s="650"/>
      <c r="E189" s="715"/>
      <c r="F189" s="673"/>
      <c r="G189" s="983" t="str">
        <f>IFERROR(VLOOKUP(C189,FAOEP!$E$37:$G$43,2,FALSE),"")</f>
        <v/>
      </c>
      <c r="H189" s="675"/>
      <c r="I189" s="723"/>
      <c r="J189" s="725" t="str">
        <f t="shared" si="9"/>
        <v/>
      </c>
      <c r="K189" s="727"/>
      <c r="L189" s="1007"/>
      <c r="M189" s="1007"/>
      <c r="N189" s="1007"/>
      <c r="O189" s="1007"/>
      <c r="P189" s="980" t="str">
        <f>IF(FAOEP!AB132=0,"",FAOEP!AB132)</f>
        <v/>
      </c>
      <c r="Q189" s="981" t="str">
        <f>IF(FAOEP!AC132=0,"",FAOEP!AC132)</f>
        <v/>
      </c>
      <c r="R189" s="982" t="str">
        <f>IF(COUNT(I189,#REF!,#REF!)&gt;1,"ERRO: PREENCHA APENAS UMA DAS TRÊS OPÇÕES","")</f>
        <v/>
      </c>
    </row>
    <row r="190" spans="2:18" ht="15.75" hidden="1" outlineLevel="1" x14ac:dyDescent="0.25">
      <c r="B190" s="718"/>
      <c r="C190" s="714"/>
      <c r="D190" s="650"/>
      <c r="E190" s="715"/>
      <c r="F190" s="673"/>
      <c r="G190" s="983" t="str">
        <f>IFERROR(VLOOKUP(C190,FAOEP!$E$37:$G$43,2,FALSE),"")</f>
        <v/>
      </c>
      <c r="H190" s="675"/>
      <c r="I190" s="723"/>
      <c r="J190" s="725" t="str">
        <f t="shared" si="9"/>
        <v/>
      </c>
      <c r="K190" s="727"/>
      <c r="L190" s="1007"/>
      <c r="M190" s="1007"/>
      <c r="N190" s="1007"/>
      <c r="O190" s="1007"/>
      <c r="P190" s="980" t="str">
        <f>IF(FAOEP!AB133=0,"",FAOEP!AB133)</f>
        <v/>
      </c>
      <c r="Q190" s="981" t="str">
        <f>IF(FAOEP!AC133=0,"",FAOEP!AC133)</f>
        <v/>
      </c>
      <c r="R190" s="982" t="str">
        <f>IF(COUNT(I190,#REF!,#REF!)&gt;1,"ERRO: PREENCHA APENAS UMA DAS TRÊS OPÇÕES","")</f>
        <v/>
      </c>
    </row>
    <row r="191" spans="2:18" ht="15.75" hidden="1" outlineLevel="1" x14ac:dyDescent="0.25">
      <c r="B191" s="718"/>
      <c r="C191" s="714"/>
      <c r="D191" s="650"/>
      <c r="E191" s="715"/>
      <c r="F191" s="673"/>
      <c r="G191" s="983" t="str">
        <f>IFERROR(VLOOKUP(C191,FAOEP!$E$37:$G$43,2,FALSE),"")</f>
        <v/>
      </c>
      <c r="H191" s="675"/>
      <c r="I191" s="723"/>
      <c r="J191" s="725" t="str">
        <f t="shared" si="9"/>
        <v/>
      </c>
      <c r="K191" s="727"/>
      <c r="L191" s="1007"/>
      <c r="M191" s="1007"/>
      <c r="N191" s="1007"/>
      <c r="O191" s="1007"/>
      <c r="P191" s="980" t="str">
        <f>IF(FAOEP!AB134=0,"",FAOEP!AB134)</f>
        <v/>
      </c>
      <c r="Q191" s="981" t="str">
        <f>IF(FAOEP!AC134=0,"",FAOEP!AC134)</f>
        <v/>
      </c>
      <c r="R191" s="982" t="str">
        <f>IF(COUNT(I191,#REF!,#REF!)&gt;1,"ERRO: PREENCHA APENAS UMA DAS TRÊS OPÇÕES","")</f>
        <v/>
      </c>
    </row>
    <row r="192" spans="2:18" ht="15.75" hidden="1" outlineLevel="1" x14ac:dyDescent="0.25">
      <c r="B192" s="718"/>
      <c r="C192" s="714"/>
      <c r="D192" s="650"/>
      <c r="E192" s="715"/>
      <c r="F192" s="673"/>
      <c r="G192" s="983" t="str">
        <f>IFERROR(VLOOKUP(C192,FAOEP!$E$37:$G$43,2,FALSE),"")</f>
        <v/>
      </c>
      <c r="H192" s="675"/>
      <c r="I192" s="723"/>
      <c r="J192" s="725" t="str">
        <f t="shared" si="9"/>
        <v/>
      </c>
      <c r="K192" s="727"/>
      <c r="L192" s="1007"/>
      <c r="M192" s="1007"/>
      <c r="N192" s="1007"/>
      <c r="O192" s="1007"/>
      <c r="P192" s="980" t="str">
        <f>IF(FAOEP!AB135=0,"",FAOEP!AB135)</f>
        <v/>
      </c>
      <c r="Q192" s="981" t="str">
        <f>IF(FAOEP!AC135=0,"",FAOEP!AC135)</f>
        <v/>
      </c>
      <c r="R192" s="982" t="str">
        <f>IF(COUNT(I192,#REF!,#REF!)&gt;1,"ERRO: PREENCHA APENAS UMA DAS TRÊS OPÇÕES","")</f>
        <v/>
      </c>
    </row>
    <row r="193" spans="2:18" ht="15.75" hidden="1" outlineLevel="1" x14ac:dyDescent="0.25">
      <c r="B193" s="718"/>
      <c r="C193" s="714"/>
      <c r="D193" s="650"/>
      <c r="E193" s="715"/>
      <c r="F193" s="673"/>
      <c r="G193" s="983" t="str">
        <f>IFERROR(VLOOKUP(C193,FAOEP!$E$37:$G$43,2,FALSE),"")</f>
        <v/>
      </c>
      <c r="H193" s="675"/>
      <c r="I193" s="723"/>
      <c r="J193" s="725" t="str">
        <f t="shared" si="9"/>
        <v/>
      </c>
      <c r="K193" s="727"/>
      <c r="L193" s="1007"/>
      <c r="M193" s="1007"/>
      <c r="N193" s="1007"/>
      <c r="O193" s="1007"/>
      <c r="P193" s="980" t="str">
        <f>IF(FAOEP!AB136=0,"",FAOEP!AB136)</f>
        <v/>
      </c>
      <c r="Q193" s="981" t="str">
        <f>IF(FAOEP!AC136=0,"",FAOEP!AC136)</f>
        <v/>
      </c>
      <c r="R193" s="982" t="str">
        <f>IF(COUNT(I193,#REF!,#REF!)&gt;1,"ERRO: PREENCHA APENAS UMA DAS TRÊS OPÇÕES","")</f>
        <v/>
      </c>
    </row>
    <row r="194" spans="2:18" ht="15.75" hidden="1" outlineLevel="1" x14ac:dyDescent="0.25">
      <c r="B194" s="718"/>
      <c r="C194" s="714"/>
      <c r="D194" s="650"/>
      <c r="E194" s="715"/>
      <c r="F194" s="673"/>
      <c r="G194" s="983" t="str">
        <f>IFERROR(VLOOKUP(C194,FAOEP!$E$37:$G$43,2,FALSE),"")</f>
        <v/>
      </c>
      <c r="H194" s="675"/>
      <c r="I194" s="723"/>
      <c r="J194" s="725" t="str">
        <f t="shared" si="9"/>
        <v/>
      </c>
      <c r="K194" s="727"/>
      <c r="L194" s="1007"/>
      <c r="M194" s="1007"/>
      <c r="N194" s="1007"/>
      <c r="O194" s="1007"/>
      <c r="P194" s="980" t="str">
        <f>IF(FAOEP!AB137=0,"",FAOEP!AB137)</f>
        <v/>
      </c>
      <c r="Q194" s="981" t="str">
        <f>IF(FAOEP!AC137=0,"",FAOEP!AC137)</f>
        <v/>
      </c>
      <c r="R194" s="982" t="str">
        <f>IF(COUNT(I194,#REF!,#REF!)&gt;1,"ERRO: PREENCHA APENAS UMA DAS TRÊS OPÇÕES","")</f>
        <v/>
      </c>
    </row>
    <row r="195" spans="2:18" ht="15.75" hidden="1" outlineLevel="1" x14ac:dyDescent="0.25">
      <c r="B195" s="718"/>
      <c r="C195" s="714"/>
      <c r="D195" s="650"/>
      <c r="E195" s="715"/>
      <c r="F195" s="673"/>
      <c r="G195" s="983" t="str">
        <f>IFERROR(VLOOKUP(C195,FAOEP!$E$37:$G$43,2,FALSE),"")</f>
        <v/>
      </c>
      <c r="H195" s="675"/>
      <c r="I195" s="723"/>
      <c r="J195" s="725" t="str">
        <f t="shared" si="9"/>
        <v/>
      </c>
      <c r="K195" s="727"/>
      <c r="L195" s="1007"/>
      <c r="M195" s="1007"/>
      <c r="N195" s="1007"/>
      <c r="O195" s="1007"/>
      <c r="P195" s="980" t="str">
        <f>IF(FAOEP!AB138=0,"",FAOEP!AB138)</f>
        <v/>
      </c>
      <c r="Q195" s="981" t="str">
        <f>IF(FAOEP!AC138=0,"",FAOEP!AC138)</f>
        <v/>
      </c>
      <c r="R195" s="982" t="str">
        <f>IF(COUNT(I195,#REF!,#REF!)&gt;1,"ERRO: PREENCHA APENAS UMA DAS TRÊS OPÇÕES","")</f>
        <v/>
      </c>
    </row>
    <row r="196" spans="2:18" ht="15.75" hidden="1" outlineLevel="1" x14ac:dyDescent="0.25">
      <c r="B196" s="718"/>
      <c r="C196" s="714"/>
      <c r="D196" s="650"/>
      <c r="E196" s="715"/>
      <c r="F196" s="673"/>
      <c r="G196" s="983" t="str">
        <f>IFERROR(VLOOKUP(C196,FAOEP!$E$37:$G$43,2,FALSE),"")</f>
        <v/>
      </c>
      <c r="H196" s="675"/>
      <c r="I196" s="723"/>
      <c r="J196" s="725" t="str">
        <f t="shared" si="9"/>
        <v/>
      </c>
      <c r="K196" s="727"/>
      <c r="L196" s="1007"/>
      <c r="M196" s="1007"/>
      <c r="N196" s="1007"/>
      <c r="O196" s="1007"/>
      <c r="P196" s="980" t="str">
        <f>IF(FAOEP!AB139=0,"",FAOEP!AB139)</f>
        <v/>
      </c>
      <c r="Q196" s="981" t="str">
        <f>IF(FAOEP!AC139=0,"",FAOEP!AC139)</f>
        <v/>
      </c>
      <c r="R196" s="982" t="str">
        <f>IF(COUNT(I196,#REF!,#REF!)&gt;1,"ERRO: PREENCHA APENAS UMA DAS TRÊS OPÇÕES","")</f>
        <v/>
      </c>
    </row>
    <row r="197" spans="2:18" ht="15.75" hidden="1" outlineLevel="1" x14ac:dyDescent="0.25">
      <c r="B197" s="718"/>
      <c r="C197" s="714"/>
      <c r="D197" s="650"/>
      <c r="E197" s="715"/>
      <c r="F197" s="673"/>
      <c r="G197" s="983" t="str">
        <f>IFERROR(VLOOKUP(C197,FAOEP!$E$37:$G$43,2,FALSE),"")</f>
        <v/>
      </c>
      <c r="H197" s="675"/>
      <c r="I197" s="723"/>
      <c r="J197" s="725" t="str">
        <f t="shared" si="9"/>
        <v/>
      </c>
      <c r="K197" s="727"/>
      <c r="L197" s="1007"/>
      <c r="M197" s="1007"/>
      <c r="N197" s="1007"/>
      <c r="O197" s="1007"/>
      <c r="P197" s="980" t="str">
        <f>IF(FAOEP!AB140=0,"",FAOEP!AB140)</f>
        <v/>
      </c>
      <c r="Q197" s="981" t="str">
        <f>IF(FAOEP!AC140=0,"",FAOEP!AC140)</f>
        <v/>
      </c>
      <c r="R197" s="982" t="str">
        <f>IF(COUNT(I197,#REF!,#REF!)&gt;1,"ERRO: PREENCHA APENAS UMA DAS TRÊS OPÇÕES","")</f>
        <v/>
      </c>
    </row>
    <row r="198" spans="2:18" ht="15.75" hidden="1" outlineLevel="1" x14ac:dyDescent="0.25">
      <c r="B198" s="718"/>
      <c r="C198" s="714"/>
      <c r="D198" s="650"/>
      <c r="E198" s="715"/>
      <c r="F198" s="673"/>
      <c r="G198" s="983" t="str">
        <f>IFERROR(VLOOKUP(C198,FAOEP!$E$37:$G$43,2,FALSE),"")</f>
        <v/>
      </c>
      <c r="H198" s="675"/>
      <c r="I198" s="723"/>
      <c r="J198" s="725" t="str">
        <f t="shared" si="9"/>
        <v/>
      </c>
      <c r="K198" s="727"/>
      <c r="L198" s="1007"/>
      <c r="M198" s="1007"/>
      <c r="N198" s="1007"/>
      <c r="O198" s="1007"/>
      <c r="P198" s="980" t="str">
        <f>IF(FAOEP!AB141=0,"",FAOEP!AB141)</f>
        <v/>
      </c>
      <c r="Q198" s="981" t="str">
        <f>IF(FAOEP!AC141=0,"",FAOEP!AC141)</f>
        <v/>
      </c>
      <c r="R198" s="982" t="str">
        <f>IF(COUNT(I198,#REF!,#REF!)&gt;1,"ERRO: PREENCHA APENAS UMA DAS TRÊS OPÇÕES","")</f>
        <v/>
      </c>
    </row>
    <row r="199" spans="2:18" ht="15.75" hidden="1" outlineLevel="1" x14ac:dyDescent="0.25">
      <c r="B199" s="718"/>
      <c r="C199" s="714"/>
      <c r="D199" s="650"/>
      <c r="E199" s="715"/>
      <c r="F199" s="673"/>
      <c r="G199" s="983" t="str">
        <f>IFERROR(VLOOKUP(C199,FAOEP!$E$37:$G$43,2,FALSE),"")</f>
        <v/>
      </c>
      <c r="H199" s="675"/>
      <c r="I199" s="723"/>
      <c r="J199" s="725" t="str">
        <f t="shared" si="9"/>
        <v/>
      </c>
      <c r="K199" s="727"/>
      <c r="L199" s="1007"/>
      <c r="M199" s="1007"/>
      <c r="N199" s="1007"/>
      <c r="O199" s="1007"/>
      <c r="P199" s="980" t="str">
        <f>IF(FAOEP!AB142=0,"",FAOEP!AB142)</f>
        <v/>
      </c>
      <c r="Q199" s="981" t="str">
        <f>IF(FAOEP!AC142=0,"",FAOEP!AC142)</f>
        <v/>
      </c>
      <c r="R199" s="982" t="str">
        <f>IF(COUNT(I199,#REF!,#REF!)&gt;1,"ERRO: PREENCHA APENAS UMA DAS TRÊS OPÇÕES","")</f>
        <v/>
      </c>
    </row>
    <row r="200" spans="2:18" ht="15.75" hidden="1" outlineLevel="1" x14ac:dyDescent="0.25">
      <c r="B200" s="718"/>
      <c r="C200" s="714"/>
      <c r="D200" s="650"/>
      <c r="E200" s="715"/>
      <c r="F200" s="673"/>
      <c r="G200" s="983" t="str">
        <f>IFERROR(VLOOKUP(C200,FAOEP!$E$37:$G$43,2,FALSE),"")</f>
        <v/>
      </c>
      <c r="H200" s="675"/>
      <c r="I200" s="723"/>
      <c r="J200" s="725" t="str">
        <f t="shared" si="9"/>
        <v/>
      </c>
      <c r="K200" s="727"/>
      <c r="L200" s="1007"/>
      <c r="M200" s="1007"/>
      <c r="N200" s="1007"/>
      <c r="O200" s="1007"/>
      <c r="P200" s="980" t="str">
        <f>IF(FAOEP!AB143=0,"",FAOEP!AB143)</f>
        <v/>
      </c>
      <c r="Q200" s="981" t="str">
        <f>IF(FAOEP!AC143=0,"",FAOEP!AC143)</f>
        <v/>
      </c>
      <c r="R200" s="982" t="str">
        <f>IF(COUNT(I200,#REF!,#REF!)&gt;1,"ERRO: PREENCHA APENAS UMA DAS TRÊS OPÇÕES","")</f>
        <v/>
      </c>
    </row>
    <row r="201" spans="2:18" ht="15.75" hidden="1" outlineLevel="1" x14ac:dyDescent="0.25">
      <c r="B201" s="718"/>
      <c r="C201" s="714"/>
      <c r="D201" s="650"/>
      <c r="E201" s="715"/>
      <c r="F201" s="673"/>
      <c r="G201" s="983" t="str">
        <f>IFERROR(VLOOKUP(C201,FAOEP!$E$37:$G$43,2,FALSE),"")</f>
        <v/>
      </c>
      <c r="H201" s="675"/>
      <c r="I201" s="723"/>
      <c r="J201" s="725" t="str">
        <f t="shared" si="9"/>
        <v/>
      </c>
      <c r="K201" s="727"/>
      <c r="L201" s="1007"/>
      <c r="M201" s="1007"/>
      <c r="N201" s="1007"/>
      <c r="O201" s="1007"/>
      <c r="P201" s="980" t="str">
        <f>IF(FAOEP!AB144=0,"",FAOEP!AB144)</f>
        <v/>
      </c>
      <c r="Q201" s="981" t="str">
        <f>IF(FAOEP!AC144=0,"",FAOEP!AC144)</f>
        <v/>
      </c>
      <c r="R201" s="982" t="str">
        <f>IF(COUNT(I201,#REF!,#REF!)&gt;1,"ERRO: PREENCHA APENAS UMA DAS TRÊS OPÇÕES","")</f>
        <v/>
      </c>
    </row>
    <row r="202" spans="2:18" ht="15.75" hidden="1" outlineLevel="1" x14ac:dyDescent="0.25">
      <c r="B202" s="718"/>
      <c r="C202" s="714"/>
      <c r="D202" s="650"/>
      <c r="E202" s="715"/>
      <c r="F202" s="673"/>
      <c r="G202" s="983" t="str">
        <f>IFERROR(VLOOKUP(C202,FAOEP!$E$37:$G$43,2,FALSE),"")</f>
        <v/>
      </c>
      <c r="H202" s="675"/>
      <c r="I202" s="723"/>
      <c r="J202" s="725" t="str">
        <f t="shared" si="9"/>
        <v/>
      </c>
      <c r="K202" s="727"/>
      <c r="L202" s="1007"/>
      <c r="M202" s="1007"/>
      <c r="N202" s="1007"/>
      <c r="O202" s="1007"/>
      <c r="P202" s="980" t="str">
        <f>IF(FAOEP!AB145=0,"",FAOEP!AB145)</f>
        <v/>
      </c>
      <c r="Q202" s="981" t="str">
        <f>IF(FAOEP!AC145=0,"",FAOEP!AC145)</f>
        <v/>
      </c>
      <c r="R202" s="982" t="str">
        <f>IF(COUNT(I202,#REF!,#REF!)&gt;1,"ERRO: PREENCHA APENAS UMA DAS TRÊS OPÇÕES","")</f>
        <v/>
      </c>
    </row>
    <row r="203" spans="2:18" ht="15.75" hidden="1" outlineLevel="1" x14ac:dyDescent="0.25">
      <c r="B203" s="718"/>
      <c r="C203" s="714"/>
      <c r="D203" s="650"/>
      <c r="E203" s="715"/>
      <c r="F203" s="673"/>
      <c r="G203" s="983" t="str">
        <f>IFERROR(VLOOKUP(C203,FAOEP!$E$37:$G$43,2,FALSE),"")</f>
        <v/>
      </c>
      <c r="H203" s="675"/>
      <c r="I203" s="723"/>
      <c r="J203" s="725" t="str">
        <f t="shared" si="9"/>
        <v/>
      </c>
      <c r="K203" s="727"/>
      <c r="L203" s="1007"/>
      <c r="M203" s="1007"/>
      <c r="N203" s="1007"/>
      <c r="O203" s="1007"/>
      <c r="P203" s="980" t="str">
        <f>IF(FAOEP!AB146=0,"",FAOEP!AB146)</f>
        <v/>
      </c>
      <c r="Q203" s="981" t="str">
        <f>IF(FAOEP!AC146=0,"",FAOEP!AC146)</f>
        <v/>
      </c>
      <c r="R203" s="982" t="str">
        <f>IF(COUNT(I203,#REF!,#REF!)&gt;1,"ERRO: PREENCHA APENAS UMA DAS TRÊS OPÇÕES","")</f>
        <v/>
      </c>
    </row>
    <row r="204" spans="2:18" ht="15.75" hidden="1" outlineLevel="1" x14ac:dyDescent="0.25">
      <c r="B204" s="718"/>
      <c r="C204" s="714"/>
      <c r="D204" s="650"/>
      <c r="E204" s="715"/>
      <c r="F204" s="673"/>
      <c r="G204" s="983" t="str">
        <f>IFERROR(VLOOKUP(C204,FAOEP!$E$37:$G$43,2,FALSE),"")</f>
        <v/>
      </c>
      <c r="H204" s="675"/>
      <c r="I204" s="723"/>
      <c r="J204" s="725" t="str">
        <f t="shared" si="9"/>
        <v/>
      </c>
      <c r="K204" s="727"/>
      <c r="L204" s="1007"/>
      <c r="M204" s="1007"/>
      <c r="N204" s="1007"/>
      <c r="O204" s="1007"/>
      <c r="P204" s="980" t="str">
        <f>IF(FAOEP!AB147=0,"",FAOEP!AB147)</f>
        <v/>
      </c>
      <c r="Q204" s="981" t="str">
        <f>IF(FAOEP!AC147=0,"",FAOEP!AC147)</f>
        <v/>
      </c>
      <c r="R204" s="982" t="str">
        <f>IF(COUNT(I204,#REF!,#REF!)&gt;1,"ERRO: PREENCHA APENAS UMA DAS TRÊS OPÇÕES","")</f>
        <v/>
      </c>
    </row>
    <row r="205" spans="2:18" ht="15.75" hidden="1" outlineLevel="1" x14ac:dyDescent="0.25">
      <c r="B205" s="718"/>
      <c r="C205" s="714"/>
      <c r="D205" s="650"/>
      <c r="E205" s="715"/>
      <c r="F205" s="673"/>
      <c r="G205" s="983" t="str">
        <f>IFERROR(VLOOKUP(C205,FAOEP!$E$37:$G$43,2,FALSE),"")</f>
        <v/>
      </c>
      <c r="H205" s="675"/>
      <c r="I205" s="723"/>
      <c r="J205" s="725" t="str">
        <f t="shared" si="9"/>
        <v/>
      </c>
      <c r="K205" s="727"/>
      <c r="L205" s="1007"/>
      <c r="M205" s="1007"/>
      <c r="N205" s="1007"/>
      <c r="O205" s="1007"/>
      <c r="P205" s="980" t="str">
        <f>IF(FAOEP!AB148=0,"",FAOEP!AB148)</f>
        <v/>
      </c>
      <c r="Q205" s="981" t="str">
        <f>IF(FAOEP!AC148=0,"",FAOEP!AC148)</f>
        <v/>
      </c>
      <c r="R205" s="982" t="str">
        <f>IF(COUNT(I205,#REF!,#REF!)&gt;1,"ERRO: PREENCHA APENAS UMA DAS TRÊS OPÇÕES","")</f>
        <v/>
      </c>
    </row>
    <row r="206" spans="2:18" ht="15.75" hidden="1" outlineLevel="1" x14ac:dyDescent="0.25">
      <c r="B206" s="718"/>
      <c r="C206" s="714"/>
      <c r="D206" s="650"/>
      <c r="E206" s="715"/>
      <c r="F206" s="673"/>
      <c r="G206" s="983" t="str">
        <f>IFERROR(VLOOKUP(C206,FAOEP!$E$37:$G$43,2,FALSE),"")</f>
        <v/>
      </c>
      <c r="H206" s="675"/>
      <c r="I206" s="723"/>
      <c r="J206" s="725" t="str">
        <f t="shared" si="9"/>
        <v/>
      </c>
      <c r="K206" s="727"/>
      <c r="L206" s="1007"/>
      <c r="M206" s="1007"/>
      <c r="N206" s="1007"/>
      <c r="O206" s="1007"/>
      <c r="P206" s="980" t="str">
        <f>IF(FAOEP!AB149=0,"",FAOEP!AB149)</f>
        <v/>
      </c>
      <c r="Q206" s="981" t="str">
        <f>IF(FAOEP!AC149=0,"",FAOEP!AC149)</f>
        <v/>
      </c>
      <c r="R206" s="982" t="str">
        <f>IF(COUNT(I206,#REF!,#REF!)&gt;1,"ERRO: PREENCHA APENAS UMA DAS TRÊS OPÇÕES","")</f>
        <v/>
      </c>
    </row>
    <row r="207" spans="2:18" ht="15.75" hidden="1" outlineLevel="1" x14ac:dyDescent="0.25">
      <c r="B207" s="718"/>
      <c r="C207" s="714"/>
      <c r="D207" s="650"/>
      <c r="E207" s="715"/>
      <c r="F207" s="673"/>
      <c r="G207" s="983" t="str">
        <f>IFERROR(VLOOKUP(C207,FAOEP!$E$37:$G$43,2,FALSE),"")</f>
        <v/>
      </c>
      <c r="H207" s="675"/>
      <c r="I207" s="723"/>
      <c r="J207" s="725" t="str">
        <f t="shared" si="9"/>
        <v/>
      </c>
      <c r="K207" s="727"/>
      <c r="L207" s="1007"/>
      <c r="M207" s="1007"/>
      <c r="N207" s="1007"/>
      <c r="O207" s="1007"/>
      <c r="P207" s="980" t="str">
        <f>IF(FAOEP!AB150=0,"",FAOEP!AB150)</f>
        <v/>
      </c>
      <c r="Q207" s="981" t="str">
        <f>IF(FAOEP!AC150=0,"",FAOEP!AC150)</f>
        <v/>
      </c>
      <c r="R207" s="982" t="str">
        <f>IF(COUNT(I207,#REF!,#REF!)&gt;1,"ERRO: PREENCHA APENAS UMA DAS TRÊS OPÇÕES","")</f>
        <v/>
      </c>
    </row>
    <row r="208" spans="2:18" ht="15.75" hidden="1" outlineLevel="1" x14ac:dyDescent="0.25">
      <c r="B208" s="718"/>
      <c r="C208" s="714"/>
      <c r="D208" s="650"/>
      <c r="E208" s="715"/>
      <c r="F208" s="673"/>
      <c r="G208" s="983" t="str">
        <f>IFERROR(VLOOKUP(C208,FAOEP!$E$37:$G$43,2,FALSE),"")</f>
        <v/>
      </c>
      <c r="H208" s="675"/>
      <c r="I208" s="723"/>
      <c r="J208" s="725" t="str">
        <f t="shared" si="9"/>
        <v/>
      </c>
      <c r="K208" s="727"/>
      <c r="L208" s="1007"/>
      <c r="M208" s="1007"/>
      <c r="N208" s="1007"/>
      <c r="O208" s="1007"/>
      <c r="P208" s="980" t="str">
        <f>IF(FAOEP!AB151=0,"",FAOEP!AB151)</f>
        <v/>
      </c>
      <c r="Q208" s="981" t="str">
        <f>IF(FAOEP!AC151=0,"",FAOEP!AC151)</f>
        <v/>
      </c>
      <c r="R208" s="982" t="str">
        <f>IF(COUNT(I208,#REF!,#REF!)&gt;1,"ERRO: PREENCHA APENAS UMA DAS TRÊS OPÇÕES","")</f>
        <v/>
      </c>
    </row>
    <row r="209" spans="2:18" ht="15.75" hidden="1" outlineLevel="1" x14ac:dyDescent="0.25">
      <c r="B209" s="718"/>
      <c r="C209" s="714"/>
      <c r="D209" s="650"/>
      <c r="E209" s="715"/>
      <c r="F209" s="673"/>
      <c r="G209" s="983" t="str">
        <f>IFERROR(VLOOKUP(C209,FAOEP!$E$37:$G$43,2,FALSE),"")</f>
        <v/>
      </c>
      <c r="H209" s="675"/>
      <c r="I209" s="723"/>
      <c r="J209" s="725" t="str">
        <f t="shared" si="9"/>
        <v/>
      </c>
      <c r="K209" s="727"/>
      <c r="L209" s="1007"/>
      <c r="M209" s="1007"/>
      <c r="N209" s="1007"/>
      <c r="O209" s="1007"/>
      <c r="P209" s="980" t="str">
        <f>IF(FAOEP!AB152=0,"",FAOEP!AB152)</f>
        <v/>
      </c>
      <c r="Q209" s="981" t="str">
        <f>IF(FAOEP!AC152=0,"",FAOEP!AC152)</f>
        <v/>
      </c>
      <c r="R209" s="982" t="str">
        <f>IF(COUNT(I209,#REF!,#REF!)&gt;1,"ERRO: PREENCHA APENAS UMA DAS TRÊS OPÇÕES","")</f>
        <v/>
      </c>
    </row>
    <row r="210" spans="2:18" ht="15.75" hidden="1" outlineLevel="1" x14ac:dyDescent="0.25">
      <c r="B210" s="718"/>
      <c r="C210" s="714"/>
      <c r="D210" s="650"/>
      <c r="E210" s="715"/>
      <c r="F210" s="673"/>
      <c r="G210" s="983" t="str">
        <f>IFERROR(VLOOKUP(C210,FAOEP!$E$37:$G$43,2,FALSE),"")</f>
        <v/>
      </c>
      <c r="H210" s="675"/>
      <c r="I210" s="723"/>
      <c r="J210" s="725" t="str">
        <f t="shared" si="9"/>
        <v/>
      </c>
      <c r="K210" s="727"/>
      <c r="L210" s="1007"/>
      <c r="M210" s="1007"/>
      <c r="N210" s="1007"/>
      <c r="O210" s="1007"/>
      <c r="P210" s="980" t="str">
        <f>IF(FAOEP!AB153=0,"",FAOEP!AB153)</f>
        <v/>
      </c>
      <c r="Q210" s="981" t="str">
        <f>IF(FAOEP!AC153=0,"",FAOEP!AC153)</f>
        <v/>
      </c>
      <c r="R210" s="982" t="str">
        <f>IF(COUNT(I210,#REF!,#REF!)&gt;1,"ERRO: PREENCHA APENAS UMA DAS TRÊS OPÇÕES","")</f>
        <v/>
      </c>
    </row>
    <row r="211" spans="2:18" ht="15.75" hidden="1" outlineLevel="1" x14ac:dyDescent="0.25">
      <c r="B211" s="718"/>
      <c r="C211" s="714"/>
      <c r="D211" s="650"/>
      <c r="E211" s="715"/>
      <c r="F211" s="673"/>
      <c r="G211" s="983" t="str">
        <f>IFERROR(VLOOKUP(C211,FAOEP!$E$37:$G$43,2,FALSE),"")</f>
        <v/>
      </c>
      <c r="H211" s="675"/>
      <c r="I211" s="723"/>
      <c r="J211" s="725" t="str">
        <f t="shared" si="9"/>
        <v/>
      </c>
      <c r="K211" s="727"/>
      <c r="L211" s="1007"/>
      <c r="M211" s="1007"/>
      <c r="N211" s="1007"/>
      <c r="O211" s="1007"/>
      <c r="P211" s="980" t="str">
        <f>IF(FAOEP!AB154=0,"",FAOEP!AB154)</f>
        <v/>
      </c>
      <c r="Q211" s="981" t="str">
        <f>IF(FAOEP!AC154=0,"",FAOEP!AC154)</f>
        <v/>
      </c>
      <c r="R211" s="982" t="str">
        <f>IF(COUNT(I211,#REF!,#REF!)&gt;1,"ERRO: PREENCHA APENAS UMA DAS TRÊS OPÇÕES","")</f>
        <v/>
      </c>
    </row>
    <row r="212" spans="2:18" ht="15.75" hidden="1" outlineLevel="1" x14ac:dyDescent="0.25">
      <c r="B212" s="718"/>
      <c r="C212" s="714"/>
      <c r="D212" s="650"/>
      <c r="E212" s="715"/>
      <c r="F212" s="673"/>
      <c r="G212" s="983" t="str">
        <f>IFERROR(VLOOKUP(C212,FAOEP!$E$37:$G$43,2,FALSE),"")</f>
        <v/>
      </c>
      <c r="H212" s="675"/>
      <c r="I212" s="723"/>
      <c r="J212" s="725" t="str">
        <f t="shared" si="9"/>
        <v/>
      </c>
      <c r="K212" s="727"/>
      <c r="L212" s="1007"/>
      <c r="M212" s="1007"/>
      <c r="N212" s="1007"/>
      <c r="O212" s="1007"/>
      <c r="P212" s="980" t="str">
        <f>IF(FAOEP!AB155=0,"",FAOEP!AB155)</f>
        <v/>
      </c>
      <c r="Q212" s="981" t="str">
        <f>IF(FAOEP!AC155=0,"",FAOEP!AC155)</f>
        <v/>
      </c>
      <c r="R212" s="982" t="str">
        <f>IF(COUNT(I212,#REF!,#REF!)&gt;1,"ERRO: PREENCHA APENAS UMA DAS TRÊS OPÇÕES","")</f>
        <v/>
      </c>
    </row>
    <row r="213" spans="2:18" ht="15.75" hidden="1" outlineLevel="1" x14ac:dyDescent="0.25">
      <c r="B213" s="718"/>
      <c r="C213" s="714"/>
      <c r="D213" s="650"/>
      <c r="E213" s="715"/>
      <c r="F213" s="673"/>
      <c r="G213" s="983" t="str">
        <f>IFERROR(VLOOKUP(C213,FAOEP!$E$37:$G$43,2,FALSE),"")</f>
        <v/>
      </c>
      <c r="H213" s="675"/>
      <c r="I213" s="723"/>
      <c r="J213" s="725" t="str">
        <f t="shared" si="9"/>
        <v/>
      </c>
      <c r="K213" s="727"/>
      <c r="L213" s="1007"/>
      <c r="M213" s="1007"/>
      <c r="N213" s="1007"/>
      <c r="O213" s="1007"/>
      <c r="P213" s="980" t="str">
        <f>IF(FAOEP!AB156=0,"",FAOEP!AB156)</f>
        <v/>
      </c>
      <c r="Q213" s="981" t="str">
        <f>IF(FAOEP!AC156=0,"",FAOEP!AC156)</f>
        <v/>
      </c>
      <c r="R213" s="982" t="str">
        <f>IF(COUNT(I213,#REF!,#REF!)&gt;1,"ERRO: PREENCHA APENAS UMA DAS TRÊS OPÇÕES","")</f>
        <v/>
      </c>
    </row>
    <row r="214" spans="2:18" ht="15.75" hidden="1" outlineLevel="1" x14ac:dyDescent="0.25">
      <c r="B214" s="718"/>
      <c r="C214" s="714"/>
      <c r="D214" s="650"/>
      <c r="E214" s="715"/>
      <c r="F214" s="673"/>
      <c r="G214" s="983" t="str">
        <f>IFERROR(VLOOKUP(C214,FAOEP!$E$37:$G$43,2,FALSE),"")</f>
        <v/>
      </c>
      <c r="H214" s="675"/>
      <c r="I214" s="723"/>
      <c r="J214" s="725" t="str">
        <f t="shared" si="9"/>
        <v/>
      </c>
      <c r="K214" s="727"/>
      <c r="L214" s="1007"/>
      <c r="M214" s="1007"/>
      <c r="N214" s="1007"/>
      <c r="O214" s="1007"/>
      <c r="P214" s="980" t="str">
        <f>IF(FAOEP!AB157=0,"",FAOEP!AB157)</f>
        <v/>
      </c>
      <c r="Q214" s="981" t="str">
        <f>IF(FAOEP!AC157=0,"",FAOEP!AC157)</f>
        <v/>
      </c>
      <c r="R214" s="982" t="str">
        <f>IF(COUNT(I214,#REF!,#REF!)&gt;1,"ERRO: PREENCHA APENAS UMA DAS TRÊS OPÇÕES","")</f>
        <v/>
      </c>
    </row>
    <row r="215" spans="2:18" ht="15.75" hidden="1" outlineLevel="1" x14ac:dyDescent="0.25">
      <c r="B215" s="718"/>
      <c r="C215" s="714"/>
      <c r="D215" s="650"/>
      <c r="E215" s="715"/>
      <c r="F215" s="673"/>
      <c r="G215" s="983" t="str">
        <f>IFERROR(VLOOKUP(C215,FAOEP!$E$37:$G$43,2,FALSE),"")</f>
        <v/>
      </c>
      <c r="H215" s="675"/>
      <c r="I215" s="723"/>
      <c r="J215" s="725" t="str">
        <f t="shared" si="9"/>
        <v/>
      </c>
      <c r="K215" s="727"/>
      <c r="L215" s="1007"/>
      <c r="M215" s="1007"/>
      <c r="N215" s="1007"/>
      <c r="O215" s="1007"/>
      <c r="P215" s="980" t="str">
        <f>IF(FAOEP!AB158=0,"",FAOEP!AB158)</f>
        <v/>
      </c>
      <c r="Q215" s="981" t="str">
        <f>IF(FAOEP!AC158=0,"",FAOEP!AC158)</f>
        <v/>
      </c>
      <c r="R215" s="982" t="str">
        <f>IF(COUNT(I215,#REF!,#REF!)&gt;1,"ERRO: PREENCHA APENAS UMA DAS TRÊS OPÇÕES","")</f>
        <v/>
      </c>
    </row>
    <row r="216" spans="2:18" ht="15.75" hidden="1" outlineLevel="1" x14ac:dyDescent="0.25">
      <c r="B216" s="718"/>
      <c r="C216" s="714"/>
      <c r="D216" s="650"/>
      <c r="E216" s="715"/>
      <c r="F216" s="673"/>
      <c r="G216" s="983" t="str">
        <f>IFERROR(VLOOKUP(C216,FAOEP!$E$37:$G$43,2,FALSE),"")</f>
        <v/>
      </c>
      <c r="H216" s="675"/>
      <c r="I216" s="723"/>
      <c r="J216" s="725" t="str">
        <f t="shared" si="9"/>
        <v/>
      </c>
      <c r="K216" s="727"/>
      <c r="L216" s="1007"/>
      <c r="M216" s="1007"/>
      <c r="N216" s="1007"/>
      <c r="O216" s="1007"/>
      <c r="P216" s="980" t="str">
        <f>IF(FAOEP!AB159=0,"",FAOEP!AB159)</f>
        <v/>
      </c>
      <c r="Q216" s="981" t="str">
        <f>IF(FAOEP!AC159=0,"",FAOEP!AC159)</f>
        <v/>
      </c>
      <c r="R216" s="982" t="str">
        <f>IF(COUNT(I216,#REF!,#REF!)&gt;1,"ERRO: PREENCHA APENAS UMA DAS TRÊS OPÇÕES","")</f>
        <v/>
      </c>
    </row>
    <row r="217" spans="2:18" ht="15.75" hidden="1" outlineLevel="1" x14ac:dyDescent="0.25">
      <c r="B217" s="718"/>
      <c r="C217" s="714"/>
      <c r="D217" s="650"/>
      <c r="E217" s="715"/>
      <c r="F217" s="673"/>
      <c r="G217" s="983" t="str">
        <f>IFERROR(VLOOKUP(C217,FAOEP!$E$37:$G$43,2,FALSE),"")</f>
        <v/>
      </c>
      <c r="H217" s="675"/>
      <c r="I217" s="723"/>
      <c r="J217" s="725" t="str">
        <f t="shared" si="9"/>
        <v/>
      </c>
      <c r="K217" s="727"/>
      <c r="L217" s="1007"/>
      <c r="M217" s="1007"/>
      <c r="N217" s="1007"/>
      <c r="O217" s="1007"/>
      <c r="P217" s="980" t="str">
        <f>IF(FAOEP!AB160=0,"",FAOEP!AB160)</f>
        <v/>
      </c>
      <c r="Q217" s="981" t="str">
        <f>IF(FAOEP!AC160=0,"",FAOEP!AC160)</f>
        <v/>
      </c>
      <c r="R217" s="982" t="str">
        <f>IF(COUNT(I217,#REF!,#REF!)&gt;1,"ERRO: PREENCHA APENAS UMA DAS TRÊS OPÇÕES","")</f>
        <v/>
      </c>
    </row>
    <row r="218" spans="2:18" ht="15.75" hidden="1" outlineLevel="1" x14ac:dyDescent="0.25">
      <c r="B218" s="718"/>
      <c r="C218" s="714"/>
      <c r="D218" s="650"/>
      <c r="E218" s="715"/>
      <c r="F218" s="673"/>
      <c r="G218" s="983" t="str">
        <f>IFERROR(VLOOKUP(C218,FAOEP!$E$37:$G$43,2,FALSE),"")</f>
        <v/>
      </c>
      <c r="H218" s="675"/>
      <c r="I218" s="723"/>
      <c r="J218" s="725" t="str">
        <f t="shared" si="9"/>
        <v/>
      </c>
      <c r="K218" s="727"/>
      <c r="L218" s="1007"/>
      <c r="M218" s="1007"/>
      <c r="N218" s="1007"/>
      <c r="O218" s="1007"/>
      <c r="P218" s="980" t="str">
        <f>IF(FAOEP!AB161=0,"",FAOEP!AB161)</f>
        <v/>
      </c>
      <c r="Q218" s="981" t="str">
        <f>IF(FAOEP!AC161=0,"",FAOEP!AC161)</f>
        <v/>
      </c>
      <c r="R218" s="982" t="str">
        <f>IF(COUNT(I218,#REF!,#REF!)&gt;1,"ERRO: PREENCHA APENAS UMA DAS TRÊS OPÇÕES","")</f>
        <v/>
      </c>
    </row>
    <row r="219" spans="2:18" ht="15.75" hidden="1" outlineLevel="1" x14ac:dyDescent="0.25">
      <c r="B219" s="718"/>
      <c r="C219" s="714"/>
      <c r="D219" s="650"/>
      <c r="E219" s="715"/>
      <c r="F219" s="673"/>
      <c r="G219" s="983" t="str">
        <f>IFERROR(VLOOKUP(C219,FAOEP!$E$37:$G$43,2,FALSE),"")</f>
        <v/>
      </c>
      <c r="H219" s="675"/>
      <c r="I219" s="723"/>
      <c r="J219" s="725" t="str">
        <f t="shared" si="9"/>
        <v/>
      </c>
      <c r="K219" s="727"/>
      <c r="L219" s="1007"/>
      <c r="M219" s="1007"/>
      <c r="N219" s="1007"/>
      <c r="O219" s="1007"/>
      <c r="P219" s="980" t="str">
        <f>IF(FAOEP!AB162=0,"",FAOEP!AB162)</f>
        <v/>
      </c>
      <c r="Q219" s="981" t="str">
        <f>IF(FAOEP!AC162=0,"",FAOEP!AC162)</f>
        <v/>
      </c>
      <c r="R219" s="982" t="str">
        <f>IF(COUNT(I219,#REF!,#REF!)&gt;1,"ERRO: PREENCHA APENAS UMA DAS TRÊS OPÇÕES","")</f>
        <v/>
      </c>
    </row>
    <row r="220" spans="2:18" ht="15.75" hidden="1" outlineLevel="1" x14ac:dyDescent="0.25">
      <c r="B220" s="718"/>
      <c r="C220" s="714"/>
      <c r="D220" s="650"/>
      <c r="E220" s="715"/>
      <c r="F220" s="673"/>
      <c r="G220" s="983" t="str">
        <f>IFERROR(VLOOKUP(C220,FAOEP!$E$37:$G$43,2,FALSE),"")</f>
        <v/>
      </c>
      <c r="H220" s="675"/>
      <c r="I220" s="723"/>
      <c r="J220" s="725" t="str">
        <f t="shared" si="9"/>
        <v/>
      </c>
      <c r="K220" s="727"/>
      <c r="L220" s="1007"/>
      <c r="M220" s="1007"/>
      <c r="N220" s="1007"/>
      <c r="O220" s="1007"/>
      <c r="P220" s="980" t="str">
        <f>IF(FAOEP!AB163=0,"",FAOEP!AB163)</f>
        <v/>
      </c>
      <c r="Q220" s="981" t="str">
        <f>IF(FAOEP!AC163=0,"",FAOEP!AC163)</f>
        <v/>
      </c>
      <c r="R220" s="982" t="str">
        <f>IF(COUNT(I220,#REF!,#REF!)&gt;1,"ERRO: PREENCHA APENAS UMA DAS TRÊS OPÇÕES","")</f>
        <v/>
      </c>
    </row>
    <row r="221" spans="2:18" ht="15.75" hidden="1" outlineLevel="1" x14ac:dyDescent="0.25">
      <c r="B221" s="718"/>
      <c r="C221" s="714"/>
      <c r="D221" s="650"/>
      <c r="E221" s="715"/>
      <c r="F221" s="673"/>
      <c r="G221" s="983" t="str">
        <f>IFERROR(VLOOKUP(C221,FAOEP!$E$37:$G$43,2,FALSE),"")</f>
        <v/>
      </c>
      <c r="H221" s="675"/>
      <c r="I221" s="723"/>
      <c r="J221" s="725" t="str">
        <f t="shared" si="9"/>
        <v/>
      </c>
      <c r="K221" s="727"/>
      <c r="L221" s="1007"/>
      <c r="M221" s="1007"/>
      <c r="N221" s="1007"/>
      <c r="O221" s="1007"/>
      <c r="P221" s="980" t="str">
        <f>IF(FAOEP!AB164=0,"",FAOEP!AB164)</f>
        <v/>
      </c>
      <c r="Q221" s="981" t="str">
        <f>IF(FAOEP!AC164=0,"",FAOEP!AC164)</f>
        <v/>
      </c>
      <c r="R221" s="982" t="str">
        <f>IF(COUNT(I221,#REF!,#REF!)&gt;1,"ERRO: PREENCHA APENAS UMA DAS TRÊS OPÇÕES","")</f>
        <v/>
      </c>
    </row>
    <row r="222" spans="2:18" ht="15.75" hidden="1" outlineLevel="1" x14ac:dyDescent="0.25">
      <c r="B222" s="718"/>
      <c r="C222" s="714"/>
      <c r="D222" s="650"/>
      <c r="E222" s="715"/>
      <c r="F222" s="673"/>
      <c r="G222" s="983" t="str">
        <f>IFERROR(VLOOKUP(C222,FAOEP!$E$37:$G$43,2,FALSE),"")</f>
        <v/>
      </c>
      <c r="H222" s="675"/>
      <c r="I222" s="723"/>
      <c r="J222" s="725" t="str">
        <f t="shared" si="9"/>
        <v/>
      </c>
      <c r="K222" s="727"/>
      <c r="L222" s="1007"/>
      <c r="M222" s="1007"/>
      <c r="N222" s="1007"/>
      <c r="O222" s="1007"/>
      <c r="P222" s="980" t="str">
        <f>IF(FAOEP!AB165=0,"",FAOEP!AB165)</f>
        <v/>
      </c>
      <c r="Q222" s="981" t="str">
        <f>IF(FAOEP!AC165=0,"",FAOEP!AC165)</f>
        <v/>
      </c>
      <c r="R222" s="982" t="str">
        <f>IF(COUNT(I222,#REF!,#REF!)&gt;1,"ERRO: PREENCHA APENAS UMA DAS TRÊS OPÇÕES","")</f>
        <v/>
      </c>
    </row>
    <row r="223" spans="2:18" ht="15.75" hidden="1" outlineLevel="1" x14ac:dyDescent="0.25">
      <c r="B223" s="718"/>
      <c r="C223" s="714"/>
      <c r="D223" s="650"/>
      <c r="E223" s="715"/>
      <c r="F223" s="673"/>
      <c r="G223" s="983" t="str">
        <f>IFERROR(VLOOKUP(C223,FAOEP!$E$37:$G$43,2,FALSE),"")</f>
        <v/>
      </c>
      <c r="H223" s="675"/>
      <c r="I223" s="723"/>
      <c r="J223" s="725" t="str">
        <f t="shared" si="9"/>
        <v/>
      </c>
      <c r="K223" s="727"/>
      <c r="L223" s="1007"/>
      <c r="M223" s="1007"/>
      <c r="N223" s="1007"/>
      <c r="O223" s="1007"/>
      <c r="P223" s="980" t="str">
        <f>IF(FAOEP!AB166=0,"",FAOEP!AB166)</f>
        <v/>
      </c>
      <c r="Q223" s="981" t="str">
        <f>IF(FAOEP!AC166=0,"",FAOEP!AC166)</f>
        <v/>
      </c>
      <c r="R223" s="982" t="str">
        <f>IF(COUNT(I223,#REF!,#REF!)&gt;1,"ERRO: PREENCHA APENAS UMA DAS TRÊS OPÇÕES","")</f>
        <v/>
      </c>
    </row>
    <row r="224" spans="2:18" ht="15.75" hidden="1" outlineLevel="1" x14ac:dyDescent="0.25">
      <c r="B224" s="718"/>
      <c r="C224" s="714"/>
      <c r="D224" s="650"/>
      <c r="E224" s="715"/>
      <c r="F224" s="673"/>
      <c r="G224" s="983" t="str">
        <f>IFERROR(VLOOKUP(C224,FAOEP!$E$37:$G$43,2,FALSE),"")</f>
        <v/>
      </c>
      <c r="H224" s="675"/>
      <c r="I224" s="723"/>
      <c r="J224" s="725" t="str">
        <f t="shared" si="9"/>
        <v/>
      </c>
      <c r="K224" s="727"/>
      <c r="L224" s="1007"/>
      <c r="M224" s="1007"/>
      <c r="N224" s="1007"/>
      <c r="O224" s="1007"/>
      <c r="P224" s="980" t="str">
        <f>IF(FAOEP!AB167=0,"",FAOEP!AB167)</f>
        <v/>
      </c>
      <c r="Q224" s="981" t="str">
        <f>IF(FAOEP!AC167=0,"",FAOEP!AC167)</f>
        <v/>
      </c>
      <c r="R224" s="982" t="str">
        <f>IF(COUNT(I224,#REF!,#REF!)&gt;1,"ERRO: PREENCHA APENAS UMA DAS TRÊS OPÇÕES","")</f>
        <v/>
      </c>
    </row>
    <row r="225" spans="2:18" ht="15.75" hidden="1" outlineLevel="1" x14ac:dyDescent="0.25">
      <c r="B225" s="718"/>
      <c r="C225" s="714"/>
      <c r="D225" s="650"/>
      <c r="E225" s="715"/>
      <c r="F225" s="673"/>
      <c r="G225" s="983" t="str">
        <f>IFERROR(VLOOKUP(C225,FAOEP!$E$37:$G$43,2,FALSE),"")</f>
        <v/>
      </c>
      <c r="H225" s="675"/>
      <c r="I225" s="723"/>
      <c r="J225" s="725" t="str">
        <f t="shared" si="9"/>
        <v/>
      </c>
      <c r="K225" s="727"/>
      <c r="L225" s="1007"/>
      <c r="M225" s="1007"/>
      <c r="N225" s="1007"/>
      <c r="O225" s="1007"/>
      <c r="P225" s="980" t="str">
        <f>IF(FAOEP!AB168=0,"",FAOEP!AB168)</f>
        <v/>
      </c>
      <c r="Q225" s="981" t="str">
        <f>IF(FAOEP!AC168=0,"",FAOEP!AC168)</f>
        <v/>
      </c>
      <c r="R225" s="982" t="str">
        <f>IF(COUNT(I225,#REF!,#REF!)&gt;1,"ERRO: PREENCHA APENAS UMA DAS TRÊS OPÇÕES","")</f>
        <v/>
      </c>
    </row>
    <row r="226" spans="2:18" ht="15.75" hidden="1" outlineLevel="1" x14ac:dyDescent="0.25">
      <c r="B226" s="718"/>
      <c r="C226" s="714"/>
      <c r="D226" s="650"/>
      <c r="E226" s="715"/>
      <c r="F226" s="673"/>
      <c r="G226" s="983" t="str">
        <f>IFERROR(VLOOKUP(C226,FAOEP!$E$37:$G$43,2,FALSE),"")</f>
        <v/>
      </c>
      <c r="H226" s="675"/>
      <c r="I226" s="723"/>
      <c r="J226" s="725" t="str">
        <f t="shared" si="9"/>
        <v/>
      </c>
      <c r="K226" s="727"/>
      <c r="L226" s="1007"/>
      <c r="M226" s="1007"/>
      <c r="N226" s="1007"/>
      <c r="O226" s="1007"/>
      <c r="P226" s="980" t="str">
        <f>IF(FAOEP!AB169=0,"",FAOEP!AB169)</f>
        <v/>
      </c>
      <c r="Q226" s="981" t="str">
        <f>IF(FAOEP!AC169=0,"",FAOEP!AC169)</f>
        <v/>
      </c>
      <c r="R226" s="982" t="str">
        <f>IF(COUNT(I226,#REF!,#REF!)&gt;1,"ERRO: PREENCHA APENAS UMA DAS TRÊS OPÇÕES","")</f>
        <v/>
      </c>
    </row>
    <row r="227" spans="2:18" ht="15.75" hidden="1" outlineLevel="1" x14ac:dyDescent="0.25">
      <c r="B227" s="718"/>
      <c r="C227" s="714"/>
      <c r="D227" s="650"/>
      <c r="E227" s="715"/>
      <c r="F227" s="673"/>
      <c r="G227" s="983" t="str">
        <f>IFERROR(VLOOKUP(C227,FAOEP!$E$37:$G$43,2,FALSE),"")</f>
        <v/>
      </c>
      <c r="H227" s="675"/>
      <c r="I227" s="723"/>
      <c r="J227" s="725" t="str">
        <f t="shared" si="9"/>
        <v/>
      </c>
      <c r="K227" s="727"/>
      <c r="L227" s="1007"/>
      <c r="M227" s="1007"/>
      <c r="N227" s="1007"/>
      <c r="O227" s="1007"/>
      <c r="P227" s="980" t="str">
        <f>IF(FAOEP!AB170=0,"",FAOEP!AB170)</f>
        <v/>
      </c>
      <c r="Q227" s="981" t="str">
        <f>IF(FAOEP!AC170=0,"",FAOEP!AC170)</f>
        <v/>
      </c>
      <c r="R227" s="982" t="str">
        <f>IF(COUNT(I227,#REF!,#REF!)&gt;1,"ERRO: PREENCHA APENAS UMA DAS TRÊS OPÇÕES","")</f>
        <v/>
      </c>
    </row>
    <row r="228" spans="2:18" ht="15.75" hidden="1" outlineLevel="1" x14ac:dyDescent="0.25">
      <c r="B228" s="718"/>
      <c r="C228" s="714"/>
      <c r="D228" s="650"/>
      <c r="E228" s="715"/>
      <c r="F228" s="673"/>
      <c r="G228" s="983" t="str">
        <f>IFERROR(VLOOKUP(C228,FAOEP!$E$37:$G$43,2,FALSE),"")</f>
        <v/>
      </c>
      <c r="H228" s="675"/>
      <c r="I228" s="723"/>
      <c r="J228" s="725" t="str">
        <f t="shared" si="9"/>
        <v/>
      </c>
      <c r="K228" s="727"/>
      <c r="L228" s="1007"/>
      <c r="M228" s="1007"/>
      <c r="N228" s="1007"/>
      <c r="O228" s="1007"/>
      <c r="P228" s="980" t="str">
        <f>IF(FAOEP!AB171=0,"",FAOEP!AB171)</f>
        <v/>
      </c>
      <c r="Q228" s="981" t="str">
        <f>IF(FAOEP!AC171=0,"",FAOEP!AC171)</f>
        <v/>
      </c>
      <c r="R228" s="982" t="str">
        <f>IF(COUNT(I228,#REF!,#REF!)&gt;1,"ERRO: PREENCHA APENAS UMA DAS TRÊS OPÇÕES","")</f>
        <v/>
      </c>
    </row>
    <row r="229" spans="2:18" ht="15.75" hidden="1" outlineLevel="1" x14ac:dyDescent="0.25">
      <c r="B229" s="718"/>
      <c r="C229" s="714"/>
      <c r="D229" s="650"/>
      <c r="E229" s="715"/>
      <c r="F229" s="673"/>
      <c r="G229" s="983" t="str">
        <f>IFERROR(VLOOKUP(C229,FAOEP!$E$37:$G$43,2,FALSE),"")</f>
        <v/>
      </c>
      <c r="H229" s="675"/>
      <c r="I229" s="723"/>
      <c r="J229" s="725" t="str">
        <f t="shared" si="9"/>
        <v/>
      </c>
      <c r="K229" s="727"/>
      <c r="L229" s="1007"/>
      <c r="M229" s="1007"/>
      <c r="N229" s="1007"/>
      <c r="O229" s="1007"/>
      <c r="P229" s="980" t="str">
        <f>IF(FAOEP!AB172=0,"",FAOEP!AB172)</f>
        <v/>
      </c>
      <c r="Q229" s="981" t="str">
        <f>IF(FAOEP!AC172=0,"",FAOEP!AC172)</f>
        <v/>
      </c>
      <c r="R229" s="982" t="str">
        <f>IF(COUNT(I229,#REF!,#REF!)&gt;1,"ERRO: PREENCHA APENAS UMA DAS TRÊS OPÇÕES","")</f>
        <v/>
      </c>
    </row>
    <row r="230" spans="2:18" ht="15.75" hidden="1" outlineLevel="1" x14ac:dyDescent="0.25">
      <c r="B230" s="718"/>
      <c r="C230" s="714"/>
      <c r="D230" s="650"/>
      <c r="E230" s="715"/>
      <c r="F230" s="673"/>
      <c r="G230" s="983" t="str">
        <f>IFERROR(VLOOKUP(C230,FAOEP!$E$37:$G$43,2,FALSE),"")</f>
        <v/>
      </c>
      <c r="H230" s="675"/>
      <c r="I230" s="723"/>
      <c r="J230" s="725" t="str">
        <f t="shared" ref="J230:J264" si="10">IF(G230="","","t CO2e / "&amp;G230)</f>
        <v/>
      </c>
      <c r="K230" s="727"/>
      <c r="L230" s="1007"/>
      <c r="M230" s="1007"/>
      <c r="N230" s="1007"/>
      <c r="O230" s="1007"/>
      <c r="P230" s="980" t="str">
        <f>IF(FAOEP!AB173=0,"",FAOEP!AB173)</f>
        <v/>
      </c>
      <c r="Q230" s="981" t="str">
        <f>IF(FAOEP!AC173=0,"",FAOEP!AC173)</f>
        <v/>
      </c>
      <c r="R230" s="982" t="str">
        <f>IF(COUNT(I230,#REF!,#REF!)&gt;1,"ERRO: PREENCHA APENAS UMA DAS TRÊS OPÇÕES","")</f>
        <v/>
      </c>
    </row>
    <row r="231" spans="2:18" ht="15.75" hidden="1" outlineLevel="1" x14ac:dyDescent="0.25">
      <c r="B231" s="718"/>
      <c r="C231" s="714"/>
      <c r="D231" s="650"/>
      <c r="E231" s="715"/>
      <c r="F231" s="673"/>
      <c r="G231" s="983" t="str">
        <f>IFERROR(VLOOKUP(C231,FAOEP!$E$37:$G$43,2,FALSE),"")</f>
        <v/>
      </c>
      <c r="H231" s="675"/>
      <c r="I231" s="723"/>
      <c r="J231" s="725" t="str">
        <f t="shared" si="10"/>
        <v/>
      </c>
      <c r="K231" s="727"/>
      <c r="L231" s="1007"/>
      <c r="M231" s="1007"/>
      <c r="N231" s="1007"/>
      <c r="O231" s="1007"/>
      <c r="P231" s="980" t="str">
        <f>IF(FAOEP!AB174=0,"",FAOEP!AB174)</f>
        <v/>
      </c>
      <c r="Q231" s="981" t="str">
        <f>IF(FAOEP!AC174=0,"",FAOEP!AC174)</f>
        <v/>
      </c>
      <c r="R231" s="982" t="str">
        <f>IF(COUNT(I231,#REF!,#REF!)&gt;1,"ERRO: PREENCHA APENAS UMA DAS TRÊS OPÇÕES","")</f>
        <v/>
      </c>
    </row>
    <row r="232" spans="2:18" ht="15.75" hidden="1" outlineLevel="1" x14ac:dyDescent="0.25">
      <c r="B232" s="718"/>
      <c r="C232" s="714"/>
      <c r="D232" s="650"/>
      <c r="E232" s="715"/>
      <c r="F232" s="673"/>
      <c r="G232" s="983" t="str">
        <f>IFERROR(VLOOKUP(C232,FAOEP!$E$37:$G$43,2,FALSE),"")</f>
        <v/>
      </c>
      <c r="H232" s="675"/>
      <c r="I232" s="723"/>
      <c r="J232" s="725" t="str">
        <f t="shared" si="10"/>
        <v/>
      </c>
      <c r="K232" s="727"/>
      <c r="L232" s="1007"/>
      <c r="M232" s="1007"/>
      <c r="N232" s="1007"/>
      <c r="O232" s="1007"/>
      <c r="P232" s="980" t="str">
        <f>IF(FAOEP!AB175=0,"",FAOEP!AB175)</f>
        <v/>
      </c>
      <c r="Q232" s="981" t="str">
        <f>IF(FAOEP!AC175=0,"",FAOEP!AC175)</f>
        <v/>
      </c>
      <c r="R232" s="982" t="str">
        <f>IF(COUNT(I232,#REF!,#REF!)&gt;1,"ERRO: PREENCHA APENAS UMA DAS TRÊS OPÇÕES","")</f>
        <v/>
      </c>
    </row>
    <row r="233" spans="2:18" ht="15.75" hidden="1" outlineLevel="1" x14ac:dyDescent="0.25">
      <c r="B233" s="718"/>
      <c r="C233" s="714"/>
      <c r="D233" s="650"/>
      <c r="E233" s="715"/>
      <c r="F233" s="673"/>
      <c r="G233" s="983" t="str">
        <f>IFERROR(VLOOKUP(C233,FAOEP!$E$37:$G$43,2,FALSE),"")</f>
        <v/>
      </c>
      <c r="H233" s="675"/>
      <c r="I233" s="723"/>
      <c r="J233" s="725" t="str">
        <f t="shared" si="10"/>
        <v/>
      </c>
      <c r="K233" s="727"/>
      <c r="L233" s="1007"/>
      <c r="M233" s="1007"/>
      <c r="N233" s="1007"/>
      <c r="O233" s="1007"/>
      <c r="P233" s="980" t="str">
        <f>IF(FAOEP!AB176=0,"",FAOEP!AB176)</f>
        <v/>
      </c>
      <c r="Q233" s="981" t="str">
        <f>IF(FAOEP!AC176=0,"",FAOEP!AC176)</f>
        <v/>
      </c>
      <c r="R233" s="982" t="str">
        <f>IF(COUNT(I233,#REF!,#REF!)&gt;1,"ERRO: PREENCHA APENAS UMA DAS TRÊS OPÇÕES","")</f>
        <v/>
      </c>
    </row>
    <row r="234" spans="2:18" ht="15.75" hidden="1" outlineLevel="1" x14ac:dyDescent="0.25">
      <c r="B234" s="718"/>
      <c r="C234" s="714"/>
      <c r="D234" s="650"/>
      <c r="E234" s="715"/>
      <c r="F234" s="673"/>
      <c r="G234" s="983" t="str">
        <f>IFERROR(VLOOKUP(C234,FAOEP!$E$37:$G$43,2,FALSE),"")</f>
        <v/>
      </c>
      <c r="H234" s="675"/>
      <c r="I234" s="723"/>
      <c r="J234" s="725" t="str">
        <f t="shared" si="10"/>
        <v/>
      </c>
      <c r="K234" s="727"/>
      <c r="L234" s="1007"/>
      <c r="M234" s="1007"/>
      <c r="N234" s="1007"/>
      <c r="O234" s="1007"/>
      <c r="P234" s="980" t="str">
        <f>IF(FAOEP!AB177=0,"",FAOEP!AB177)</f>
        <v/>
      </c>
      <c r="Q234" s="981" t="str">
        <f>IF(FAOEP!AC177=0,"",FAOEP!AC177)</f>
        <v/>
      </c>
      <c r="R234" s="982" t="str">
        <f>IF(COUNT(I234,#REF!,#REF!)&gt;1,"ERRO: PREENCHA APENAS UMA DAS TRÊS OPÇÕES","")</f>
        <v/>
      </c>
    </row>
    <row r="235" spans="2:18" ht="15.75" hidden="1" outlineLevel="1" x14ac:dyDescent="0.25">
      <c r="B235" s="718"/>
      <c r="C235" s="714"/>
      <c r="D235" s="650"/>
      <c r="E235" s="715"/>
      <c r="F235" s="673"/>
      <c r="G235" s="983" t="str">
        <f>IFERROR(VLOOKUP(C235,FAOEP!$E$37:$G$43,2,FALSE),"")</f>
        <v/>
      </c>
      <c r="H235" s="675"/>
      <c r="I235" s="723"/>
      <c r="J235" s="725" t="str">
        <f t="shared" si="10"/>
        <v/>
      </c>
      <c r="K235" s="727"/>
      <c r="L235" s="1007"/>
      <c r="M235" s="1007"/>
      <c r="N235" s="1007"/>
      <c r="O235" s="1007"/>
      <c r="P235" s="980" t="str">
        <f>IF(FAOEP!AB178=0,"",FAOEP!AB178)</f>
        <v/>
      </c>
      <c r="Q235" s="981" t="str">
        <f>IF(FAOEP!AC178=0,"",FAOEP!AC178)</f>
        <v/>
      </c>
      <c r="R235" s="982" t="str">
        <f>IF(COUNT(I235,#REF!,#REF!)&gt;1,"ERRO: PREENCHA APENAS UMA DAS TRÊS OPÇÕES","")</f>
        <v/>
      </c>
    </row>
    <row r="236" spans="2:18" ht="15.75" hidden="1" outlineLevel="1" x14ac:dyDescent="0.25">
      <c r="B236" s="718"/>
      <c r="C236" s="714"/>
      <c r="D236" s="650"/>
      <c r="E236" s="715"/>
      <c r="F236" s="673"/>
      <c r="G236" s="983" t="str">
        <f>IFERROR(VLOOKUP(C236,FAOEP!$E$37:$G$43,2,FALSE),"")</f>
        <v/>
      </c>
      <c r="H236" s="675"/>
      <c r="I236" s="723"/>
      <c r="J236" s="725" t="str">
        <f t="shared" si="10"/>
        <v/>
      </c>
      <c r="K236" s="727"/>
      <c r="L236" s="1007"/>
      <c r="M236" s="1007"/>
      <c r="N236" s="1007"/>
      <c r="O236" s="1007"/>
      <c r="P236" s="980" t="str">
        <f>IF(FAOEP!AB179=0,"",FAOEP!AB179)</f>
        <v/>
      </c>
      <c r="Q236" s="981" t="str">
        <f>IF(FAOEP!AC179=0,"",FAOEP!AC179)</f>
        <v/>
      </c>
      <c r="R236" s="982" t="str">
        <f>IF(COUNT(I236,#REF!,#REF!)&gt;1,"ERRO: PREENCHA APENAS UMA DAS TRÊS OPÇÕES","")</f>
        <v/>
      </c>
    </row>
    <row r="237" spans="2:18" ht="15.75" hidden="1" outlineLevel="1" x14ac:dyDescent="0.25">
      <c r="B237" s="718"/>
      <c r="C237" s="714"/>
      <c r="D237" s="650"/>
      <c r="E237" s="715"/>
      <c r="F237" s="673"/>
      <c r="G237" s="983" t="str">
        <f>IFERROR(VLOOKUP(C237,FAOEP!$E$37:$G$43,2,FALSE),"")</f>
        <v/>
      </c>
      <c r="H237" s="675"/>
      <c r="I237" s="723"/>
      <c r="J237" s="725" t="str">
        <f t="shared" si="10"/>
        <v/>
      </c>
      <c r="K237" s="727"/>
      <c r="L237" s="1007"/>
      <c r="M237" s="1007"/>
      <c r="N237" s="1007"/>
      <c r="O237" s="1007"/>
      <c r="P237" s="980" t="str">
        <f>IF(FAOEP!AB180=0,"",FAOEP!AB180)</f>
        <v/>
      </c>
      <c r="Q237" s="981" t="str">
        <f>IF(FAOEP!AC180=0,"",FAOEP!AC180)</f>
        <v/>
      </c>
      <c r="R237" s="982" t="str">
        <f>IF(COUNT(I237,#REF!,#REF!)&gt;1,"ERRO: PREENCHA APENAS UMA DAS TRÊS OPÇÕES","")</f>
        <v/>
      </c>
    </row>
    <row r="238" spans="2:18" ht="15.75" hidden="1" outlineLevel="1" x14ac:dyDescent="0.25">
      <c r="B238" s="718"/>
      <c r="C238" s="714"/>
      <c r="D238" s="650"/>
      <c r="E238" s="715"/>
      <c r="F238" s="673"/>
      <c r="G238" s="983" t="str">
        <f>IFERROR(VLOOKUP(C238,FAOEP!$E$37:$G$43,2,FALSE),"")</f>
        <v/>
      </c>
      <c r="H238" s="675"/>
      <c r="I238" s="723"/>
      <c r="J238" s="725" t="str">
        <f t="shared" si="10"/>
        <v/>
      </c>
      <c r="K238" s="727"/>
      <c r="L238" s="1007"/>
      <c r="M238" s="1007"/>
      <c r="N238" s="1007"/>
      <c r="O238" s="1007"/>
      <c r="P238" s="980" t="str">
        <f>IF(FAOEP!AB181=0,"",FAOEP!AB181)</f>
        <v/>
      </c>
      <c r="Q238" s="981" t="str">
        <f>IF(FAOEP!AC181=0,"",FAOEP!AC181)</f>
        <v/>
      </c>
      <c r="R238" s="982" t="str">
        <f>IF(COUNT(I238,#REF!,#REF!)&gt;1,"ERRO: PREENCHA APENAS UMA DAS TRÊS OPÇÕES","")</f>
        <v/>
      </c>
    </row>
    <row r="239" spans="2:18" ht="15.75" hidden="1" outlineLevel="1" x14ac:dyDescent="0.25">
      <c r="B239" s="718"/>
      <c r="C239" s="714"/>
      <c r="D239" s="650"/>
      <c r="E239" s="715"/>
      <c r="F239" s="673"/>
      <c r="G239" s="983" t="str">
        <f>IFERROR(VLOOKUP(C239,FAOEP!$E$37:$G$43,2,FALSE),"")</f>
        <v/>
      </c>
      <c r="H239" s="675"/>
      <c r="I239" s="723"/>
      <c r="J239" s="725" t="str">
        <f t="shared" si="10"/>
        <v/>
      </c>
      <c r="K239" s="727"/>
      <c r="L239" s="1007"/>
      <c r="M239" s="1007"/>
      <c r="N239" s="1007"/>
      <c r="O239" s="1007"/>
      <c r="P239" s="980" t="str">
        <f>IF(FAOEP!AB182=0,"",FAOEP!AB182)</f>
        <v/>
      </c>
      <c r="Q239" s="981" t="str">
        <f>IF(FAOEP!AC182=0,"",FAOEP!AC182)</f>
        <v/>
      </c>
      <c r="R239" s="982" t="str">
        <f>IF(COUNT(I239,#REF!,#REF!)&gt;1,"ERRO: PREENCHA APENAS UMA DAS TRÊS OPÇÕES","")</f>
        <v/>
      </c>
    </row>
    <row r="240" spans="2:18" ht="15.75" hidden="1" outlineLevel="1" x14ac:dyDescent="0.25">
      <c r="B240" s="718"/>
      <c r="C240" s="714"/>
      <c r="D240" s="650"/>
      <c r="E240" s="715"/>
      <c r="F240" s="673"/>
      <c r="G240" s="983" t="str">
        <f>IFERROR(VLOOKUP(C240,FAOEP!$E$37:$G$43,2,FALSE),"")</f>
        <v/>
      </c>
      <c r="H240" s="675"/>
      <c r="I240" s="723"/>
      <c r="J240" s="725" t="str">
        <f t="shared" si="10"/>
        <v/>
      </c>
      <c r="K240" s="727"/>
      <c r="L240" s="1007"/>
      <c r="M240" s="1007"/>
      <c r="N240" s="1007"/>
      <c r="O240" s="1007"/>
      <c r="P240" s="980" t="str">
        <f>IF(FAOEP!AB183=0,"",FAOEP!AB183)</f>
        <v/>
      </c>
      <c r="Q240" s="981" t="str">
        <f>IF(FAOEP!AC183=0,"",FAOEP!AC183)</f>
        <v/>
      </c>
      <c r="R240" s="982" t="str">
        <f>IF(COUNT(I240,#REF!,#REF!)&gt;1,"ERRO: PREENCHA APENAS UMA DAS TRÊS OPÇÕES","")</f>
        <v/>
      </c>
    </row>
    <row r="241" spans="2:18" ht="15.75" hidden="1" outlineLevel="1" x14ac:dyDescent="0.25">
      <c r="B241" s="718"/>
      <c r="C241" s="714"/>
      <c r="D241" s="650"/>
      <c r="E241" s="715"/>
      <c r="F241" s="673"/>
      <c r="G241" s="983" t="str">
        <f>IFERROR(VLOOKUP(C241,FAOEP!$E$37:$G$43,2,FALSE),"")</f>
        <v/>
      </c>
      <c r="H241" s="675"/>
      <c r="I241" s="723"/>
      <c r="J241" s="725" t="str">
        <f t="shared" si="10"/>
        <v/>
      </c>
      <c r="K241" s="727"/>
      <c r="L241" s="1007"/>
      <c r="M241" s="1007"/>
      <c r="N241" s="1007"/>
      <c r="O241" s="1007"/>
      <c r="P241" s="980" t="str">
        <f>IF(FAOEP!AB184=0,"",FAOEP!AB184)</f>
        <v/>
      </c>
      <c r="Q241" s="981" t="str">
        <f>IF(FAOEP!AC184=0,"",FAOEP!AC184)</f>
        <v/>
      </c>
      <c r="R241" s="982" t="str">
        <f>IF(COUNT(I241,#REF!,#REF!)&gt;1,"ERRO: PREENCHA APENAS UMA DAS TRÊS OPÇÕES","")</f>
        <v/>
      </c>
    </row>
    <row r="242" spans="2:18" ht="15.75" hidden="1" outlineLevel="1" x14ac:dyDescent="0.25">
      <c r="B242" s="718"/>
      <c r="C242" s="714"/>
      <c r="D242" s="650"/>
      <c r="E242" s="715"/>
      <c r="F242" s="673"/>
      <c r="G242" s="983" t="str">
        <f>IFERROR(VLOOKUP(C242,FAOEP!$E$37:$G$43,2,FALSE),"")</f>
        <v/>
      </c>
      <c r="H242" s="675"/>
      <c r="I242" s="723"/>
      <c r="J242" s="725" t="str">
        <f t="shared" si="10"/>
        <v/>
      </c>
      <c r="K242" s="727"/>
      <c r="L242" s="1007"/>
      <c r="M242" s="1007"/>
      <c r="N242" s="1007"/>
      <c r="O242" s="1007"/>
      <c r="P242" s="980" t="str">
        <f>IF(FAOEP!AB185=0,"",FAOEP!AB185)</f>
        <v/>
      </c>
      <c r="Q242" s="981" t="str">
        <f>IF(FAOEP!AC185=0,"",FAOEP!AC185)</f>
        <v/>
      </c>
      <c r="R242" s="982" t="str">
        <f>IF(COUNT(I242,#REF!,#REF!)&gt;1,"ERRO: PREENCHA APENAS UMA DAS TRÊS OPÇÕES","")</f>
        <v/>
      </c>
    </row>
    <row r="243" spans="2:18" ht="15.75" hidden="1" outlineLevel="1" x14ac:dyDescent="0.25">
      <c r="B243" s="718"/>
      <c r="C243" s="714"/>
      <c r="D243" s="650"/>
      <c r="E243" s="715"/>
      <c r="F243" s="673"/>
      <c r="G243" s="983" t="str">
        <f>IFERROR(VLOOKUP(C243,FAOEP!$E$37:$G$43,2,FALSE),"")</f>
        <v/>
      </c>
      <c r="H243" s="675"/>
      <c r="I243" s="723"/>
      <c r="J243" s="725" t="str">
        <f t="shared" si="10"/>
        <v/>
      </c>
      <c r="K243" s="727"/>
      <c r="L243" s="1007"/>
      <c r="M243" s="1007"/>
      <c r="N243" s="1007"/>
      <c r="O243" s="1007"/>
      <c r="P243" s="980" t="str">
        <f>IF(FAOEP!AB186=0,"",FAOEP!AB186)</f>
        <v/>
      </c>
      <c r="Q243" s="981" t="str">
        <f>IF(FAOEP!AC186=0,"",FAOEP!AC186)</f>
        <v/>
      </c>
      <c r="R243" s="982" t="str">
        <f>IF(COUNT(I243,#REF!,#REF!)&gt;1,"ERRO: PREENCHA APENAS UMA DAS TRÊS OPÇÕES","")</f>
        <v/>
      </c>
    </row>
    <row r="244" spans="2:18" ht="15.75" hidden="1" outlineLevel="1" x14ac:dyDescent="0.25">
      <c r="B244" s="718"/>
      <c r="C244" s="714"/>
      <c r="D244" s="650"/>
      <c r="E244" s="715"/>
      <c r="F244" s="673"/>
      <c r="G244" s="983" t="str">
        <f>IFERROR(VLOOKUP(C244,FAOEP!$E$37:$G$43,2,FALSE),"")</f>
        <v/>
      </c>
      <c r="H244" s="675"/>
      <c r="I244" s="723"/>
      <c r="J244" s="725" t="str">
        <f t="shared" si="10"/>
        <v/>
      </c>
      <c r="K244" s="727"/>
      <c r="L244" s="1007"/>
      <c r="M244" s="1007"/>
      <c r="N244" s="1007"/>
      <c r="O244" s="1007"/>
      <c r="P244" s="980" t="str">
        <f>IF(FAOEP!AB187=0,"",FAOEP!AB187)</f>
        <v/>
      </c>
      <c r="Q244" s="981" t="str">
        <f>IF(FAOEP!AC187=0,"",FAOEP!AC187)</f>
        <v/>
      </c>
      <c r="R244" s="982" t="str">
        <f>IF(COUNT(I244,#REF!,#REF!)&gt;1,"ERRO: PREENCHA APENAS UMA DAS TRÊS OPÇÕES","")</f>
        <v/>
      </c>
    </row>
    <row r="245" spans="2:18" ht="15.75" hidden="1" outlineLevel="1" x14ac:dyDescent="0.25">
      <c r="B245" s="718"/>
      <c r="C245" s="714"/>
      <c r="D245" s="650"/>
      <c r="E245" s="715"/>
      <c r="F245" s="673"/>
      <c r="G245" s="983" t="str">
        <f>IFERROR(VLOOKUP(C245,FAOEP!$E$37:$G$43,2,FALSE),"")</f>
        <v/>
      </c>
      <c r="H245" s="675"/>
      <c r="I245" s="723"/>
      <c r="J245" s="725" t="str">
        <f t="shared" si="10"/>
        <v/>
      </c>
      <c r="K245" s="727"/>
      <c r="L245" s="1007"/>
      <c r="M245" s="1007"/>
      <c r="N245" s="1007"/>
      <c r="O245" s="1007"/>
      <c r="P245" s="980" t="str">
        <f>IF(FAOEP!AB188=0,"",FAOEP!AB188)</f>
        <v/>
      </c>
      <c r="Q245" s="981" t="str">
        <f>IF(FAOEP!AC188=0,"",FAOEP!AC188)</f>
        <v/>
      </c>
      <c r="R245" s="982" t="str">
        <f>IF(COUNT(I245,#REF!,#REF!)&gt;1,"ERRO: PREENCHA APENAS UMA DAS TRÊS OPÇÕES","")</f>
        <v/>
      </c>
    </row>
    <row r="246" spans="2:18" ht="15.75" hidden="1" outlineLevel="1" x14ac:dyDescent="0.25">
      <c r="B246" s="718"/>
      <c r="C246" s="714"/>
      <c r="D246" s="650"/>
      <c r="E246" s="715"/>
      <c r="F246" s="673"/>
      <c r="G246" s="983" t="str">
        <f>IFERROR(VLOOKUP(C246,FAOEP!$E$37:$G$43,2,FALSE),"")</f>
        <v/>
      </c>
      <c r="H246" s="675"/>
      <c r="I246" s="723"/>
      <c r="J246" s="725" t="str">
        <f t="shared" si="10"/>
        <v/>
      </c>
      <c r="K246" s="727"/>
      <c r="L246" s="1007"/>
      <c r="M246" s="1007"/>
      <c r="N246" s="1007"/>
      <c r="O246" s="1007"/>
      <c r="P246" s="980" t="str">
        <f>IF(FAOEP!AB189=0,"",FAOEP!AB189)</f>
        <v/>
      </c>
      <c r="Q246" s="981" t="str">
        <f>IF(FAOEP!AC189=0,"",FAOEP!AC189)</f>
        <v/>
      </c>
      <c r="R246" s="982" t="str">
        <f>IF(COUNT(I246,#REF!,#REF!)&gt;1,"ERRO: PREENCHA APENAS UMA DAS TRÊS OPÇÕES","")</f>
        <v/>
      </c>
    </row>
    <row r="247" spans="2:18" ht="15.75" hidden="1" outlineLevel="1" x14ac:dyDescent="0.25">
      <c r="B247" s="718"/>
      <c r="C247" s="714"/>
      <c r="D247" s="650"/>
      <c r="E247" s="715"/>
      <c r="F247" s="673"/>
      <c r="G247" s="983" t="str">
        <f>IFERROR(VLOOKUP(C247,FAOEP!$E$37:$G$43,2,FALSE),"")</f>
        <v/>
      </c>
      <c r="H247" s="675"/>
      <c r="I247" s="723"/>
      <c r="J247" s="725" t="str">
        <f t="shared" si="10"/>
        <v/>
      </c>
      <c r="K247" s="727"/>
      <c r="L247" s="1007"/>
      <c r="M247" s="1007"/>
      <c r="N247" s="1007"/>
      <c r="O247" s="1007"/>
      <c r="P247" s="980" t="str">
        <f>IF(FAOEP!AB190=0,"",FAOEP!AB190)</f>
        <v/>
      </c>
      <c r="Q247" s="981" t="str">
        <f>IF(FAOEP!AC190=0,"",FAOEP!AC190)</f>
        <v/>
      </c>
      <c r="R247" s="982" t="str">
        <f>IF(COUNT(I247,#REF!,#REF!)&gt;1,"ERRO: PREENCHA APENAS UMA DAS TRÊS OPÇÕES","")</f>
        <v/>
      </c>
    </row>
    <row r="248" spans="2:18" ht="15.75" hidden="1" outlineLevel="1" x14ac:dyDescent="0.25">
      <c r="B248" s="718"/>
      <c r="C248" s="714"/>
      <c r="D248" s="650"/>
      <c r="E248" s="715"/>
      <c r="F248" s="673"/>
      <c r="G248" s="983" t="str">
        <f>IFERROR(VLOOKUP(C248,FAOEP!$E$37:$G$43,2,FALSE),"")</f>
        <v/>
      </c>
      <c r="H248" s="675"/>
      <c r="I248" s="723"/>
      <c r="J248" s="725" t="str">
        <f t="shared" si="10"/>
        <v/>
      </c>
      <c r="K248" s="727"/>
      <c r="L248" s="1007"/>
      <c r="M248" s="1007"/>
      <c r="N248" s="1007"/>
      <c r="O248" s="1007"/>
      <c r="P248" s="980" t="str">
        <f>IF(FAOEP!AB191=0,"",FAOEP!AB191)</f>
        <v/>
      </c>
      <c r="Q248" s="981" t="str">
        <f>IF(FAOEP!AC191=0,"",FAOEP!AC191)</f>
        <v/>
      </c>
      <c r="R248" s="982" t="str">
        <f>IF(COUNT(I248,#REF!,#REF!)&gt;1,"ERRO: PREENCHA APENAS UMA DAS TRÊS OPÇÕES","")</f>
        <v/>
      </c>
    </row>
    <row r="249" spans="2:18" ht="15.75" hidden="1" outlineLevel="1" x14ac:dyDescent="0.25">
      <c r="B249" s="718"/>
      <c r="C249" s="714"/>
      <c r="D249" s="650"/>
      <c r="E249" s="715"/>
      <c r="F249" s="673"/>
      <c r="G249" s="983" t="str">
        <f>IFERROR(VLOOKUP(C249,FAOEP!$E$37:$G$43,2,FALSE),"")</f>
        <v/>
      </c>
      <c r="H249" s="675"/>
      <c r="I249" s="723"/>
      <c r="J249" s="725" t="str">
        <f t="shared" si="10"/>
        <v/>
      </c>
      <c r="K249" s="727"/>
      <c r="L249" s="1007"/>
      <c r="M249" s="1007"/>
      <c r="N249" s="1007"/>
      <c r="O249" s="1007"/>
      <c r="P249" s="980" t="str">
        <f>IF(FAOEP!AB192=0,"",FAOEP!AB192)</f>
        <v/>
      </c>
      <c r="Q249" s="981" t="str">
        <f>IF(FAOEP!AC192=0,"",FAOEP!AC192)</f>
        <v/>
      </c>
      <c r="R249" s="982" t="str">
        <f>IF(COUNT(I249,#REF!,#REF!)&gt;1,"ERRO: PREENCHA APENAS UMA DAS TRÊS OPÇÕES","")</f>
        <v/>
      </c>
    </row>
    <row r="250" spans="2:18" ht="15.75" hidden="1" outlineLevel="1" x14ac:dyDescent="0.25">
      <c r="B250" s="718"/>
      <c r="C250" s="714"/>
      <c r="D250" s="650"/>
      <c r="E250" s="715"/>
      <c r="F250" s="673"/>
      <c r="G250" s="983" t="str">
        <f>IFERROR(VLOOKUP(C250,FAOEP!$E$37:$G$43,2,FALSE),"")</f>
        <v/>
      </c>
      <c r="H250" s="675"/>
      <c r="I250" s="723"/>
      <c r="J250" s="725" t="str">
        <f t="shared" si="10"/>
        <v/>
      </c>
      <c r="K250" s="727"/>
      <c r="L250" s="1007"/>
      <c r="M250" s="1007"/>
      <c r="N250" s="1007"/>
      <c r="O250" s="1007"/>
      <c r="P250" s="980" t="str">
        <f>IF(FAOEP!AB193=0,"",FAOEP!AB193)</f>
        <v/>
      </c>
      <c r="Q250" s="981" t="str">
        <f>IF(FAOEP!AC193=0,"",FAOEP!AC193)</f>
        <v/>
      </c>
      <c r="R250" s="982" t="str">
        <f>IF(COUNT(I250,#REF!,#REF!)&gt;1,"ERRO: PREENCHA APENAS UMA DAS TRÊS OPÇÕES","")</f>
        <v/>
      </c>
    </row>
    <row r="251" spans="2:18" ht="15.75" hidden="1" outlineLevel="1" x14ac:dyDescent="0.25">
      <c r="B251" s="718"/>
      <c r="C251" s="714"/>
      <c r="D251" s="650"/>
      <c r="E251" s="715"/>
      <c r="F251" s="673"/>
      <c r="G251" s="983" t="str">
        <f>IFERROR(VLOOKUP(C251,FAOEP!$E$37:$G$43,2,FALSE),"")</f>
        <v/>
      </c>
      <c r="H251" s="675"/>
      <c r="I251" s="723"/>
      <c r="J251" s="725" t="str">
        <f t="shared" si="10"/>
        <v/>
      </c>
      <c r="K251" s="727"/>
      <c r="L251" s="1007"/>
      <c r="M251" s="1007"/>
      <c r="N251" s="1007"/>
      <c r="O251" s="1007"/>
      <c r="P251" s="980" t="str">
        <f>IF(FAOEP!AB194=0,"",FAOEP!AB194)</f>
        <v/>
      </c>
      <c r="Q251" s="981" t="str">
        <f>IF(FAOEP!AC194=0,"",FAOEP!AC194)</f>
        <v/>
      </c>
      <c r="R251" s="982" t="str">
        <f>IF(COUNT(I251,#REF!,#REF!)&gt;1,"ERRO: PREENCHA APENAS UMA DAS TRÊS OPÇÕES","")</f>
        <v/>
      </c>
    </row>
    <row r="252" spans="2:18" ht="15.75" hidden="1" outlineLevel="1" x14ac:dyDescent="0.25">
      <c r="B252" s="718"/>
      <c r="C252" s="714"/>
      <c r="D252" s="650"/>
      <c r="E252" s="715"/>
      <c r="F252" s="673"/>
      <c r="G252" s="983" t="str">
        <f>IFERROR(VLOOKUP(C252,FAOEP!$E$37:$G$43,2,FALSE),"")</f>
        <v/>
      </c>
      <c r="H252" s="675"/>
      <c r="I252" s="723"/>
      <c r="J252" s="725" t="str">
        <f t="shared" si="10"/>
        <v/>
      </c>
      <c r="K252" s="727"/>
      <c r="L252" s="1007"/>
      <c r="M252" s="1007"/>
      <c r="N252" s="1007"/>
      <c r="O252" s="1007"/>
      <c r="P252" s="980" t="str">
        <f>IF(FAOEP!AB195=0,"",FAOEP!AB195)</f>
        <v/>
      </c>
      <c r="Q252" s="981" t="str">
        <f>IF(FAOEP!AC195=0,"",FAOEP!AC195)</f>
        <v/>
      </c>
      <c r="R252" s="982" t="str">
        <f>IF(COUNT(I252,#REF!,#REF!)&gt;1,"ERRO: PREENCHA APENAS UMA DAS TRÊS OPÇÕES","")</f>
        <v/>
      </c>
    </row>
    <row r="253" spans="2:18" ht="15.75" hidden="1" outlineLevel="1" x14ac:dyDescent="0.25">
      <c r="B253" s="718"/>
      <c r="C253" s="714"/>
      <c r="D253" s="650"/>
      <c r="E253" s="715"/>
      <c r="F253" s="673"/>
      <c r="G253" s="983" t="str">
        <f>IFERROR(VLOOKUP(C253,FAOEP!$E$37:$G$43,2,FALSE),"")</f>
        <v/>
      </c>
      <c r="H253" s="675"/>
      <c r="I253" s="723"/>
      <c r="J253" s="725" t="str">
        <f t="shared" si="10"/>
        <v/>
      </c>
      <c r="K253" s="727"/>
      <c r="L253" s="1007"/>
      <c r="M253" s="1007"/>
      <c r="N253" s="1007"/>
      <c r="O253" s="1007"/>
      <c r="P253" s="980" t="str">
        <f>IF(FAOEP!AB196=0,"",FAOEP!AB196)</f>
        <v/>
      </c>
      <c r="Q253" s="981" t="str">
        <f>IF(FAOEP!AC196=0,"",FAOEP!AC196)</f>
        <v/>
      </c>
      <c r="R253" s="982" t="str">
        <f>IF(COUNT(I253,#REF!,#REF!)&gt;1,"ERRO: PREENCHA APENAS UMA DAS TRÊS OPÇÕES","")</f>
        <v/>
      </c>
    </row>
    <row r="254" spans="2:18" ht="15.75" hidden="1" outlineLevel="1" x14ac:dyDescent="0.25">
      <c r="B254" s="718"/>
      <c r="C254" s="714"/>
      <c r="D254" s="650"/>
      <c r="E254" s="715"/>
      <c r="F254" s="673"/>
      <c r="G254" s="983" t="str">
        <f>IFERROR(VLOOKUP(C254,FAOEP!$E$37:$G$43,2,FALSE),"")</f>
        <v/>
      </c>
      <c r="H254" s="675"/>
      <c r="I254" s="723"/>
      <c r="J254" s="725" t="str">
        <f t="shared" si="10"/>
        <v/>
      </c>
      <c r="K254" s="727"/>
      <c r="L254" s="1007"/>
      <c r="M254" s="1007"/>
      <c r="N254" s="1007"/>
      <c r="O254" s="1007"/>
      <c r="P254" s="980" t="str">
        <f>IF(FAOEP!AB197=0,"",FAOEP!AB197)</f>
        <v/>
      </c>
      <c r="Q254" s="981" t="str">
        <f>IF(FAOEP!AC197=0,"",FAOEP!AC197)</f>
        <v/>
      </c>
      <c r="R254" s="982" t="str">
        <f>IF(COUNT(I254,#REF!,#REF!)&gt;1,"ERRO: PREENCHA APENAS UMA DAS TRÊS OPÇÕES","")</f>
        <v/>
      </c>
    </row>
    <row r="255" spans="2:18" ht="15.75" hidden="1" outlineLevel="1" x14ac:dyDescent="0.25">
      <c r="B255" s="718"/>
      <c r="C255" s="714"/>
      <c r="D255" s="650"/>
      <c r="E255" s="715"/>
      <c r="F255" s="673"/>
      <c r="G255" s="983" t="str">
        <f>IFERROR(VLOOKUP(C255,FAOEP!$E$37:$G$43,2,FALSE),"")</f>
        <v/>
      </c>
      <c r="H255" s="675"/>
      <c r="I255" s="723"/>
      <c r="J255" s="725" t="str">
        <f t="shared" si="10"/>
        <v/>
      </c>
      <c r="K255" s="727"/>
      <c r="L255" s="1007"/>
      <c r="M255" s="1007"/>
      <c r="N255" s="1007"/>
      <c r="O255" s="1007"/>
      <c r="P255" s="980" t="str">
        <f>IF(FAOEP!AB198=0,"",FAOEP!AB198)</f>
        <v/>
      </c>
      <c r="Q255" s="981" t="str">
        <f>IF(FAOEP!AC198=0,"",FAOEP!AC198)</f>
        <v/>
      </c>
      <c r="R255" s="982" t="str">
        <f>IF(COUNT(I255,#REF!,#REF!)&gt;1,"ERRO: PREENCHA APENAS UMA DAS TRÊS OPÇÕES","")</f>
        <v/>
      </c>
    </row>
    <row r="256" spans="2:18" ht="15.75" hidden="1" outlineLevel="1" x14ac:dyDescent="0.25">
      <c r="B256" s="718"/>
      <c r="C256" s="714"/>
      <c r="D256" s="650"/>
      <c r="E256" s="715"/>
      <c r="F256" s="673"/>
      <c r="G256" s="983" t="str">
        <f>IFERROR(VLOOKUP(C256,FAOEP!$E$37:$G$43,2,FALSE),"")</f>
        <v/>
      </c>
      <c r="H256" s="675"/>
      <c r="I256" s="723"/>
      <c r="J256" s="725" t="str">
        <f t="shared" si="10"/>
        <v/>
      </c>
      <c r="K256" s="727"/>
      <c r="L256" s="1007"/>
      <c r="M256" s="1007"/>
      <c r="N256" s="1007"/>
      <c r="O256" s="1007"/>
      <c r="P256" s="980" t="str">
        <f>IF(FAOEP!AB199=0,"",FAOEP!AB199)</f>
        <v/>
      </c>
      <c r="Q256" s="981" t="str">
        <f>IF(FAOEP!AC199=0,"",FAOEP!AC199)</f>
        <v/>
      </c>
      <c r="R256" s="982" t="str">
        <f>IF(COUNT(I256,#REF!,#REF!)&gt;1,"ERRO: PREENCHA APENAS UMA DAS TRÊS OPÇÕES","")</f>
        <v/>
      </c>
    </row>
    <row r="257" spans="1:19" ht="15.75" hidden="1" outlineLevel="1" x14ac:dyDescent="0.25">
      <c r="B257" s="718"/>
      <c r="C257" s="714"/>
      <c r="D257" s="650"/>
      <c r="E257" s="715"/>
      <c r="F257" s="673"/>
      <c r="G257" s="983" t="str">
        <f>IFERROR(VLOOKUP(C257,FAOEP!$E$37:$G$43,2,FALSE),"")</f>
        <v/>
      </c>
      <c r="H257" s="675"/>
      <c r="I257" s="723"/>
      <c r="J257" s="725" t="str">
        <f t="shared" si="10"/>
        <v/>
      </c>
      <c r="K257" s="727"/>
      <c r="L257" s="1007"/>
      <c r="M257" s="1007"/>
      <c r="N257" s="1007"/>
      <c r="O257" s="1007"/>
      <c r="P257" s="980" t="str">
        <f>IF(FAOEP!AB200=0,"",FAOEP!AB200)</f>
        <v/>
      </c>
      <c r="Q257" s="981" t="str">
        <f>IF(FAOEP!AC200=0,"",FAOEP!AC200)</f>
        <v/>
      </c>
      <c r="R257" s="982" t="str">
        <f>IF(COUNT(I257,#REF!,#REF!)&gt;1,"ERRO: PREENCHA APENAS UMA DAS TRÊS OPÇÕES","")</f>
        <v/>
      </c>
    </row>
    <row r="258" spans="1:19" ht="15.75" hidden="1" outlineLevel="1" x14ac:dyDescent="0.25">
      <c r="B258" s="718"/>
      <c r="C258" s="714"/>
      <c r="D258" s="650"/>
      <c r="E258" s="715"/>
      <c r="F258" s="673"/>
      <c r="G258" s="983" t="str">
        <f>IFERROR(VLOOKUP(C258,FAOEP!$E$37:$G$43,2,FALSE),"")</f>
        <v/>
      </c>
      <c r="H258" s="675"/>
      <c r="I258" s="723"/>
      <c r="J258" s="725" t="str">
        <f t="shared" si="10"/>
        <v/>
      </c>
      <c r="K258" s="727"/>
      <c r="L258" s="1007"/>
      <c r="M258" s="1007"/>
      <c r="N258" s="1007"/>
      <c r="O258" s="1007"/>
      <c r="P258" s="980" t="str">
        <f>IF(FAOEP!AB201=0,"",FAOEP!AB201)</f>
        <v/>
      </c>
      <c r="Q258" s="981" t="str">
        <f>IF(FAOEP!AC201=0,"",FAOEP!AC201)</f>
        <v/>
      </c>
      <c r="R258" s="982" t="str">
        <f>IF(COUNT(I258,#REF!,#REF!)&gt;1,"ERRO: PREENCHA APENAS UMA DAS TRÊS OPÇÕES","")</f>
        <v/>
      </c>
    </row>
    <row r="259" spans="1:19" ht="15.75" hidden="1" outlineLevel="1" x14ac:dyDescent="0.25">
      <c r="B259" s="718"/>
      <c r="C259" s="714"/>
      <c r="D259" s="650"/>
      <c r="E259" s="715"/>
      <c r="F259" s="673"/>
      <c r="G259" s="983" t="str">
        <f>IFERROR(VLOOKUP(C259,FAOEP!$E$37:$G$43,2,FALSE),"")</f>
        <v/>
      </c>
      <c r="H259" s="675"/>
      <c r="I259" s="723"/>
      <c r="J259" s="725" t="str">
        <f t="shared" si="10"/>
        <v/>
      </c>
      <c r="K259" s="727"/>
      <c r="L259" s="1007"/>
      <c r="M259" s="1007"/>
      <c r="N259" s="1007"/>
      <c r="O259" s="1007"/>
      <c r="P259" s="980" t="str">
        <f>IF(FAOEP!AB202=0,"",FAOEP!AB202)</f>
        <v/>
      </c>
      <c r="Q259" s="981" t="str">
        <f>IF(FAOEP!AC202=0,"",FAOEP!AC202)</f>
        <v/>
      </c>
      <c r="R259" s="982" t="str">
        <f>IF(COUNT(I259,#REF!,#REF!)&gt;1,"ERRO: PREENCHA APENAS UMA DAS TRÊS OPÇÕES","")</f>
        <v/>
      </c>
    </row>
    <row r="260" spans="1:19" ht="15.75" hidden="1" outlineLevel="1" x14ac:dyDescent="0.25">
      <c r="B260" s="718"/>
      <c r="C260" s="714"/>
      <c r="D260" s="650"/>
      <c r="E260" s="715"/>
      <c r="F260" s="673"/>
      <c r="G260" s="983" t="str">
        <f>IFERROR(VLOOKUP(C260,FAOEP!$E$37:$G$43,2,FALSE),"")</f>
        <v/>
      </c>
      <c r="H260" s="675"/>
      <c r="I260" s="723"/>
      <c r="J260" s="725" t="str">
        <f t="shared" si="10"/>
        <v/>
      </c>
      <c r="K260" s="727"/>
      <c r="L260" s="1007"/>
      <c r="M260" s="1007"/>
      <c r="N260" s="1007"/>
      <c r="O260" s="1007"/>
      <c r="P260" s="980" t="str">
        <f>IF(FAOEP!AB203=0,"",FAOEP!AB203)</f>
        <v/>
      </c>
      <c r="Q260" s="981" t="str">
        <f>IF(FAOEP!AC203=0,"",FAOEP!AC203)</f>
        <v/>
      </c>
      <c r="R260" s="982" t="str">
        <f>IF(COUNT(I260,#REF!,#REF!)&gt;1,"ERRO: PREENCHA APENAS UMA DAS TRÊS OPÇÕES","")</f>
        <v/>
      </c>
    </row>
    <row r="261" spans="1:19" ht="15.75" hidden="1" outlineLevel="1" x14ac:dyDescent="0.25">
      <c r="B261" s="718"/>
      <c r="C261" s="714"/>
      <c r="D261" s="650"/>
      <c r="E261" s="715"/>
      <c r="F261" s="673"/>
      <c r="G261" s="983" t="str">
        <f>IFERROR(VLOOKUP(C261,FAOEP!$E$37:$G$43,2,FALSE),"")</f>
        <v/>
      </c>
      <c r="H261" s="675"/>
      <c r="I261" s="723"/>
      <c r="J261" s="725" t="str">
        <f t="shared" si="10"/>
        <v/>
      </c>
      <c r="K261" s="727"/>
      <c r="L261" s="1007"/>
      <c r="M261" s="1007"/>
      <c r="N261" s="1007"/>
      <c r="O261" s="1007"/>
      <c r="P261" s="980" t="str">
        <f>IF(FAOEP!AB204=0,"",FAOEP!AB204)</f>
        <v/>
      </c>
      <c r="Q261" s="981" t="str">
        <f>IF(FAOEP!AC204=0,"",FAOEP!AC204)</f>
        <v/>
      </c>
      <c r="R261" s="982" t="str">
        <f>IF(COUNT(I261,#REF!,#REF!)&gt;1,"ERRO: PREENCHA APENAS UMA DAS TRÊS OPÇÕES","")</f>
        <v/>
      </c>
    </row>
    <row r="262" spans="1:19" ht="15.75" hidden="1" outlineLevel="1" x14ac:dyDescent="0.25">
      <c r="B262" s="718"/>
      <c r="C262" s="714"/>
      <c r="D262" s="650"/>
      <c r="E262" s="715"/>
      <c r="F262" s="673"/>
      <c r="G262" s="983" t="str">
        <f>IFERROR(VLOOKUP(C262,FAOEP!$E$37:$G$43,2,FALSE),"")</f>
        <v/>
      </c>
      <c r="H262" s="675"/>
      <c r="I262" s="723"/>
      <c r="J262" s="725" t="str">
        <f t="shared" si="10"/>
        <v/>
      </c>
      <c r="K262" s="727"/>
      <c r="L262" s="1007"/>
      <c r="M262" s="1007"/>
      <c r="N262" s="1007"/>
      <c r="O262" s="1007"/>
      <c r="P262" s="980" t="str">
        <f>IF(FAOEP!AB205=0,"",FAOEP!AB205)</f>
        <v/>
      </c>
      <c r="Q262" s="981" t="str">
        <f>IF(FAOEP!AC205=0,"",FAOEP!AC205)</f>
        <v/>
      </c>
      <c r="R262" s="982" t="str">
        <f>IF(COUNT(I262,#REF!,#REF!)&gt;1,"ERRO: PREENCHA APENAS UMA DAS TRÊS OPÇÕES","")</f>
        <v/>
      </c>
    </row>
    <row r="263" spans="1:19" ht="15.75" hidden="1" outlineLevel="1" x14ac:dyDescent="0.25">
      <c r="B263" s="718"/>
      <c r="C263" s="714"/>
      <c r="D263" s="650"/>
      <c r="E263" s="715"/>
      <c r="F263" s="673"/>
      <c r="G263" s="983" t="str">
        <f>IFERROR(VLOOKUP(C263,FAOEP!$E$37:$G$43,2,FALSE),"")</f>
        <v/>
      </c>
      <c r="H263" s="675"/>
      <c r="I263" s="723"/>
      <c r="J263" s="725" t="str">
        <f t="shared" si="10"/>
        <v/>
      </c>
      <c r="K263" s="727"/>
      <c r="L263" s="1007"/>
      <c r="M263" s="1007"/>
      <c r="N263" s="1007"/>
      <c r="O263" s="1007"/>
      <c r="P263" s="980" t="str">
        <f>IF(FAOEP!AB206=0,"",FAOEP!AB206)</f>
        <v/>
      </c>
      <c r="Q263" s="981" t="str">
        <f>IF(FAOEP!AC206=0,"",FAOEP!AC206)</f>
        <v/>
      </c>
      <c r="R263" s="982" t="str">
        <f>IF(COUNT(I263,#REF!,#REF!)&gt;1,"ERRO: PREENCHA APENAS UMA DAS TRÊS OPÇÕES","")</f>
        <v/>
      </c>
    </row>
    <row r="264" spans="1:19" ht="15.75" hidden="1" outlineLevel="1" x14ac:dyDescent="0.25">
      <c r="B264" s="718"/>
      <c r="C264" s="714"/>
      <c r="D264" s="650"/>
      <c r="E264" s="715"/>
      <c r="F264" s="673"/>
      <c r="G264" s="983" t="str">
        <f>IFERROR(VLOOKUP(C264,FAOEP!$E$37:$G$43,2,FALSE),"")</f>
        <v/>
      </c>
      <c r="H264" s="675"/>
      <c r="I264" s="723"/>
      <c r="J264" s="725" t="str">
        <f t="shared" si="10"/>
        <v/>
      </c>
      <c r="K264" s="727"/>
      <c r="L264" s="1007"/>
      <c r="M264" s="1007"/>
      <c r="N264" s="1007"/>
      <c r="O264" s="1007"/>
      <c r="P264" s="980" t="str">
        <f>IF(FAOEP!AB207=0,"",FAOEP!AB207)</f>
        <v/>
      </c>
      <c r="Q264" s="981" t="str">
        <f>IF(FAOEP!AC207=0,"",FAOEP!AC207)</f>
        <v/>
      </c>
      <c r="R264" s="982" t="str">
        <f>IF(COUNT(I264,#REF!,#REF!)&gt;1,"ERRO: PREENCHA APENAS UMA DAS TRÊS OPÇÕES","")</f>
        <v/>
      </c>
    </row>
    <row r="265" spans="1:19" ht="24.6" customHeight="1" collapsed="1" x14ac:dyDescent="0.25">
      <c r="B265" s="605" t="s">
        <v>37</v>
      </c>
      <c r="C265" s="605"/>
      <c r="D265" s="605"/>
      <c r="E265" s="605"/>
      <c r="F265" s="984"/>
      <c r="G265" s="605"/>
      <c r="H265" s="605"/>
      <c r="I265" s="985"/>
      <c r="J265" s="605"/>
      <c r="K265" s="605"/>
      <c r="L265" s="986"/>
      <c r="M265" s="986"/>
      <c r="N265" s="986"/>
      <c r="O265" s="986"/>
      <c r="P265" s="987"/>
      <c r="Q265" s="988">
        <f>SUM(Q165:Q264)</f>
        <v>0</v>
      </c>
      <c r="R265" s="989"/>
    </row>
    <row r="266" spans="1:19" s="168" customFormat="1" ht="24.6" customHeight="1" x14ac:dyDescent="0.25">
      <c r="B266" s="990"/>
      <c r="C266" s="991"/>
      <c r="D266" s="991"/>
      <c r="E266" s="991"/>
      <c r="F266" s="991"/>
      <c r="G266" s="991"/>
      <c r="H266" s="991"/>
      <c r="I266" s="991"/>
      <c r="J266" s="991"/>
      <c r="K266" s="991"/>
      <c r="L266" s="991"/>
      <c r="M266" s="991"/>
      <c r="N266" s="991"/>
      <c r="O266" s="991"/>
      <c r="P266" s="991"/>
      <c r="Q266" s="991"/>
      <c r="R266" s="992"/>
    </row>
    <row r="267" spans="1:19" s="168" customFormat="1" ht="24.6" customHeight="1" x14ac:dyDescent="0.25">
      <c r="B267" s="942"/>
      <c r="C267" s="943"/>
      <c r="D267" s="943"/>
      <c r="E267" s="943"/>
      <c r="F267" s="943"/>
      <c r="G267" s="943"/>
      <c r="H267" s="944"/>
      <c r="I267" s="944"/>
      <c r="J267" s="944"/>
    </row>
    <row r="268" spans="1:19" s="168" customFormat="1" ht="24.6" customHeight="1" x14ac:dyDescent="0.25">
      <c r="B268" s="942"/>
      <c r="C268" s="943"/>
      <c r="D268" s="943"/>
      <c r="E268" s="943"/>
      <c r="F268" s="943"/>
      <c r="G268" s="943"/>
      <c r="H268" s="944"/>
      <c r="I268" s="944"/>
      <c r="J268" s="944"/>
    </row>
    <row r="269" spans="1:19" s="231" customFormat="1" ht="30" customHeight="1" x14ac:dyDescent="0.25">
      <c r="A269" s="949"/>
      <c r="B269" s="231" t="s">
        <v>1521</v>
      </c>
    </row>
    <row r="270" spans="1:19" ht="15.75" x14ac:dyDescent="0.25"/>
    <row r="271" spans="1:19" ht="15.75" x14ac:dyDescent="0.25"/>
    <row r="272" spans="1:19" ht="15.75" x14ac:dyDescent="0.25">
      <c r="B272" s="837" t="s">
        <v>0</v>
      </c>
      <c r="C272" s="778"/>
      <c r="D272" s="778"/>
      <c r="E272" s="778"/>
      <c r="F272" s="778"/>
      <c r="G272" s="778"/>
      <c r="H272" s="778"/>
      <c r="I272" s="168"/>
      <c r="J272" s="168"/>
      <c r="K272" s="168"/>
      <c r="L272" s="168"/>
      <c r="M272" s="168"/>
      <c r="N272" s="168"/>
      <c r="O272" s="168"/>
      <c r="P272" s="168"/>
      <c r="Q272" s="168"/>
      <c r="R272" s="168"/>
      <c r="S272" s="168"/>
    </row>
    <row r="273" spans="2:27" ht="15.75" x14ac:dyDescent="0.25">
      <c r="B273" s="838" t="s">
        <v>1506</v>
      </c>
      <c r="C273" s="778"/>
      <c r="D273" s="778"/>
      <c r="E273" s="778"/>
      <c r="F273" s="778"/>
      <c r="G273" s="778"/>
      <c r="H273" s="778"/>
      <c r="I273" s="168"/>
      <c r="J273" s="168"/>
      <c r="K273" s="168"/>
      <c r="L273" s="168"/>
      <c r="M273" s="168"/>
      <c r="N273" s="168"/>
      <c r="O273" s="168"/>
      <c r="P273" s="168"/>
      <c r="Q273" s="168"/>
      <c r="R273" s="168"/>
      <c r="S273" s="168"/>
    </row>
    <row r="274" spans="2:27" ht="19.899999999999999" customHeight="1" x14ac:dyDescent="0.25">
      <c r="B274" s="778" t="s">
        <v>1252</v>
      </c>
      <c r="C274" s="928"/>
      <c r="D274" s="928"/>
      <c r="E274" s="928"/>
      <c r="F274" s="928"/>
      <c r="G274" s="928"/>
      <c r="H274" s="928"/>
      <c r="I274" s="926"/>
      <c r="J274" s="926"/>
      <c r="K274" s="926"/>
      <c r="L274" s="926"/>
      <c r="M274" s="926"/>
      <c r="N274" s="926"/>
      <c r="O274" s="926"/>
      <c r="P274" s="927"/>
      <c r="Q274" s="927"/>
      <c r="R274" s="929"/>
      <c r="S274" s="929"/>
      <c r="T274" s="196"/>
      <c r="U274" s="196"/>
      <c r="V274" s="196"/>
      <c r="W274" s="196"/>
      <c r="X274" s="196"/>
      <c r="Y274" s="196"/>
      <c r="Z274" s="196"/>
      <c r="AA274" s="197"/>
    </row>
    <row r="275" spans="2:27" ht="19.899999999999999" customHeight="1" x14ac:dyDescent="0.25">
      <c r="B275" s="778" t="s">
        <v>1431</v>
      </c>
      <c r="C275" s="928"/>
      <c r="D275" s="928"/>
      <c r="E275" s="928"/>
      <c r="F275" s="928"/>
      <c r="G275" s="928"/>
      <c r="H275" s="928"/>
      <c r="I275" s="926"/>
      <c r="J275" s="926"/>
      <c r="K275" s="926"/>
      <c r="L275" s="926"/>
      <c r="M275" s="926"/>
      <c r="N275" s="926"/>
      <c r="O275" s="926"/>
      <c r="P275" s="926"/>
      <c r="Q275" s="927"/>
      <c r="R275" s="929"/>
      <c r="S275" s="929"/>
      <c r="T275" s="196"/>
      <c r="U275" s="196"/>
      <c r="V275" s="196"/>
      <c r="W275" s="196"/>
      <c r="X275" s="196"/>
      <c r="Y275" s="196"/>
      <c r="Z275" s="196"/>
      <c r="AA275" s="197"/>
    </row>
    <row r="276" spans="2:27" ht="19.899999999999999" customHeight="1" x14ac:dyDescent="0.25">
      <c r="B276" s="778" t="s">
        <v>1677</v>
      </c>
      <c r="C276" s="928"/>
      <c r="D276" s="928"/>
      <c r="E276" s="928"/>
      <c r="F276" s="928"/>
      <c r="G276" s="928"/>
      <c r="H276" s="928"/>
      <c r="I276" s="926"/>
      <c r="J276" s="926"/>
      <c r="K276" s="926"/>
      <c r="L276" s="926"/>
      <c r="M276" s="926"/>
      <c r="N276" s="926"/>
      <c r="O276" s="926"/>
      <c r="P276" s="926"/>
      <c r="Q276" s="927"/>
      <c r="R276" s="929"/>
      <c r="S276" s="929"/>
      <c r="T276" s="196"/>
      <c r="U276" s="196"/>
      <c r="V276" s="196"/>
      <c r="W276" s="196"/>
      <c r="X276" s="196"/>
      <c r="Y276" s="196"/>
      <c r="Z276" s="196"/>
      <c r="AA276" s="197"/>
    </row>
    <row r="277" spans="2:27" ht="19.899999999999999" customHeight="1" x14ac:dyDescent="0.25">
      <c r="B277" s="778" t="s">
        <v>1432</v>
      </c>
      <c r="C277" s="928"/>
      <c r="D277" s="928"/>
      <c r="E277" s="928"/>
      <c r="F277" s="928"/>
      <c r="G277" s="928"/>
      <c r="H277" s="928"/>
      <c r="I277" s="926"/>
      <c r="J277" s="926"/>
      <c r="K277" s="926"/>
      <c r="L277" s="926"/>
      <c r="M277" s="926"/>
      <c r="N277" s="926"/>
      <c r="O277" s="926"/>
      <c r="P277" s="926"/>
      <c r="Q277" s="927"/>
      <c r="R277" s="929"/>
      <c r="S277" s="929"/>
      <c r="T277" s="196"/>
      <c r="U277" s="196"/>
      <c r="V277" s="196"/>
      <c r="W277" s="196"/>
      <c r="X277" s="196"/>
      <c r="Y277" s="196"/>
      <c r="Z277" s="196"/>
      <c r="AA277" s="197"/>
    </row>
    <row r="278" spans="2:27" ht="15.75" x14ac:dyDescent="0.25">
      <c r="B278" s="778" t="s">
        <v>1678</v>
      </c>
      <c r="C278" s="928"/>
      <c r="D278" s="928"/>
      <c r="E278" s="928"/>
      <c r="F278" s="928"/>
      <c r="G278" s="928"/>
      <c r="H278" s="928"/>
      <c r="I278" s="926"/>
      <c r="J278" s="926"/>
      <c r="K278" s="926"/>
      <c r="L278" s="926"/>
      <c r="M278" s="926"/>
      <c r="N278" s="926"/>
      <c r="O278" s="926"/>
      <c r="P278" s="926"/>
      <c r="Q278" s="927"/>
      <c r="R278" s="927"/>
      <c r="S278" s="927"/>
      <c r="T278" s="198"/>
      <c r="U278" s="198"/>
      <c r="V278" s="198"/>
      <c r="W278" s="198"/>
      <c r="X278" s="198"/>
      <c r="Y278" s="198"/>
      <c r="Z278" s="198"/>
      <c r="AA278" s="198"/>
    </row>
    <row r="279" spans="2:27" ht="19.899999999999999" customHeight="1" x14ac:dyDescent="0.25">
      <c r="B279" s="950"/>
      <c r="C279" s="950"/>
      <c r="D279" s="950"/>
      <c r="E279" s="950"/>
      <c r="F279" s="950"/>
      <c r="G279" s="950"/>
      <c r="H279" s="950"/>
      <c r="I279" s="993"/>
      <c r="J279" s="993"/>
      <c r="K279" s="993"/>
      <c r="L279" s="993"/>
      <c r="M279" s="993"/>
      <c r="N279" s="993"/>
      <c r="O279" s="993"/>
      <c r="P279" s="993"/>
      <c r="Q279" s="927"/>
      <c r="R279" s="927"/>
      <c r="S279" s="927"/>
      <c r="T279" s="198"/>
      <c r="U279" s="198"/>
      <c r="V279" s="198"/>
      <c r="W279" s="198"/>
      <c r="X279" s="198"/>
      <c r="Y279" s="198"/>
      <c r="Z279" s="198"/>
      <c r="AA279" s="198"/>
    </row>
    <row r="280" spans="2:27" ht="15.75" x14ac:dyDescent="0.25"/>
    <row r="281" spans="2:27" ht="15.75" x14ac:dyDescent="0.25">
      <c r="I281" s="173"/>
    </row>
    <row r="282" spans="2:27" ht="30" customHeight="1" x14ac:dyDescent="0.25">
      <c r="B282" s="459" t="s">
        <v>1427</v>
      </c>
    </row>
    <row r="283" spans="2:27" s="168" customFormat="1" ht="24.6" customHeight="1" x14ac:dyDescent="0.25">
      <c r="B283" s="1286" t="s">
        <v>780</v>
      </c>
      <c r="C283" s="1310" t="s">
        <v>1517</v>
      </c>
      <c r="D283" s="1313" t="s">
        <v>1399</v>
      </c>
      <c r="E283" s="1313" t="s">
        <v>1404</v>
      </c>
      <c r="F283" s="1310" t="s">
        <v>1679</v>
      </c>
      <c r="G283" s="1310" t="s">
        <v>1518</v>
      </c>
      <c r="H283" s="1310" t="s">
        <v>1681</v>
      </c>
    </row>
    <row r="284" spans="2:27" s="168" customFormat="1" ht="51.75" customHeight="1" x14ac:dyDescent="0.25">
      <c r="B284" s="1309"/>
      <c r="C284" s="1311"/>
      <c r="D284" s="1314"/>
      <c r="E284" s="1314"/>
      <c r="F284" s="1311"/>
      <c r="G284" s="1311"/>
      <c r="H284" s="1311"/>
    </row>
    <row r="285" spans="2:27" s="168" customFormat="1" ht="24.6" customHeight="1" x14ac:dyDescent="0.25">
      <c r="B285" s="1287"/>
      <c r="C285" s="1042" t="s">
        <v>896</v>
      </c>
      <c r="D285" s="1315"/>
      <c r="E285" s="1315"/>
      <c r="F285" s="1312"/>
      <c r="G285" s="1043" t="s">
        <v>896</v>
      </c>
      <c r="H285" s="1042" t="s">
        <v>896</v>
      </c>
    </row>
    <row r="286" spans="2:27" s="168" customFormat="1" ht="45" customHeight="1" x14ac:dyDescent="0.25">
      <c r="B286" s="994" t="s">
        <v>1430</v>
      </c>
      <c r="C286" s="995">
        <v>10000</v>
      </c>
      <c r="D286" s="994" t="s">
        <v>1509</v>
      </c>
      <c r="E286" s="994" t="s">
        <v>1406</v>
      </c>
      <c r="F286" s="996">
        <v>0.7</v>
      </c>
      <c r="G286" s="997">
        <v>0</v>
      </c>
      <c r="H286" s="997">
        <v>17639.999999999996</v>
      </c>
    </row>
    <row r="287" spans="2:27" s="168" customFormat="1" ht="45" customHeight="1" x14ac:dyDescent="0.25">
      <c r="B287" s="1008"/>
      <c r="C287" s="1009"/>
      <c r="D287" s="1010"/>
      <c r="E287" s="1010"/>
      <c r="F287" s="1011"/>
      <c r="G287" s="1012"/>
      <c r="H287" s="998" t="str">
        <f>FAOEP!M219</f>
        <v/>
      </c>
    </row>
    <row r="288" spans="2:27" s="168" customFormat="1" ht="45" customHeight="1" x14ac:dyDescent="0.25">
      <c r="B288" s="1008"/>
      <c r="C288" s="1009"/>
      <c r="D288" s="1010"/>
      <c r="E288" s="1010"/>
      <c r="F288" s="1011"/>
      <c r="G288" s="1012"/>
      <c r="H288" s="998" t="str">
        <f>FAOEP!M220</f>
        <v/>
      </c>
      <c r="I288" s="944"/>
      <c r="J288" s="944"/>
    </row>
    <row r="289" spans="2:10" s="168" customFormat="1" ht="45" customHeight="1" x14ac:dyDescent="0.25">
      <c r="B289" s="1008"/>
      <c r="C289" s="1009"/>
      <c r="D289" s="1010"/>
      <c r="E289" s="1010"/>
      <c r="F289" s="1011"/>
      <c r="G289" s="1012"/>
      <c r="H289" s="998" t="str">
        <f>FAOEP!M221</f>
        <v/>
      </c>
      <c r="I289" s="944"/>
      <c r="J289" s="944"/>
    </row>
    <row r="290" spans="2:10" s="168" customFormat="1" ht="45" customHeight="1" x14ac:dyDescent="0.25">
      <c r="B290" s="1008"/>
      <c r="C290" s="1009"/>
      <c r="D290" s="1010"/>
      <c r="E290" s="1010"/>
      <c r="F290" s="1011"/>
      <c r="G290" s="1012"/>
      <c r="H290" s="998" t="str">
        <f>FAOEP!M222</f>
        <v/>
      </c>
      <c r="I290" s="944"/>
      <c r="J290" s="944"/>
    </row>
    <row r="291" spans="2:10" s="168" customFormat="1" ht="45" customHeight="1" x14ac:dyDescent="0.25">
      <c r="B291" s="1008"/>
      <c r="C291" s="1009"/>
      <c r="D291" s="1010"/>
      <c r="E291" s="1010"/>
      <c r="F291" s="1011"/>
      <c r="G291" s="1012"/>
      <c r="H291" s="998" t="str">
        <f>FAOEP!M223</f>
        <v/>
      </c>
      <c r="I291" s="944"/>
      <c r="J291" s="944"/>
    </row>
    <row r="292" spans="2:10" s="168" customFormat="1" ht="45" customHeight="1" x14ac:dyDescent="0.25">
      <c r="B292" s="1008"/>
      <c r="C292" s="1009"/>
      <c r="D292" s="1010"/>
      <c r="E292" s="1010"/>
      <c r="F292" s="1011"/>
      <c r="G292" s="1012"/>
      <c r="H292" s="998" t="str">
        <f>FAOEP!M224</f>
        <v/>
      </c>
      <c r="I292" s="944"/>
      <c r="J292" s="944"/>
    </row>
    <row r="293" spans="2:10" s="168" customFormat="1" ht="45" customHeight="1" x14ac:dyDescent="0.25">
      <c r="B293" s="1008"/>
      <c r="C293" s="1009"/>
      <c r="D293" s="1010"/>
      <c r="E293" s="1010"/>
      <c r="F293" s="1011"/>
      <c r="G293" s="1012"/>
      <c r="H293" s="998" t="str">
        <f>FAOEP!M225</f>
        <v/>
      </c>
      <c r="I293" s="944"/>
      <c r="J293" s="944"/>
    </row>
    <row r="294" spans="2:10" s="168" customFormat="1" ht="45" hidden="1" customHeight="1" outlineLevel="1" x14ac:dyDescent="0.25">
      <c r="B294" s="1008"/>
      <c r="C294" s="1009"/>
      <c r="D294" s="1010"/>
      <c r="E294" s="1010"/>
      <c r="F294" s="1011"/>
      <c r="G294" s="1012"/>
      <c r="H294" s="998" t="str">
        <f>FAOEP!M226</f>
        <v/>
      </c>
      <c r="I294" s="944"/>
      <c r="J294" s="944"/>
    </row>
    <row r="295" spans="2:10" s="168" customFormat="1" ht="45" hidden="1" customHeight="1" outlineLevel="1" x14ac:dyDescent="0.25">
      <c r="B295" s="1008"/>
      <c r="C295" s="1009"/>
      <c r="D295" s="1010"/>
      <c r="E295" s="1010"/>
      <c r="F295" s="1011"/>
      <c r="G295" s="1012"/>
      <c r="H295" s="998" t="str">
        <f>FAOEP!M227</f>
        <v/>
      </c>
      <c r="I295" s="944"/>
      <c r="J295" s="944"/>
    </row>
    <row r="296" spans="2:10" s="168" customFormat="1" ht="45" hidden="1" customHeight="1" outlineLevel="1" x14ac:dyDescent="0.25">
      <c r="B296" s="1008"/>
      <c r="C296" s="1009"/>
      <c r="D296" s="1010"/>
      <c r="E296" s="1010"/>
      <c r="F296" s="1011"/>
      <c r="G296" s="1012"/>
      <c r="H296" s="998" t="str">
        <f>FAOEP!M228</f>
        <v/>
      </c>
      <c r="I296" s="944"/>
      <c r="J296" s="944"/>
    </row>
    <row r="297" spans="2:10" s="168" customFormat="1" ht="45" hidden="1" customHeight="1" outlineLevel="1" x14ac:dyDescent="0.25">
      <c r="B297" s="1008"/>
      <c r="C297" s="1009"/>
      <c r="D297" s="1010"/>
      <c r="E297" s="1010"/>
      <c r="F297" s="1011"/>
      <c r="G297" s="1012"/>
      <c r="H297" s="998" t="str">
        <f>FAOEP!M229</f>
        <v/>
      </c>
      <c r="I297" s="944"/>
      <c r="J297" s="944"/>
    </row>
    <row r="298" spans="2:10" s="168" customFormat="1" ht="45" hidden="1" customHeight="1" outlineLevel="1" x14ac:dyDescent="0.25">
      <c r="B298" s="1008"/>
      <c r="C298" s="1009"/>
      <c r="D298" s="1010"/>
      <c r="E298" s="1010"/>
      <c r="F298" s="1011"/>
      <c r="G298" s="1012"/>
      <c r="H298" s="998" t="str">
        <f>FAOEP!M230</f>
        <v/>
      </c>
      <c r="I298" s="944"/>
      <c r="J298" s="944"/>
    </row>
    <row r="299" spans="2:10" s="168" customFormat="1" ht="45" hidden="1" customHeight="1" outlineLevel="1" x14ac:dyDescent="0.25">
      <c r="B299" s="1008"/>
      <c r="C299" s="1009"/>
      <c r="D299" s="1010"/>
      <c r="E299" s="1010"/>
      <c r="F299" s="1011"/>
      <c r="G299" s="1012"/>
      <c r="H299" s="998" t="str">
        <f>FAOEP!M231</f>
        <v/>
      </c>
      <c r="I299" s="944"/>
      <c r="J299" s="944"/>
    </row>
    <row r="300" spans="2:10" s="168" customFormat="1" ht="45" hidden="1" customHeight="1" outlineLevel="1" x14ac:dyDescent="0.25">
      <c r="B300" s="1008"/>
      <c r="C300" s="1009"/>
      <c r="D300" s="1010"/>
      <c r="E300" s="1010"/>
      <c r="F300" s="1011"/>
      <c r="G300" s="1012"/>
      <c r="H300" s="998" t="str">
        <f>FAOEP!M232</f>
        <v/>
      </c>
      <c r="I300" s="944"/>
      <c r="J300" s="944"/>
    </row>
    <row r="301" spans="2:10" s="168" customFormat="1" ht="45" hidden="1" customHeight="1" outlineLevel="1" x14ac:dyDescent="0.25">
      <c r="B301" s="1008"/>
      <c r="C301" s="1009"/>
      <c r="D301" s="1010"/>
      <c r="E301" s="1010"/>
      <c r="F301" s="1011"/>
      <c r="G301" s="1012"/>
      <c r="H301" s="998" t="str">
        <f>FAOEP!M233</f>
        <v/>
      </c>
      <c r="I301" s="944"/>
      <c r="J301" s="944"/>
    </row>
    <row r="302" spans="2:10" s="168" customFormat="1" ht="45" hidden="1" customHeight="1" outlineLevel="1" x14ac:dyDescent="0.25">
      <c r="B302" s="1008"/>
      <c r="C302" s="1009"/>
      <c r="D302" s="1010"/>
      <c r="E302" s="1010"/>
      <c r="F302" s="1011"/>
      <c r="G302" s="1012"/>
      <c r="H302" s="998" t="str">
        <f>FAOEP!M234</f>
        <v/>
      </c>
      <c r="I302" s="944"/>
      <c r="J302" s="944"/>
    </row>
    <row r="303" spans="2:10" s="168" customFormat="1" ht="45" hidden="1" customHeight="1" outlineLevel="1" x14ac:dyDescent="0.25">
      <c r="B303" s="1008"/>
      <c r="C303" s="1009"/>
      <c r="D303" s="1010"/>
      <c r="E303" s="1010"/>
      <c r="F303" s="1011"/>
      <c r="G303" s="1012"/>
      <c r="H303" s="998" t="str">
        <f>FAOEP!M235</f>
        <v/>
      </c>
      <c r="I303" s="944"/>
      <c r="J303" s="944"/>
    </row>
    <row r="304" spans="2:10" s="168" customFormat="1" ht="45" hidden="1" customHeight="1" outlineLevel="1" x14ac:dyDescent="0.25">
      <c r="B304" s="1008"/>
      <c r="C304" s="1009"/>
      <c r="D304" s="1010"/>
      <c r="E304" s="1010"/>
      <c r="F304" s="1011"/>
      <c r="G304" s="1012"/>
      <c r="H304" s="998" t="str">
        <f>FAOEP!M236</f>
        <v/>
      </c>
      <c r="I304" s="944"/>
      <c r="J304" s="944"/>
    </row>
    <row r="305" spans="1:10" s="168" customFormat="1" ht="45" hidden="1" customHeight="1" outlineLevel="1" x14ac:dyDescent="0.25">
      <c r="B305" s="1008"/>
      <c r="C305" s="1009"/>
      <c r="D305" s="1010"/>
      <c r="E305" s="1010"/>
      <c r="F305" s="1011"/>
      <c r="G305" s="1012"/>
      <c r="H305" s="998" t="str">
        <f>FAOEP!M237</f>
        <v/>
      </c>
      <c r="I305" s="944"/>
      <c r="J305" s="944"/>
    </row>
    <row r="306" spans="1:10" s="168" customFormat="1" ht="45" hidden="1" customHeight="1" outlineLevel="1" x14ac:dyDescent="0.25">
      <c r="B306" s="1008"/>
      <c r="C306" s="1009"/>
      <c r="D306" s="1010"/>
      <c r="E306" s="1010"/>
      <c r="F306" s="1011"/>
      <c r="G306" s="1012"/>
      <c r="H306" s="998" t="str">
        <f>FAOEP!M238</f>
        <v/>
      </c>
      <c r="I306" s="944"/>
      <c r="J306" s="944"/>
    </row>
    <row r="307" spans="1:10" s="168" customFormat="1" ht="45" hidden="1" customHeight="1" outlineLevel="1" x14ac:dyDescent="0.25">
      <c r="B307" s="1013"/>
      <c r="C307" s="1014"/>
      <c r="D307" s="1015"/>
      <c r="E307" s="1015"/>
      <c r="F307" s="1016"/>
      <c r="G307" s="1017"/>
      <c r="H307" s="999" t="str">
        <f>FAOEP!M239</f>
        <v/>
      </c>
      <c r="I307" s="944"/>
      <c r="J307" s="944"/>
    </row>
    <row r="308" spans="1:10" s="168" customFormat="1" ht="24.6" customHeight="1" collapsed="1" x14ac:dyDescent="0.25">
      <c r="B308" s="937" t="s">
        <v>37</v>
      </c>
      <c r="C308" s="938"/>
      <c r="D308" s="938"/>
      <c r="E308" s="938"/>
      <c r="F308" s="938"/>
      <c r="G308" s="938"/>
      <c r="H308" s="1000">
        <f>SUM(H287:H307)</f>
        <v>0</v>
      </c>
      <c r="I308" s="944"/>
      <c r="J308" s="944"/>
    </row>
    <row r="309" spans="1:10" s="168" customFormat="1" ht="24.6" customHeight="1" x14ac:dyDescent="0.25">
      <c r="B309" s="942"/>
      <c r="C309" s="943"/>
      <c r="D309" s="943"/>
      <c r="E309" s="943"/>
      <c r="F309" s="943"/>
      <c r="G309" s="943"/>
      <c r="H309" s="944"/>
      <c r="I309" s="944"/>
      <c r="J309" s="944"/>
    </row>
    <row r="310" spans="1:10" s="168" customFormat="1" ht="24.6" customHeight="1" x14ac:dyDescent="0.25">
      <c r="B310" s="942"/>
      <c r="C310" s="943"/>
      <c r="D310" s="943"/>
      <c r="E310" s="943"/>
      <c r="F310" s="943"/>
      <c r="G310" s="943"/>
      <c r="H310" s="944"/>
      <c r="I310" s="944"/>
      <c r="J310" s="944"/>
    </row>
    <row r="311" spans="1:10" s="168" customFormat="1" ht="24.6" customHeight="1" x14ac:dyDescent="0.25">
      <c r="B311" s="942"/>
      <c r="C311" s="943"/>
      <c r="D311" s="943"/>
      <c r="E311" s="943"/>
      <c r="F311" s="943"/>
      <c r="G311" s="943"/>
      <c r="H311" s="944"/>
      <c r="I311" s="944"/>
      <c r="J311" s="944"/>
    </row>
    <row r="312" spans="1:10" s="231" customFormat="1" ht="30" customHeight="1" x14ac:dyDescent="0.25">
      <c r="A312" s="949"/>
      <c r="B312" s="231" t="s">
        <v>604</v>
      </c>
    </row>
    <row r="313" spans="1:10" ht="15.75" x14ac:dyDescent="0.25"/>
    <row r="314" spans="1:10" ht="15.75" x14ac:dyDescent="0.25"/>
    <row r="315" spans="1:10" ht="34.5" x14ac:dyDescent="0.25">
      <c r="F315" s="1001" t="s">
        <v>1680</v>
      </c>
    </row>
    <row r="316" spans="1:10" ht="15.75" x14ac:dyDescent="0.25">
      <c r="C316" s="1238" t="s">
        <v>1095</v>
      </c>
      <c r="D316" s="1239"/>
      <c r="E316" s="1240"/>
      <c r="F316" s="1002">
        <f>F317+F320+F323</f>
        <v>0</v>
      </c>
    </row>
    <row r="317" spans="1:10" ht="15.75" x14ac:dyDescent="0.25">
      <c r="C317" s="1238" t="s">
        <v>1249</v>
      </c>
      <c r="D317" s="1239"/>
      <c r="E317" s="1240"/>
      <c r="F317" s="948">
        <f>-F318+F319</f>
        <v>0</v>
      </c>
    </row>
    <row r="318" spans="1:10" ht="15.75" x14ac:dyDescent="0.25">
      <c r="C318" s="855" t="s">
        <v>1250</v>
      </c>
      <c r="D318" s="856"/>
      <c r="E318" s="857"/>
      <c r="F318" s="1003">
        <f>L143</f>
        <v>0</v>
      </c>
      <c r="G318" s="166" t="s">
        <v>1670</v>
      </c>
    </row>
    <row r="319" spans="1:10" ht="15.75" x14ac:dyDescent="0.25">
      <c r="C319" s="855" t="s">
        <v>1251</v>
      </c>
      <c r="D319" s="856"/>
      <c r="E319" s="857"/>
      <c r="F319" s="1003">
        <f>N143</f>
        <v>0</v>
      </c>
    </row>
    <row r="320" spans="1:10" ht="15.75" x14ac:dyDescent="0.25">
      <c r="C320" s="855" t="s">
        <v>1303</v>
      </c>
      <c r="D320" s="856"/>
      <c r="E320" s="857"/>
      <c r="F320" s="948">
        <f>Q265</f>
        <v>0</v>
      </c>
      <c r="G320" s="1004">
        <f>F320+F323</f>
        <v>0</v>
      </c>
    </row>
    <row r="321" spans="3:8" ht="15.75" x14ac:dyDescent="0.25">
      <c r="C321" s="1238" t="s">
        <v>1304</v>
      </c>
      <c r="D321" s="1239"/>
      <c r="E321" s="1240"/>
      <c r="F321" s="1003">
        <f>SUMIF(C165:C264,FAOEP!E42,'Outras emissões de processo'!Q165:Q264)</f>
        <v>0</v>
      </c>
    </row>
    <row r="322" spans="3:8" ht="15.75" x14ac:dyDescent="0.25">
      <c r="C322" s="1238" t="s">
        <v>1316</v>
      </c>
      <c r="D322" s="1239"/>
      <c r="E322" s="1240"/>
      <c r="F322" s="1003">
        <f>F320-F321</f>
        <v>0</v>
      </c>
    </row>
    <row r="323" spans="3:8" ht="15.75" x14ac:dyDescent="0.25">
      <c r="C323" s="1238" t="s">
        <v>1428</v>
      </c>
      <c r="D323" s="1239"/>
      <c r="E323" s="1240"/>
      <c r="F323" s="948">
        <f>H308</f>
        <v>0</v>
      </c>
      <c r="G323" s="966"/>
      <c r="H323" s="966"/>
    </row>
    <row r="324" spans="3:8" ht="15.75" x14ac:dyDescent="0.25">
      <c r="F324" s="166" t="s">
        <v>1671</v>
      </c>
    </row>
    <row r="325" spans="3:8" ht="15.75" x14ac:dyDescent="0.25">
      <c r="F325" s="1005"/>
    </row>
    <row r="326" spans="3:8" ht="15.75" x14ac:dyDescent="0.25"/>
    <row r="327" spans="3:8" ht="15.75" x14ac:dyDescent="0.25"/>
    <row r="328" spans="3:8" ht="15.75" x14ac:dyDescent="0.25"/>
    <row r="329" spans="3:8" ht="15.75" x14ac:dyDescent="0.25"/>
    <row r="330" spans="3:8" ht="15.75" x14ac:dyDescent="0.25"/>
    <row r="331" spans="3:8" ht="15.75" x14ac:dyDescent="0.25"/>
    <row r="332" spans="3:8" ht="15.75" x14ac:dyDescent="0.25"/>
    <row r="333" spans="3:8" ht="15.75" x14ac:dyDescent="0.25"/>
    <row r="334" spans="3:8" ht="15.75" x14ac:dyDescent="0.25"/>
    <row r="335" spans="3:8" ht="14.45" customHeight="1" x14ac:dyDescent="0.25"/>
    <row r="336" spans="3:8" ht="14.45" customHeight="1" x14ac:dyDescent="0.25"/>
    <row r="337" ht="14.45" customHeight="1" x14ac:dyDescent="0.25"/>
    <row r="338" ht="14.45" customHeight="1" x14ac:dyDescent="0.25"/>
    <row r="339" ht="14.45" customHeight="1" x14ac:dyDescent="0.25"/>
    <row r="340" ht="14.45" customHeight="1" x14ac:dyDescent="0.25"/>
    <row r="341" ht="14.45" customHeight="1" x14ac:dyDescent="0.25"/>
    <row r="342" ht="14.45" customHeight="1" x14ac:dyDescent="0.25"/>
    <row r="343" ht="14.45" customHeight="1" x14ac:dyDescent="0.25"/>
    <row r="344" ht="14.45" customHeight="1" x14ac:dyDescent="0.25"/>
    <row r="345" ht="14.45" customHeight="1" x14ac:dyDescent="0.25"/>
    <row r="346" ht="14.45" customHeight="1" x14ac:dyDescent="0.25"/>
    <row r="347" ht="14.45" customHeight="1" x14ac:dyDescent="0.25"/>
    <row r="348" ht="14.45" customHeight="1" x14ac:dyDescent="0.25"/>
    <row r="349" ht="14.45" customHeight="1" x14ac:dyDescent="0.25"/>
    <row r="350" ht="14.45" customHeight="1" x14ac:dyDescent="0.25"/>
    <row r="351" ht="14.45" customHeight="1" x14ac:dyDescent="0.25"/>
    <row r="352" ht="14.45" customHeight="1" x14ac:dyDescent="0.25"/>
    <row r="353" ht="14.45" customHeight="1" x14ac:dyDescent="0.25"/>
    <row r="354" ht="14.45" customHeight="1" x14ac:dyDescent="0.25"/>
    <row r="355" ht="14.45" customHeight="1" x14ac:dyDescent="0.25"/>
    <row r="356" ht="14.45" customHeight="1" x14ac:dyDescent="0.25"/>
    <row r="357" ht="14.45" customHeight="1" x14ac:dyDescent="0.25"/>
    <row r="358" ht="14.45" customHeight="1" x14ac:dyDescent="0.25"/>
    <row r="359" ht="14.45" customHeight="1" x14ac:dyDescent="0.25"/>
    <row r="360" ht="14.45" customHeight="1" x14ac:dyDescent="0.25"/>
    <row r="361" ht="14.45" customHeight="1" x14ac:dyDescent="0.25"/>
    <row r="362" ht="14.45" customHeight="1" x14ac:dyDescent="0.25"/>
    <row r="363" ht="14.45" customHeight="1" x14ac:dyDescent="0.25"/>
    <row r="364" ht="14.45" customHeight="1" x14ac:dyDescent="0.25"/>
    <row r="365" ht="14.45" customHeight="1" x14ac:dyDescent="0.25"/>
    <row r="366" ht="14.45" customHeight="1" x14ac:dyDescent="0.25"/>
    <row r="367" ht="14.45" customHeight="1" x14ac:dyDescent="0.25"/>
    <row r="368" ht="14.45" customHeight="1" x14ac:dyDescent="0.25"/>
    <row r="369" ht="14.45" customHeight="1" x14ac:dyDescent="0.25"/>
    <row r="370" ht="14.45" customHeight="1" x14ac:dyDescent="0.25"/>
    <row r="371" ht="14.45" customHeight="1" x14ac:dyDescent="0.25"/>
    <row r="372" ht="14.45" customHeight="1" x14ac:dyDescent="0.25"/>
    <row r="373" ht="14.45" customHeight="1" x14ac:dyDescent="0.25"/>
    <row r="374" ht="14.45" customHeight="1" x14ac:dyDescent="0.25"/>
    <row r="375" ht="14.45" customHeight="1" x14ac:dyDescent="0.25"/>
    <row r="376" ht="14.45" customHeight="1" x14ac:dyDescent="0.25"/>
    <row r="377" ht="14.45" customHeight="1" x14ac:dyDescent="0.25"/>
    <row r="378" ht="14.45" customHeight="1" x14ac:dyDescent="0.25"/>
    <row r="379" ht="14.45" customHeight="1" x14ac:dyDescent="0.25"/>
    <row r="380" ht="14.45" customHeight="1" x14ac:dyDescent="0.25"/>
    <row r="381" ht="14.45" customHeight="1" x14ac:dyDescent="0.25"/>
    <row r="382" ht="14.45" customHeight="1" x14ac:dyDescent="0.25"/>
    <row r="383" ht="14.45" customHeight="1" x14ac:dyDescent="0.25"/>
    <row r="384" ht="14.45" customHeight="1" x14ac:dyDescent="0.25"/>
    <row r="385" ht="14.45" customHeight="1" x14ac:dyDescent="0.25"/>
    <row r="386" ht="14.45" customHeight="1" x14ac:dyDescent="0.25"/>
    <row r="387" ht="14.45" customHeight="1" x14ac:dyDescent="0.25"/>
    <row r="388" ht="14.45" customHeight="1" x14ac:dyDescent="0.25"/>
    <row r="389" ht="14.45" customHeight="1" x14ac:dyDescent="0.25"/>
    <row r="390" ht="14.45" customHeight="1" x14ac:dyDescent="0.25"/>
    <row r="391" ht="14.45" customHeight="1" x14ac:dyDescent="0.25"/>
    <row r="392" ht="14.45" customHeight="1" x14ac:dyDescent="0.25"/>
    <row r="393" ht="14.45" customHeight="1" x14ac:dyDescent="0.25"/>
    <row r="394" ht="14.45" customHeight="1" x14ac:dyDescent="0.25"/>
    <row r="395" ht="14.45" customHeight="1" x14ac:dyDescent="0.25"/>
    <row r="396" ht="14.45" customHeight="1" x14ac:dyDescent="0.25"/>
    <row r="397" ht="14.45" customHeight="1" x14ac:dyDescent="0.25"/>
    <row r="398" ht="14.45" customHeight="1" x14ac:dyDescent="0.25"/>
    <row r="399" ht="14.45" customHeight="1" x14ac:dyDescent="0.25"/>
    <row r="400" ht="14.45" customHeight="1" x14ac:dyDescent="0.25"/>
    <row r="401" ht="14.45" customHeight="1" x14ac:dyDescent="0.25"/>
    <row r="402" ht="14.45" customHeight="1" x14ac:dyDescent="0.25"/>
    <row r="403" ht="14.45" customHeight="1" x14ac:dyDescent="0.25"/>
    <row r="404" ht="14.45" customHeight="1" x14ac:dyDescent="0.25"/>
    <row r="405" ht="14.45" customHeight="1" x14ac:dyDescent="0.25"/>
    <row r="406" ht="14.45" customHeight="1" x14ac:dyDescent="0.25"/>
    <row r="407" ht="14.45" customHeight="1" x14ac:dyDescent="0.25"/>
    <row r="408" ht="14.45" customHeight="1" x14ac:dyDescent="0.25"/>
    <row r="409" ht="14.45" customHeight="1" x14ac:dyDescent="0.25"/>
    <row r="410" ht="14.45" customHeight="1" x14ac:dyDescent="0.25"/>
    <row r="411" ht="14.45" customHeight="1" x14ac:dyDescent="0.25"/>
    <row r="412" ht="14.45" customHeight="1" x14ac:dyDescent="0.25"/>
    <row r="413" ht="14.45" customHeight="1" x14ac:dyDescent="0.25"/>
    <row r="414" ht="14.45" customHeight="1" x14ac:dyDescent="0.25"/>
    <row r="415" ht="14.45" customHeight="1" x14ac:dyDescent="0.25"/>
    <row r="416" ht="14.45" customHeight="1" x14ac:dyDescent="0.25"/>
    <row r="417" ht="14.45" customHeight="1" x14ac:dyDescent="0.25"/>
    <row r="418" ht="14.45" customHeight="1" x14ac:dyDescent="0.25"/>
    <row r="419" ht="14.45" customHeight="1" x14ac:dyDescent="0.25"/>
    <row r="420" ht="14.45" customHeight="1" x14ac:dyDescent="0.25"/>
    <row r="421" ht="14.45" customHeight="1" x14ac:dyDescent="0.25"/>
    <row r="422" ht="14.45" customHeight="1" x14ac:dyDescent="0.25"/>
    <row r="423" ht="14.45" customHeight="1" x14ac:dyDescent="0.25"/>
    <row r="424" ht="14.45" customHeight="1" x14ac:dyDescent="0.25"/>
    <row r="425" ht="14.45" customHeight="1" x14ac:dyDescent="0.25"/>
    <row r="426" ht="14.45" customHeight="1" x14ac:dyDescent="0.25"/>
    <row r="427" ht="14.45" customHeight="1" x14ac:dyDescent="0.25"/>
    <row r="428" ht="14.45" customHeight="1" x14ac:dyDescent="0.25"/>
    <row r="429" ht="14.45" customHeight="1" x14ac:dyDescent="0.25"/>
    <row r="430" ht="14.45" customHeight="1" x14ac:dyDescent="0.25"/>
    <row r="431" ht="14.45" customHeight="1" x14ac:dyDescent="0.25"/>
    <row r="432" ht="14.45" customHeight="1" x14ac:dyDescent="0.25"/>
    <row r="433" ht="14.45" customHeight="1" x14ac:dyDescent="0.25"/>
    <row r="434" ht="14.45" customHeight="1" x14ac:dyDescent="0.25"/>
    <row r="435" ht="14.45" customHeight="1" x14ac:dyDescent="0.25"/>
    <row r="436" ht="14.45" customHeight="1" x14ac:dyDescent="0.25"/>
    <row r="437" ht="14.45" customHeight="1" x14ac:dyDescent="0.25"/>
    <row r="438" ht="14.45" customHeight="1" x14ac:dyDescent="0.25"/>
    <row r="439" ht="14.45" customHeight="1" x14ac:dyDescent="0.25"/>
    <row r="440" ht="14.45" customHeight="1" x14ac:dyDescent="0.25"/>
    <row r="441" ht="14.45" customHeight="1" x14ac:dyDescent="0.25"/>
    <row r="442" ht="14.45" customHeight="1" x14ac:dyDescent="0.25"/>
    <row r="443" ht="14.45" customHeight="1" x14ac:dyDescent="0.25"/>
    <row r="444" ht="14.45" customHeight="1" x14ac:dyDescent="0.25"/>
    <row r="445" ht="14.45" customHeight="1" x14ac:dyDescent="0.25"/>
    <row r="446" ht="14.45" customHeight="1" x14ac:dyDescent="0.25"/>
    <row r="447" ht="14.45" customHeight="1" x14ac:dyDescent="0.25"/>
    <row r="448" ht="14.45" customHeight="1" x14ac:dyDescent="0.25"/>
    <row r="449" ht="14.45" customHeight="1" x14ac:dyDescent="0.25"/>
    <row r="450" ht="14.45" customHeight="1" x14ac:dyDescent="0.25"/>
    <row r="451" ht="14.45" customHeight="1" x14ac:dyDescent="0.25"/>
    <row r="452" ht="14.45" customHeight="1" x14ac:dyDescent="0.25"/>
    <row r="453" ht="14.45" customHeight="1" x14ac:dyDescent="0.25"/>
    <row r="454" ht="14.45" customHeight="1" x14ac:dyDescent="0.25"/>
    <row r="455" ht="14.45" customHeight="1" x14ac:dyDescent="0.25"/>
    <row r="456" ht="14.45" customHeight="1" x14ac:dyDescent="0.25"/>
    <row r="457" ht="14.45" customHeight="1" x14ac:dyDescent="0.25"/>
    <row r="458" ht="14.45" customHeight="1" x14ac:dyDescent="0.25"/>
    <row r="459" ht="14.45" customHeight="1" x14ac:dyDescent="0.25"/>
    <row r="460" ht="14.45" customHeight="1" x14ac:dyDescent="0.25"/>
    <row r="461" ht="14.45" customHeight="1" x14ac:dyDescent="0.25"/>
    <row r="462" ht="14.45" customHeight="1" x14ac:dyDescent="0.25"/>
    <row r="463" ht="14.45" customHeight="1" x14ac:dyDescent="0.25"/>
    <row r="464" ht="14.45" customHeight="1" x14ac:dyDescent="0.25"/>
    <row r="465" ht="14.45" customHeight="1" x14ac:dyDescent="0.25"/>
    <row r="466" ht="14.45" customHeight="1" x14ac:dyDescent="0.25"/>
    <row r="467" ht="14.45" customHeight="1" x14ac:dyDescent="0.25"/>
    <row r="468" ht="14.45" customHeight="1" x14ac:dyDescent="0.25"/>
    <row r="469" ht="14.45" customHeight="1" x14ac:dyDescent="0.25"/>
    <row r="470" ht="14.45" customHeight="1" x14ac:dyDescent="0.25"/>
    <row r="471" ht="14.45" customHeight="1" x14ac:dyDescent="0.25"/>
    <row r="472" ht="14.45" customHeight="1" x14ac:dyDescent="0.25"/>
    <row r="473" ht="14.45" customHeight="1" x14ac:dyDescent="0.25"/>
    <row r="474" ht="14.45" customHeight="1" x14ac:dyDescent="0.25"/>
    <row r="475" ht="14.45" customHeight="1" x14ac:dyDescent="0.25"/>
    <row r="476" ht="14.45" customHeight="1" x14ac:dyDescent="0.25"/>
    <row r="477" ht="14.45" customHeight="1" x14ac:dyDescent="0.25"/>
    <row r="478" ht="14.45" customHeight="1" x14ac:dyDescent="0.25"/>
    <row r="479" ht="14.45" customHeight="1" x14ac:dyDescent="0.25"/>
    <row r="480" ht="14.45" customHeight="1" x14ac:dyDescent="0.25"/>
    <row r="481" ht="14.45" customHeight="1" x14ac:dyDescent="0.25"/>
    <row r="482" ht="14.45" customHeight="1" x14ac:dyDescent="0.25"/>
    <row r="483" ht="14.45" customHeight="1" x14ac:dyDescent="0.25"/>
    <row r="484" ht="14.45" customHeight="1" x14ac:dyDescent="0.25"/>
    <row r="485" ht="14.45" customHeight="1" x14ac:dyDescent="0.25"/>
    <row r="486" ht="14.45" customHeight="1" x14ac:dyDescent="0.25"/>
    <row r="487" ht="14.45" customHeight="1" x14ac:dyDescent="0.25"/>
    <row r="488" ht="14.45" customHeight="1" x14ac:dyDescent="0.25"/>
    <row r="489" ht="14.45" customHeight="1" x14ac:dyDescent="0.25"/>
    <row r="490" ht="14.45" customHeight="1" x14ac:dyDescent="0.25"/>
    <row r="491" ht="14.45" customHeight="1" x14ac:dyDescent="0.25"/>
    <row r="492" ht="14.45" customHeight="1" x14ac:dyDescent="0.25"/>
    <row r="493" ht="14.45" customHeight="1" x14ac:dyDescent="0.25"/>
    <row r="494" ht="14.45" customHeight="1" x14ac:dyDescent="0.25"/>
    <row r="495" ht="14.45" customHeight="1" x14ac:dyDescent="0.25"/>
    <row r="496" ht="14.45" customHeight="1" x14ac:dyDescent="0.25"/>
    <row r="497" ht="14.45" customHeight="1" x14ac:dyDescent="0.25"/>
    <row r="498" ht="14.45" customHeight="1" x14ac:dyDescent="0.25"/>
    <row r="499" ht="14.45" customHeight="1" x14ac:dyDescent="0.25"/>
    <row r="500" ht="14.45" customHeight="1" x14ac:dyDescent="0.25"/>
    <row r="501" ht="14.45" customHeight="1" x14ac:dyDescent="0.25"/>
    <row r="502" ht="14.45" customHeight="1" x14ac:dyDescent="0.25"/>
    <row r="503" ht="14.45" customHeight="1" x14ac:dyDescent="0.25"/>
    <row r="504" ht="14.45" customHeight="1" x14ac:dyDescent="0.25"/>
    <row r="505" ht="14.45" customHeight="1" x14ac:dyDescent="0.25"/>
    <row r="506" ht="14.45" customHeight="1" x14ac:dyDescent="0.25"/>
    <row r="507" ht="14.45" customHeight="1" x14ac:dyDescent="0.25"/>
    <row r="508" ht="14.45" customHeight="1" x14ac:dyDescent="0.25"/>
    <row r="509" ht="14.45" customHeight="1" x14ac:dyDescent="0.25"/>
    <row r="510" ht="14.45" customHeight="1" x14ac:dyDescent="0.25"/>
    <row r="511" ht="14.45" customHeight="1" x14ac:dyDescent="0.25"/>
    <row r="512" ht="14.45" customHeight="1" x14ac:dyDescent="0.25"/>
    <row r="513" ht="14.45" customHeight="1" x14ac:dyDescent="0.25"/>
    <row r="514" ht="14.45" customHeight="1" x14ac:dyDescent="0.25"/>
    <row r="515" ht="14.45" customHeight="1" x14ac:dyDescent="0.25"/>
    <row r="516" ht="14.45" customHeight="1" x14ac:dyDescent="0.25"/>
    <row r="517" ht="14.45" customHeight="1" x14ac:dyDescent="0.25"/>
    <row r="518" ht="14.45" customHeight="1" x14ac:dyDescent="0.25"/>
    <row r="519" ht="14.45" customHeight="1" x14ac:dyDescent="0.25"/>
    <row r="520" ht="14.45" customHeight="1" x14ac:dyDescent="0.25"/>
    <row r="521" ht="14.45" customHeight="1" x14ac:dyDescent="0.25"/>
    <row r="522" ht="14.45" customHeight="1" x14ac:dyDescent="0.25"/>
    <row r="523" ht="14.45" customHeight="1" x14ac:dyDescent="0.25"/>
    <row r="524" ht="14.45" customHeight="1" x14ac:dyDescent="0.25"/>
    <row r="525" ht="14.45" customHeight="1" x14ac:dyDescent="0.25"/>
    <row r="526" ht="14.45" customHeight="1" x14ac:dyDescent="0.25"/>
    <row r="527" ht="14.45" customHeight="1" x14ac:dyDescent="0.25"/>
    <row r="528" ht="14.45" customHeight="1" x14ac:dyDescent="0.25"/>
    <row r="529" ht="14.45" customHeight="1" x14ac:dyDescent="0.25"/>
    <row r="530" ht="14.45" customHeight="1" x14ac:dyDescent="0.25"/>
    <row r="531" ht="14.45" customHeight="1" x14ac:dyDescent="0.25"/>
    <row r="532" ht="14.45" customHeight="1" x14ac:dyDescent="0.25"/>
    <row r="533" ht="14.45" customHeight="1" x14ac:dyDescent="0.25"/>
    <row r="534" ht="14.45" customHeight="1" x14ac:dyDescent="0.25"/>
    <row r="535" ht="14.45" customHeight="1" x14ac:dyDescent="0.25"/>
    <row r="536" ht="14.45" customHeight="1" x14ac:dyDescent="0.25"/>
    <row r="537" ht="14.45" customHeight="1" x14ac:dyDescent="0.25"/>
    <row r="538" ht="14.45" customHeight="1" x14ac:dyDescent="0.25"/>
    <row r="539" ht="14.45" customHeight="1" x14ac:dyDescent="0.25"/>
    <row r="540" ht="14.45" customHeight="1" x14ac:dyDescent="0.25"/>
    <row r="541" ht="14.45" customHeight="1" x14ac:dyDescent="0.25"/>
    <row r="542" ht="14.45" customHeight="1" x14ac:dyDescent="0.25"/>
    <row r="543" ht="14.45" customHeight="1" x14ac:dyDescent="0.25"/>
    <row r="544" ht="14.45" customHeight="1" x14ac:dyDescent="0.25"/>
    <row r="545" ht="14.45" customHeight="1" x14ac:dyDescent="0.25"/>
    <row r="546" ht="14.45" customHeight="1" x14ac:dyDescent="0.25"/>
    <row r="547" ht="14.45" customHeight="1" x14ac:dyDescent="0.25"/>
    <row r="548" ht="14.45" customHeight="1" x14ac:dyDescent="0.25"/>
    <row r="549" ht="14.45" customHeight="1" x14ac:dyDescent="0.25"/>
    <row r="550" ht="14.45" customHeight="1" x14ac:dyDescent="0.25"/>
    <row r="551" ht="14.45" customHeight="1" x14ac:dyDescent="0.25"/>
    <row r="552" ht="14.45" customHeight="1" x14ac:dyDescent="0.25"/>
    <row r="553" ht="14.45" customHeight="1" x14ac:dyDescent="0.25"/>
    <row r="554" ht="14.45" customHeight="1" x14ac:dyDescent="0.25"/>
    <row r="555" ht="14.45" customHeight="1" x14ac:dyDescent="0.25"/>
    <row r="556" ht="14.45" customHeight="1" x14ac:dyDescent="0.25"/>
    <row r="557" ht="14.45" customHeight="1" x14ac:dyDescent="0.25"/>
    <row r="558" ht="14.45" customHeight="1" x14ac:dyDescent="0.25"/>
    <row r="559" ht="14.45" customHeight="1" x14ac:dyDescent="0.25"/>
    <row r="560" ht="14.45" customHeight="1" x14ac:dyDescent="0.25"/>
    <row r="561" ht="14.45" customHeight="1" x14ac:dyDescent="0.25"/>
    <row r="562" ht="14.45" customHeight="1" x14ac:dyDescent="0.25"/>
    <row r="563" ht="14.45" customHeight="1" x14ac:dyDescent="0.25"/>
    <row r="564" ht="14.45" customHeight="1" x14ac:dyDescent="0.25"/>
    <row r="565" ht="14.45" customHeight="1" x14ac:dyDescent="0.25"/>
    <row r="566" ht="14.45" customHeight="1" x14ac:dyDescent="0.25"/>
    <row r="567" ht="14.45" customHeight="1" x14ac:dyDescent="0.25"/>
    <row r="568" ht="14.45" customHeight="1" x14ac:dyDescent="0.25"/>
    <row r="569" ht="14.45" customHeight="1" x14ac:dyDescent="0.25"/>
    <row r="570" ht="14.45" customHeight="1" x14ac:dyDescent="0.25"/>
    <row r="571" ht="14.45" customHeight="1" x14ac:dyDescent="0.25"/>
    <row r="572" ht="14.45" customHeight="1" x14ac:dyDescent="0.25"/>
    <row r="573" ht="14.45" customHeight="1" x14ac:dyDescent="0.25"/>
    <row r="574" ht="14.45" customHeight="1" x14ac:dyDescent="0.25"/>
    <row r="575" ht="14.45" customHeight="1" x14ac:dyDescent="0.25"/>
    <row r="576" ht="14.45" customHeight="1" x14ac:dyDescent="0.25"/>
    <row r="577" ht="14.45" customHeight="1" x14ac:dyDescent="0.25"/>
    <row r="578" ht="14.45" customHeight="1" x14ac:dyDescent="0.25"/>
    <row r="579" ht="14.45" customHeight="1" x14ac:dyDescent="0.25"/>
    <row r="580" ht="14.45" customHeight="1" x14ac:dyDescent="0.25"/>
    <row r="581" ht="14.45" customHeight="1" x14ac:dyDescent="0.25"/>
    <row r="582" ht="14.45" customHeight="1"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row r="592" ht="14.45" customHeight="1" x14ac:dyDescent="0.25"/>
  </sheetData>
  <sheetProtection algorithmName="SHA-512" hashValue="dfRm/UHV3xDGVwTYrnnNjU7VnjqQscl8BgniQXApBBaJwmUkOI1tMsjxwlZ9zL7NQHrJ8bWD01LRT50DA5dMXg==" saltValue="Brd+NsH4+4urLLylVsGd+w==" spinCount="100000" sheet="1" formatRows="0" selectLockedCells="1"/>
  <protectedRanges>
    <protectedRange sqref="B165:F264 H165:K264" name="OEP2"/>
    <protectedRange sqref="I43:J142 T43:AA142 B43:G142 Q43:R142" name="OEP1"/>
  </protectedRanges>
  <dataConsolidate/>
  <mergeCells count="63">
    <mergeCell ref="C323:E323"/>
    <mergeCell ref="B283:B285"/>
    <mergeCell ref="F283:F285"/>
    <mergeCell ref="H283:H284"/>
    <mergeCell ref="B157:P157"/>
    <mergeCell ref="C283:C284"/>
    <mergeCell ref="D283:D285"/>
    <mergeCell ref="E283:E285"/>
    <mergeCell ref="G283:G284"/>
    <mergeCell ref="F161:H161"/>
    <mergeCell ref="I161:K161"/>
    <mergeCell ref="H162:H163"/>
    <mergeCell ref="I162:I163"/>
    <mergeCell ref="P161:P163"/>
    <mergeCell ref="B20:K20"/>
    <mergeCell ref="B21:K21"/>
    <mergeCell ref="B22:K22"/>
    <mergeCell ref="C322:E322"/>
    <mergeCell ref="C321:E321"/>
    <mergeCell ref="B161:B163"/>
    <mergeCell ref="C161:C163"/>
    <mergeCell ref="D161:D163"/>
    <mergeCell ref="C317:E317"/>
    <mergeCell ref="C316:E316"/>
    <mergeCell ref="E161:E163"/>
    <mergeCell ref="B34:N34"/>
    <mergeCell ref="B32:N32"/>
    <mergeCell ref="N40:N41"/>
    <mergeCell ref="K162:K163"/>
    <mergeCell ref="M39:N39"/>
    <mergeCell ref="B12:K12"/>
    <mergeCell ref="B15:K15"/>
    <mergeCell ref="B16:K16"/>
    <mergeCell ref="B17:K17"/>
    <mergeCell ref="B11:J11"/>
    <mergeCell ref="B13:K13"/>
    <mergeCell ref="B14:J14"/>
    <mergeCell ref="B18:K18"/>
    <mergeCell ref="L40:L41"/>
    <mergeCell ref="F40:F41"/>
    <mergeCell ref="G40:G41"/>
    <mergeCell ref="M40:M41"/>
    <mergeCell ref="K40:K41"/>
    <mergeCell ref="B39:B41"/>
    <mergeCell ref="I40:I41"/>
    <mergeCell ref="J40:J41"/>
    <mergeCell ref="C39:C41"/>
    <mergeCell ref="E40:E41"/>
    <mergeCell ref="K39:L39"/>
    <mergeCell ref="B33:M33"/>
    <mergeCell ref="H40:H41"/>
    <mergeCell ref="E39:G39"/>
    <mergeCell ref="D40:D41"/>
    <mergeCell ref="I39:J39"/>
    <mergeCell ref="J162:J163"/>
    <mergeCell ref="F162:F163"/>
    <mergeCell ref="G162:G163"/>
    <mergeCell ref="Q161:Q163"/>
    <mergeCell ref="L162:L163"/>
    <mergeCell ref="M162:M163"/>
    <mergeCell ref="N162:N163"/>
    <mergeCell ref="O162:O163"/>
    <mergeCell ref="L161:O161"/>
  </mergeCells>
  <conditionalFormatting sqref="F164:F264">
    <cfRule type="expression" dxfId="27" priority="213">
      <formula>$D164="Sim"</formula>
    </cfRule>
  </conditionalFormatting>
  <conditionalFormatting sqref="G164:G264">
    <cfRule type="expression" dxfId="24" priority="218">
      <formula>$D164="Sim"</formula>
    </cfRule>
  </conditionalFormatting>
  <conditionalFormatting sqref="H164:H264">
    <cfRule type="expression" dxfId="18" priority="223">
      <formula>$D164="Sim"</formula>
    </cfRule>
  </conditionalFormatting>
  <conditionalFormatting sqref="I164:I264">
    <cfRule type="expression" dxfId="15" priority="10">
      <formula>$D164="Não"</formula>
    </cfRule>
  </conditionalFormatting>
  <conditionalFormatting sqref="J164:J264">
    <cfRule type="expression" dxfId="12" priority="9">
      <formula>$D164="Não"</formula>
    </cfRule>
  </conditionalFormatting>
  <conditionalFormatting sqref="K164:K264">
    <cfRule type="expression" dxfId="11" priority="8">
      <formula>$D164="Não"</formula>
    </cfRule>
  </conditionalFormatting>
  <conditionalFormatting sqref="L165:O264">
    <cfRule type="expression" dxfId="8" priority="226">
      <formula>$D165="Sim"</formula>
    </cfRule>
  </conditionalFormatting>
  <conditionalFormatting sqref="R165:R264">
    <cfRule type="expression" dxfId="6" priority="197">
      <formula>COUNT(F165,#REF!, IF(COUNT(#REF!)&gt;0,1,""))&gt;1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CDC9FE00-81EE-4D58-A434-AE3A50B7A8A6}">
            <xm:f>Triagem!$C$31=""</xm:f>
            <x14:dxf>
              <font>
                <strike val="0"/>
                <u/>
                <color rgb="FFC00000"/>
              </font>
              <fill>
                <patternFill>
                  <bgColor theme="7" tint="0.59996337778862885"/>
                </patternFill>
              </fill>
            </x14:dxf>
          </x14:cfRule>
          <xm:sqref>B9:D9</xm:sqref>
        </x14:conditionalFormatting>
        <x14:conditionalFormatting xmlns:xm="http://schemas.microsoft.com/office/excel/2006/main">
          <x14:cfRule type="expression" priority="32" id="{025F18B2-61C2-4903-8B3E-F741CBDDD04A}">
            <xm:f>C43=FAAS!$B$15</xm:f>
            <x14:dxf>
              <fill>
                <patternFill patternType="darkUp">
                  <fgColor auto="1"/>
                  <bgColor auto="1"/>
                </patternFill>
              </fill>
            </x14:dxf>
          </x14:cfRule>
          <xm:sqref>D43:D142</xm:sqref>
        </x14:conditionalFormatting>
        <x14:conditionalFormatting xmlns:xm="http://schemas.microsoft.com/office/excel/2006/main">
          <x14:cfRule type="expression" priority="207" id="{C66D2268-64CA-4977-8745-1F1AB7285C8B}">
            <xm:f>C164=FAOEP!$E$41</xm:f>
            <x14:dxf>
              <fill>
                <patternFill patternType="solid">
                  <bgColor theme="5" tint="0.79998168889431442"/>
                </patternFill>
              </fill>
            </x14:dxf>
          </x14:cfRule>
          <x14:cfRule type="expression" priority="208" id="{AC6573C1-FB89-4D75-B827-75DA77AA5B92}">
            <xm:f>C164=FAOEP!$E$40</xm:f>
            <x14:dxf>
              <fill>
                <patternFill patternType="solid">
                  <bgColor theme="5" tint="0.79998168889431442"/>
                </patternFill>
              </fill>
            </x14:dxf>
          </x14:cfRule>
          <xm:sqref>D164:D264</xm:sqref>
        </x14:conditionalFormatting>
        <x14:conditionalFormatting xmlns:xm="http://schemas.microsoft.com/office/excel/2006/main">
          <x14:cfRule type="expression" priority="209" id="{765AC29F-EE8F-40A2-98E4-B911FA1F9E62}">
            <xm:f>C165=FAOEP!$E$42</xm:f>
            <x14:dxf>
              <fill>
                <patternFill patternType="solid">
                  <bgColor theme="5" tint="0.79998168889431442"/>
                </patternFill>
              </fill>
            </x14:dxf>
          </x14:cfRule>
          <xm:sqref>D165:D264</xm:sqref>
        </x14:conditionalFormatting>
        <x14:conditionalFormatting xmlns:xm="http://schemas.microsoft.com/office/excel/2006/main">
          <x14:cfRule type="expression" priority="212" id="{BE486199-54C0-47FF-9B4C-9D2BB994C4AD}">
            <xm:f>C165=FAOEP!$E$42</xm:f>
            <x14:dxf>
              <fill>
                <patternFill patternType="darkUp">
                  <fgColor auto="1"/>
                  <bgColor auto="1"/>
                </patternFill>
              </fill>
            </x14:dxf>
          </x14:cfRule>
          <x14:cfRule type="expression" priority="210" id="{1EF7AC40-C627-42C3-B8CE-977F586FF383}">
            <xm:f>C165=FAOEP!$E$41</xm:f>
            <x14:dxf>
              <fill>
                <patternFill patternType="darkUp">
                  <bgColor theme="0"/>
                </patternFill>
              </fill>
            </x14:dxf>
          </x14:cfRule>
          <x14:cfRule type="expression" priority="211" id="{090F7887-4485-4063-A805-4DB2DF555A1A}">
            <xm:f>OR($C165=FAOEP!$E$37,C165=FAOEP!$E$40,C165=FAOEP!$E$43)</xm:f>
            <x14:dxf>
              <fill>
                <patternFill patternType="darkUp">
                  <fgColor auto="1"/>
                  <bgColor auto="1"/>
                </patternFill>
              </fill>
            </x14:dxf>
          </x14:cfRule>
          <xm:sqref>E165:E264</xm:sqref>
        </x14:conditionalFormatting>
        <x14:conditionalFormatting xmlns:xm="http://schemas.microsoft.com/office/excel/2006/main">
          <x14:cfRule type="expression" priority="193" id="{6C756645-82CF-4DD7-99B4-A81B058A927C}">
            <xm:f>($D43=FAAS!$K$135)</xm:f>
            <x14:dxf>
              <font>
                <color auto="1"/>
              </font>
              <fill>
                <patternFill patternType="solid">
                  <bgColor theme="5" tint="0.79998168889431442"/>
                </patternFill>
              </fill>
            </x14:dxf>
          </x14:cfRule>
          <xm:sqref>E43:G142</xm:sqref>
        </x14:conditionalFormatting>
        <x14:conditionalFormatting xmlns:xm="http://schemas.microsoft.com/office/excel/2006/main">
          <x14:cfRule type="expression" priority="216" id="{F545AE30-29FA-4C1D-BF07-FDEDFCB1907F}">
            <xm:f>$C164=FAOEP!$E$38</xm:f>
            <x14:dxf>
              <fill>
                <patternFill patternType="solid">
                  <bgColor theme="5" tint="0.79998168889431442"/>
                </patternFill>
              </fill>
            </x14:dxf>
          </x14:cfRule>
          <x14:cfRule type="expression" priority="217" id="{ED0F254B-B20E-495C-B2FF-CA9128577C85}">
            <xm:f>$C164=FAOEP!$E$39</xm:f>
            <x14:dxf>
              <fill>
                <patternFill patternType="solid">
                  <bgColor theme="5" tint="0.79998168889431442"/>
                </patternFill>
              </fill>
            </x14:dxf>
          </x14:cfRule>
          <x14:cfRule type="expression" priority="214" id="{D35728BA-9F94-4D9F-9C16-C95C2FD6BDB2}">
            <xm:f>$C164=FAOEP!$E$40</xm:f>
            <x14:dxf>
              <fill>
                <patternFill patternType="solid">
                  <fgColor theme="0"/>
                  <bgColor theme="5" tint="0.79998168889431442"/>
                </patternFill>
              </fill>
            </x14:dxf>
          </x14:cfRule>
          <x14:cfRule type="expression" priority="215" id="{DD5FC013-2704-491D-9BF5-33F397CC3220}">
            <xm:f>$C164=FAOEP!$E$41</xm:f>
            <x14:dxf>
              <fill>
                <patternFill patternType="solid">
                  <fgColor theme="0"/>
                  <bgColor theme="5" tint="0.79998168889431442"/>
                </patternFill>
              </fill>
            </x14:dxf>
          </x14:cfRule>
          <xm:sqref>F164:F264</xm:sqref>
        </x14:conditionalFormatting>
        <x14:conditionalFormatting xmlns:xm="http://schemas.microsoft.com/office/excel/2006/main">
          <x14:cfRule type="expression" priority="219" id="{75247FAA-1E31-4E60-9745-438E18151157}">
            <xm:f>$C164=FAOEP!$E$40</xm:f>
            <x14:dxf>
              <font>
                <color theme="1"/>
              </font>
            </x14:dxf>
          </x14:cfRule>
          <x14:cfRule type="expression" priority="220" id="{82EDBE8F-3403-426E-B2F4-1343E4CF5F7F}">
            <xm:f>$C164=FAOEP!$E$41</xm:f>
            <x14:dxf>
              <font>
                <color theme="1"/>
              </font>
            </x14:dxf>
          </x14:cfRule>
          <x14:cfRule type="expression" priority="221" id="{3269D304-7E77-4517-B1E2-886EAE89F921}">
            <xm:f>$C164=FAOEP!$E$38</xm:f>
            <x14:dxf>
              <font>
                <color auto="1"/>
              </font>
            </x14:dxf>
          </x14:cfRule>
          <x14:cfRule type="expression" priority="222" id="{51FBFC27-F550-483E-A6B3-4EF5265C7496}">
            <xm:f>$C164=FAOEP!$E$39</xm:f>
            <x14:dxf>
              <font>
                <color auto="1"/>
              </font>
            </x14:dxf>
          </x14:cfRule>
          <xm:sqref>G164:G264</xm:sqref>
        </x14:conditionalFormatting>
        <x14:conditionalFormatting xmlns:xm="http://schemas.microsoft.com/office/excel/2006/main">
          <x14:cfRule type="expression" priority="31" id="{56B5BF94-6D05-4C57-90A5-1841839B0E40}">
            <xm:f>C43=FAAS!$B$15</xm:f>
            <x14:dxf>
              <fill>
                <patternFill patternType="darkUp">
                  <fgColor auto="1"/>
                  <bgColor auto="1"/>
                </patternFill>
              </fill>
            </x14:dxf>
          </x14:cfRule>
          <xm:sqref>H43:H142</xm:sqref>
        </x14:conditionalFormatting>
        <x14:conditionalFormatting xmlns:xm="http://schemas.microsoft.com/office/excel/2006/main">
          <x14:cfRule type="expression" priority="224" id="{DF334870-5C0E-406B-85E3-1E88FE2DD561}">
            <xm:f>$C164=FAOEP!$E$41</xm:f>
            <x14:dxf>
              <fill>
                <patternFill patternType="solid">
                  <fgColor theme="0"/>
                  <bgColor theme="5" tint="0.79998168889431442"/>
                </patternFill>
              </fill>
            </x14:dxf>
          </x14:cfRule>
          <x14:cfRule type="expression" priority="225" id="{B2A1DCC4-D248-4793-B1B1-8D51614507EB}">
            <xm:f>$C164=FAOEP!$E$40</xm:f>
            <x14:dxf>
              <fill>
                <patternFill patternType="solid">
                  <fgColor theme="0"/>
                  <bgColor theme="5" tint="0.79998168889431442"/>
                </patternFill>
              </fill>
            </x14:dxf>
          </x14:cfRule>
          <xm:sqref>H164:H264</xm:sqref>
        </x14:conditionalFormatting>
        <x14:conditionalFormatting xmlns:xm="http://schemas.microsoft.com/office/excel/2006/main">
          <x14:cfRule type="expression" priority="30" id="{7CC52BBD-8602-4075-9D45-FC0B6F830804}">
            <xm:f>$C43=FAAS!$B$14</xm:f>
            <x14:dxf>
              <fill>
                <patternFill patternType="darkUp">
                  <fgColor auto="1"/>
                  <bgColor auto="1"/>
                </patternFill>
              </fill>
            </x14:dxf>
          </x14:cfRule>
          <xm:sqref>I43:J142</xm:sqref>
        </x14:conditionalFormatting>
        <x14:conditionalFormatting xmlns:xm="http://schemas.microsoft.com/office/excel/2006/main">
          <x14:cfRule type="expression" priority="29" id="{73CBC949-543A-4FD8-BE33-72594C5C6346}">
            <xm:f>OR($E165=FAOEP!$L$16,$E165=FAOEP!$L$17)</xm:f>
            <x14:dxf>
              <font>
                <color theme="0"/>
              </font>
              <fill>
                <patternFill patternType="darkUp">
                  <fgColor auto="1"/>
                  <bgColor auto="1"/>
                </patternFill>
              </fill>
            </x14:dxf>
          </x14:cfRule>
          <xm:sqref>I165:K264</xm:sqref>
        </x14:conditionalFormatting>
        <x14:conditionalFormatting xmlns:xm="http://schemas.microsoft.com/office/excel/2006/main">
          <x14:cfRule type="expression" priority="228" id="{8749E3F0-7AF5-4D69-8211-F43CE4A24B6A}">
            <xm:f>$C164=FAOEP!$E$40</xm:f>
            <x14:dxf>
              <fill>
                <patternFill patternType="darkUp">
                  <fgColor auto="1"/>
                  <bgColor theme="0"/>
                </patternFill>
              </fill>
            </x14:dxf>
          </x14:cfRule>
          <x14:cfRule type="expression" priority="229" stopIfTrue="1" id="{213FB50C-5826-4C69-8CA8-9D08A64D2906}">
            <xm:f>$C164=FAOEP!$E$41</xm:f>
            <x14:dxf>
              <fill>
                <patternFill patternType="darkUp">
                  <fgColor auto="1"/>
                  <bgColor theme="0"/>
                </patternFill>
              </fill>
            </x14:dxf>
          </x14:cfRule>
          <xm:sqref>L164:O264</xm:sqref>
        </x14:conditionalFormatting>
        <x14:conditionalFormatting xmlns:xm="http://schemas.microsoft.com/office/excel/2006/main">
          <x14:cfRule type="expression" priority="227" id="{D23EF999-E671-4C05-BAB4-B4839891907D}">
            <xm:f>OR($C165=FAOEP!$E$37,$C165=FAOEP!$E$38,$C165=FAOEP!$E$39,$C165=FAOEP!$E$40,$C165=FAOEP!$E$43)</xm:f>
            <x14:dxf>
              <fill>
                <patternFill patternType="darkUp">
                  <fgColor auto="1"/>
                  <bgColor auto="1"/>
                </patternFill>
              </fill>
            </x14:dxf>
          </x14:cfRule>
          <xm:sqref>L165:O264</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B5DF294-730B-4E90-84F6-01AE380FAE95}">
          <x14:formula1>
            <xm:f>'Fatores de Emissão'!$C$258:$C$291</xm:f>
          </x14:formula1>
          <xm:sqref>AA165:AA175</xm:sqref>
        </x14:dataValidation>
        <x14:dataValidation type="list" allowBlank="1" showInputMessage="1" showErrorMessage="1" xr:uid="{1A7A8253-7BBC-4B25-915D-A1B2D4253BC3}">
          <x14:formula1>
            <xm:f>'Fatores de Emissão'!$B$232:$B$236</xm:f>
          </x14:formula1>
          <xm:sqref>C165:C264</xm:sqref>
        </x14:dataValidation>
        <x14:dataValidation type="list" allowBlank="1" showInputMessage="1" showErrorMessage="1" xr:uid="{0CFC5EE6-6856-4B9B-9C46-7B95FF3BEA3B}">
          <x14:formula1>
            <xm:f>FAAS!$B$63:$B$81</xm:f>
          </x14:formula1>
          <xm:sqref>D43:D142</xm:sqref>
        </x14:dataValidation>
        <x14:dataValidation type="list" allowBlank="1" showInputMessage="1" showErrorMessage="1" xr:uid="{AC908CF3-F1D3-452A-B26B-B89F203B2EA7}">
          <x14:formula1>
            <xm:f>FAAS!$A$142:$A$144</xm:f>
          </x14:formula1>
          <xm:sqref>I43:I142</xm:sqref>
        </x14:dataValidation>
        <x14:dataValidation type="list" allowBlank="1" showInputMessage="1" showErrorMessage="1" xr:uid="{216DCA6B-20AB-41A6-9D57-B7996FCD2E15}">
          <x14:formula1>
            <xm:f>FAAS!$B$14:$B$15</xm:f>
          </x14:formula1>
          <xm:sqref>C43:C142</xm:sqref>
        </x14:dataValidation>
        <x14:dataValidation type="list" allowBlank="1" showInputMessage="1" showErrorMessage="1" xr:uid="{D76A2606-B14F-47E9-A968-D9D7682DA35A}">
          <x14:formula1>
            <xm:f>FAOEP!$C$37:$C$38</xm:f>
          </x14:formula1>
          <xm:sqref>D165:D264</xm:sqref>
        </x14:dataValidation>
        <x14:dataValidation type="list" allowBlank="1" showInputMessage="1" showErrorMessage="1" xr:uid="{F9578FA9-E1D0-491E-8898-6281D4DC6C1A}">
          <x14:formula1>
            <xm:f>FAOEP!$B$50:$B$61</xm:f>
          </x14:formula1>
          <xm:sqref>L165:L264</xm:sqref>
        </x14:dataValidation>
        <x14:dataValidation type="list" allowBlank="1" showInputMessage="1" showErrorMessage="1" xr:uid="{C7BD38B3-303D-478E-AE6C-6A5D6FE52FBB}">
          <x14:formula1>
            <xm:f>FAOEP!$G$50:$G$53</xm:f>
          </x14:formula1>
          <xm:sqref>M165:M264</xm:sqref>
        </x14:dataValidation>
        <x14:dataValidation type="list" allowBlank="1" showInputMessage="1" showErrorMessage="1" xr:uid="{682DC2B0-949F-4A75-8657-4E034D8CCAD4}">
          <x14:formula1>
            <xm:f>FAOEP!$L$16:$L$18</xm:f>
          </x14:formula1>
          <xm:sqref>E165:E264</xm:sqref>
        </x14:dataValidation>
        <x14:dataValidation type="list" allowBlank="1" showInputMessage="1" showErrorMessage="1" xr:uid="{167800C3-5C93-4D22-9B87-13C26DF6AA54}">
          <x14:formula1>
            <xm:f>FAOEP!$P$217:$P$221</xm:f>
          </x14:formula1>
          <xm:sqref>D286:D307</xm:sqref>
        </x14:dataValidation>
        <x14:dataValidation type="list" allowBlank="1" showInputMessage="1" showErrorMessage="1" xr:uid="{4F9269AE-BD32-400F-8A5E-3D5FCB595B48}">
          <x14:formula1>
            <xm:f>FAOEP!$P$224:$P$233</xm:f>
          </x14:formula1>
          <xm:sqref>E286:E307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D3BF-E835-47E7-B6B6-A64B6B02A170}">
  <sheetPr>
    <tabColor theme="7"/>
  </sheetPr>
  <dimension ref="C3:K71"/>
  <sheetViews>
    <sheetView showGridLines="0" topLeftCell="C1" zoomScale="70" zoomScaleNormal="70" workbookViewId="0">
      <selection activeCell="E28" sqref="E28"/>
    </sheetView>
  </sheetViews>
  <sheetFormatPr defaultColWidth="8.75" defaultRowHeight="15.75" x14ac:dyDescent="0.25"/>
  <cols>
    <col min="1" max="1" width="7.875" style="267" customWidth="1"/>
    <col min="2" max="2" width="20.75" style="267" customWidth="1"/>
    <col min="3" max="3" width="95.125" style="267" customWidth="1"/>
    <col min="4" max="4" width="21.125" style="267" bestFit="1" customWidth="1"/>
    <col min="5" max="5" width="49.375" style="267" customWidth="1"/>
    <col min="6" max="6" width="39.375" style="267" bestFit="1" customWidth="1"/>
    <col min="7" max="7" width="20.25" style="267" bestFit="1" customWidth="1"/>
    <col min="8" max="8" width="17.5" style="267" bestFit="1" customWidth="1"/>
    <col min="9" max="9" width="46.625" style="267" customWidth="1"/>
    <col min="10" max="10" width="38.875" style="267" customWidth="1"/>
    <col min="11" max="11" width="18.625" style="267" customWidth="1"/>
    <col min="12" max="12" width="18.25" style="267" customWidth="1"/>
    <col min="13" max="13" width="35.25" style="267" customWidth="1"/>
    <col min="14" max="14" width="32.625" style="267" customWidth="1"/>
    <col min="15" max="15" width="3.25" style="267" customWidth="1"/>
    <col min="16" max="16" width="2.75" style="267" customWidth="1"/>
    <col min="17" max="17" width="2.25" style="267" customWidth="1"/>
    <col min="18" max="18" width="2.75" style="267" customWidth="1"/>
    <col min="19" max="16384" width="8.75" style="267"/>
  </cols>
  <sheetData>
    <row r="3" spans="3:6" ht="42" x14ac:dyDescent="0.25">
      <c r="C3" s="1106" t="str">
        <f>IF(Identificação!E16="","Resultados da Pegada de carbono do projeto "&amp;Identificação!E15,"Resultados da Pegada de carbono do projeto "&amp;Identificação!E15&amp;" ("&amp;Identificação!E16&amp;")")</f>
        <v xml:space="preserve">Resultados da Pegada de carbono do projeto </v>
      </c>
    </row>
    <row r="5" spans="3:6" ht="42" x14ac:dyDescent="0.25">
      <c r="C5" s="1106"/>
    </row>
    <row r="7" spans="3:6" x14ac:dyDescent="0.25">
      <c r="C7" s="1107"/>
    </row>
    <row r="10" spans="3:6" ht="23.25" x14ac:dyDescent="0.25">
      <c r="C10" s="1108" t="s">
        <v>1234</v>
      </c>
    </row>
    <row r="12" spans="3:6" ht="46.5" x14ac:dyDescent="0.25">
      <c r="C12" s="1109">
        <f>G71</f>
        <v>0</v>
      </c>
      <c r="D12" s="1110" t="s">
        <v>1345</v>
      </c>
      <c r="E12" s="1110"/>
      <c r="F12" s="734"/>
    </row>
    <row r="17" spans="3:5" ht="23.25" x14ac:dyDescent="0.25">
      <c r="C17" s="1108" t="s">
        <v>1545</v>
      </c>
    </row>
    <row r="19" spans="3:5" ht="21" x14ac:dyDescent="0.25">
      <c r="C19" s="1111" t="s">
        <v>23</v>
      </c>
      <c r="D19" s="1112" t="s">
        <v>1345</v>
      </c>
      <c r="E19" s="1112" t="s">
        <v>325</v>
      </c>
    </row>
    <row r="20" spans="3:5" x14ac:dyDescent="0.25">
      <c r="C20" s="1113" t="s">
        <v>6</v>
      </c>
      <c r="D20" s="1114">
        <f>SUMIF($E$53:$E$70,C20,$G$53:$G$70)</f>
        <v>0</v>
      </c>
      <c r="E20" s="1115" t="str">
        <f>IFERROR(D20/$C$12,"")</f>
        <v/>
      </c>
    </row>
    <row r="21" spans="3:5" x14ac:dyDescent="0.25">
      <c r="C21" s="1116" t="s">
        <v>1556</v>
      </c>
      <c r="D21" s="1117">
        <f>SUMIF($E$53:$E$70,C21,$G$53:$G$70)</f>
        <v>0</v>
      </c>
      <c r="E21" s="1118" t="str">
        <f>IFERROR(D21/$C$12,"")</f>
        <v/>
      </c>
    </row>
    <row r="22" spans="3:5" x14ac:dyDescent="0.25">
      <c r="C22" s="1119" t="s">
        <v>1562</v>
      </c>
      <c r="D22" s="1120">
        <f>SUMIF($E$53:$E$70,C22,$G$53:$G$70)-G57</f>
        <v>0</v>
      </c>
      <c r="E22" s="1121" t="str">
        <f>IFERROR(D22/$C$12,"")</f>
        <v/>
      </c>
    </row>
    <row r="23" spans="3:5" x14ac:dyDescent="0.25">
      <c r="C23" s="1122" t="s">
        <v>1554</v>
      </c>
      <c r="D23" s="1123">
        <f>SUMIF($E$53:$E$70,C23,$G$53:$G$70)</f>
        <v>0</v>
      </c>
      <c r="E23" s="1124" t="str">
        <f>IFERROR(D23/$C$12,"")</f>
        <v/>
      </c>
    </row>
    <row r="52" spans="3:11" x14ac:dyDescent="0.25">
      <c r="C52" s="1125" t="s">
        <v>1546</v>
      </c>
      <c r="D52" s="1125" t="s">
        <v>1549</v>
      </c>
      <c r="E52" s="1125" t="s">
        <v>1551</v>
      </c>
      <c r="F52" s="1125" t="s">
        <v>1547</v>
      </c>
      <c r="G52" s="1125" t="s">
        <v>1548</v>
      </c>
      <c r="H52" s="1125" t="s">
        <v>1561</v>
      </c>
      <c r="I52" s="1125" t="s">
        <v>805</v>
      </c>
      <c r="J52" s="1126"/>
    </row>
    <row r="53" spans="3:11" ht="31.5" x14ac:dyDescent="0.25">
      <c r="C53" s="1127" t="s">
        <v>1336</v>
      </c>
      <c r="D53" s="1127">
        <v>1</v>
      </c>
      <c r="E53" s="1128" t="s">
        <v>47</v>
      </c>
      <c r="F53" s="1128" t="s">
        <v>47</v>
      </c>
      <c r="G53" s="1129">
        <f>SUM(G54:G57)</f>
        <v>0</v>
      </c>
      <c r="H53" s="1154" t="str">
        <f t="shared" ref="H53:H63" si="0">IFERROR(G53/$G$71,"")</f>
        <v/>
      </c>
      <c r="I53" s="1130"/>
      <c r="J53" s="1149" t="str">
        <f>IF(Triagem!$C$27="","ERRO: Não Indicou na TRIAGEM se este campo é relevante para si",IF(Triagem!$C$27="Sim",IF('Combustão Estacionária'!$G$298="", "ERRO: folha Combustão Estacionária por preencher", IF('Combustão Estacionária'!$G$298=0,"ERRO: folha Combustão Estacionária por preencher","")), ""))</f>
        <v>ERRO: Não Indicou na TRIAGEM se este campo é relevante para si</v>
      </c>
    </row>
    <row r="54" spans="3:11" ht="63" x14ac:dyDescent="0.25">
      <c r="C54" s="1131" t="s">
        <v>1337</v>
      </c>
      <c r="D54" s="1132" t="s">
        <v>1377</v>
      </c>
      <c r="E54" s="1133" t="s">
        <v>6</v>
      </c>
      <c r="F54" s="1131" t="s">
        <v>1550</v>
      </c>
      <c r="G54" s="1134">
        <f>'Combustão Estacionária'!H171+'Combustão Estacionária'!H172</f>
        <v>0</v>
      </c>
      <c r="H54" s="1155" t="str">
        <f t="shared" si="0"/>
        <v/>
      </c>
      <c r="I54" s="1135" t="s">
        <v>1347</v>
      </c>
      <c r="J54" s="1150" t="str">
        <f>IF(Triagem!$C$27="","ERRO: Não Indicou na TRIAGEM se este campo é relevante para si",IF(Triagem!$C$27="Sim",IF('Combustão Estacionária'!$G$298="", "ERRO: folha Combustão Estacionária por preencher", IF('Combustão Estacionária'!$G$298=0,"ERRO: folha Combustão Estacionária por preencher","")), ""))</f>
        <v>ERRO: Não Indicou na TRIAGEM se este campo é relevante para si</v>
      </c>
    </row>
    <row r="55" spans="3:11" ht="31.5" x14ac:dyDescent="0.25">
      <c r="C55" s="1131" t="s">
        <v>1338</v>
      </c>
      <c r="D55" s="1132" t="s">
        <v>1376</v>
      </c>
      <c r="E55" s="1133" t="s">
        <v>6</v>
      </c>
      <c r="F55" s="1131" t="s">
        <v>1550</v>
      </c>
      <c r="G55" s="1134">
        <f>'Combustão Estacionária'!J288+'Combustão Estacionária'!K288+'Combustão Estacionária'!L288</f>
        <v>0</v>
      </c>
      <c r="H55" s="1155" t="str">
        <f t="shared" si="0"/>
        <v/>
      </c>
      <c r="I55" s="1135" t="s">
        <v>1351</v>
      </c>
      <c r="J55" s="1150" t="str">
        <f>IF(Triagem!$C$27="","ERRO: Não Indicou na TRIAGEM se este campo é relevante para si",IF(Triagem!$C$27="Sim",IF('Combustão Estacionária'!$G$298="", "ERRO: folha Combustão Estacionária por preencher", IF('Combustão Estacionária'!$G$298=0,"ERRO: folha Combustão Estacionária por preencher","")), ""))</f>
        <v>ERRO: Não Indicou na TRIAGEM se este campo é relevante para si</v>
      </c>
    </row>
    <row r="56" spans="3:11" ht="31.5" x14ac:dyDescent="0.25">
      <c r="C56" s="1131" t="s">
        <v>1378</v>
      </c>
      <c r="D56" s="1132" t="s">
        <v>1440</v>
      </c>
      <c r="E56" s="1133" t="s">
        <v>6</v>
      </c>
      <c r="F56" s="1131" t="s">
        <v>1550</v>
      </c>
      <c r="G56" s="1134">
        <f>'Energia Elétrica e térmica'!E268+'Energia Elétrica e térmica'!E270</f>
        <v>0</v>
      </c>
      <c r="H56" s="1155" t="str">
        <f t="shared" si="0"/>
        <v/>
      </c>
      <c r="I56" s="1135"/>
      <c r="J56" s="1150" t="str">
        <f>IF(Triagem!$C$32="","ERRO: Não Indicou na TRIAGEM se este campo é relevante para si",IF(Triagem!$C$32="Sim",IF(OR('Energia Elétrica e térmica'!$E$267="",'Energia Elétrica e térmica'!$E$267=0),"ERRO: folha Emissões de Energia Elétrica e Térmica por preencher",""),""))</f>
        <v>ERRO: Não Indicou na TRIAGEM se este campo é relevante para si</v>
      </c>
    </row>
    <row r="57" spans="3:11" ht="31.5" x14ac:dyDescent="0.25">
      <c r="C57" s="1131" t="s">
        <v>1339</v>
      </c>
      <c r="D57" s="1132" t="s">
        <v>1379</v>
      </c>
      <c r="E57" s="1133" t="str">
        <f>E64</f>
        <v>Agricutura, floresta e outros usos do solo</v>
      </c>
      <c r="F57" s="1136" t="s">
        <v>47</v>
      </c>
      <c r="G57" s="1134">
        <f>'Outras emissões de processo'!F319</f>
        <v>0</v>
      </c>
      <c r="H57" s="1155" t="str">
        <f t="shared" si="0"/>
        <v/>
      </c>
      <c r="I57" s="1135"/>
      <c r="J57" s="1150" t="str">
        <f>IF(Triagem!$C$31="","ERRO: Não Indicou na TRIAGEM se este campo é relevante para si",IF(Triagem!$C$31="Sim",IF(AND('Outras emissões de processo'!$F$316="",'Outras emissões de processo'!$F$316=0),"ERRO: folha Emissões de Outras Emissões de Processo por preencher","")))</f>
        <v>ERRO: Não Indicou na TRIAGEM se este campo é relevante para si</v>
      </c>
    </row>
    <row r="58" spans="3:11" ht="31.5" x14ac:dyDescent="0.25">
      <c r="C58" s="1131" t="s">
        <v>1359</v>
      </c>
      <c r="D58" s="1132" t="s">
        <v>1380</v>
      </c>
      <c r="E58" s="1133" t="s">
        <v>6</v>
      </c>
      <c r="F58" s="1131" t="s">
        <v>1550</v>
      </c>
      <c r="G58" s="1134">
        <f>'Combustão Estacionária'!E301+'Combustão Estacionária'!F301</f>
        <v>0</v>
      </c>
      <c r="H58" s="1155" t="str">
        <f t="shared" si="0"/>
        <v/>
      </c>
      <c r="I58" s="1135" t="s">
        <v>1360</v>
      </c>
      <c r="J58" s="1150" t="str">
        <f>IF(Triagem!$C$31="","ERRO: Não Indicou na TRIAGEM se este campo é relevante para si",IF(Triagem!$C$31="Sim",IF(AND('Outras emissões de processo'!$F$316="",'Outras emissões de processo'!$F$316=0),"ERRO: folha Emissões de Outras Emissões de Processo por preencher","")))</f>
        <v>ERRO: Não Indicou na TRIAGEM se este campo é relevante para si</v>
      </c>
    </row>
    <row r="59" spans="3:11" ht="31.5" x14ac:dyDescent="0.25">
      <c r="C59" s="1137" t="s">
        <v>1372</v>
      </c>
      <c r="D59" s="1137">
        <v>2</v>
      </c>
      <c r="E59" s="1138" t="s">
        <v>6</v>
      </c>
      <c r="F59" s="1137" t="s">
        <v>1557</v>
      </c>
      <c r="G59" s="1139">
        <f>'Emissões Fugitivas'!E183</f>
        <v>0</v>
      </c>
      <c r="H59" s="1156" t="str">
        <f t="shared" si="0"/>
        <v/>
      </c>
      <c r="I59" s="1140"/>
      <c r="J59" s="1151" t="str">
        <f>IF(Triagem!$C$29="","ERRO: Não Indicou na TRIAGEM se este campo é relevante para si",IF(Triagem!$C$29="Sim",IF('Emissões Fugitivas'!$E$180="", "ERRO: folha Emissões Fugitivas por preencher", IF('Emissões Fugitivas'!$E$180=0,"ERRO: folha Emissões Fugitivas por preencher","")), ""))</f>
        <v>ERRO: Não Indicou na TRIAGEM se este campo é relevante para si</v>
      </c>
      <c r="K59" s="734"/>
    </row>
    <row r="60" spans="3:11" x14ac:dyDescent="0.25">
      <c r="C60" s="1137" t="s">
        <v>1683</v>
      </c>
      <c r="D60" s="1137">
        <v>3</v>
      </c>
      <c r="E60" s="1138" t="s">
        <v>6</v>
      </c>
      <c r="F60" s="1141" t="s">
        <v>47</v>
      </c>
      <c r="G60" s="1139">
        <f>G61+G62</f>
        <v>0</v>
      </c>
      <c r="H60" s="1156" t="str">
        <f t="shared" si="0"/>
        <v/>
      </c>
      <c r="I60" s="1142"/>
      <c r="J60" s="1152"/>
    </row>
    <row r="61" spans="3:11" ht="31.5" x14ac:dyDescent="0.25">
      <c r="C61" s="1131" t="s">
        <v>1373</v>
      </c>
      <c r="D61" s="1131"/>
      <c r="E61" s="1143" t="s">
        <v>47</v>
      </c>
      <c r="F61" s="1131" t="s">
        <v>1550</v>
      </c>
      <c r="G61" s="1134">
        <f>'Energia Elétrica e térmica'!E269</f>
        <v>0</v>
      </c>
      <c r="H61" s="1155" t="str">
        <f t="shared" si="0"/>
        <v/>
      </c>
      <c r="I61" s="1135"/>
      <c r="J61" s="1150" t="str">
        <f>IF(Triagem!$C$32="","ERRO: Não Indicou na TRIAGEM se este campo é relevante para si",IF(Triagem!$C$32="Sim",IF(OR('Energia Elétrica e térmica'!$E$267="",'Energia Elétrica e térmica'!$E$267=0),"ERRO: folha Emissões de Energia Elétrica e Térmica por preencher",""),""))</f>
        <v>ERRO: Não Indicou na TRIAGEM se este campo é relevante para si</v>
      </c>
    </row>
    <row r="62" spans="3:11" ht="31.5" x14ac:dyDescent="0.25">
      <c r="C62" s="1131" t="s">
        <v>1374</v>
      </c>
      <c r="D62" s="1131"/>
      <c r="E62" s="1143" t="s">
        <v>47</v>
      </c>
      <c r="F62" s="1131" t="s">
        <v>1558</v>
      </c>
      <c r="G62" s="1134">
        <f>'Emissões Fugitivas'!E184</f>
        <v>0</v>
      </c>
      <c r="H62" s="1155" t="str">
        <f t="shared" si="0"/>
        <v/>
      </c>
      <c r="I62" s="1135"/>
      <c r="J62" s="1150" t="str">
        <f>IF(Triagem!$C$29="","ERRO: Não Indicou na TRIAGEM se este campo é relevante para si",IF(Triagem!$C$29="Sim",IF('Emissões Fugitivas'!$E$180="", "ERRO: folha Emissões Fugitivas por preencher", IF('Emissões Fugitivas'!$E$180=0,"ERRO: folha Emissões Fugitivas por preencher","")), ""))</f>
        <v>ERRO: Não Indicou na TRIAGEM se este campo é relevante para si</v>
      </c>
    </row>
    <row r="63" spans="3:11" ht="31.5" x14ac:dyDescent="0.25">
      <c r="C63" s="1137" t="s">
        <v>1375</v>
      </c>
      <c r="D63" s="1137">
        <v>7</v>
      </c>
      <c r="E63" s="1138" t="s">
        <v>1554</v>
      </c>
      <c r="F63" s="1137" t="s">
        <v>1559</v>
      </c>
      <c r="G63" s="1139">
        <f>'Outras emissões de processo'!F321</f>
        <v>0</v>
      </c>
      <c r="H63" s="1156" t="str">
        <f t="shared" si="0"/>
        <v/>
      </c>
      <c r="I63" s="1142"/>
      <c r="J63" s="1151" t="str">
        <f>IF(Triagem!$C$31="","ERRO: Não Indicou na TRIAGEM se este campo é relevante para si",IF(Triagem!$C$31="Sim",IF('Outras emissões de processo'!$F$316="", "ERRO: folha Outras emissões de processo por preencher", IF('Outras emissões de processo'!$F$316=0,"ERRO: folha Outras emissões de processo por preencher","")), ""))</f>
        <v>ERRO: Não Indicou na TRIAGEM se este campo é relevante para si</v>
      </c>
    </row>
    <row r="64" spans="3:11" ht="31.5" x14ac:dyDescent="0.25">
      <c r="C64" s="1137" t="s">
        <v>1381</v>
      </c>
      <c r="D64" s="1137">
        <v>12</v>
      </c>
      <c r="E64" s="1138" t="str">
        <f>C22</f>
        <v>Agricutura, floresta e outros usos do solo</v>
      </c>
      <c r="F64" s="1138" t="s">
        <v>391</v>
      </c>
      <c r="G64" s="1139">
        <f>G58</f>
        <v>0</v>
      </c>
      <c r="H64" s="1156" t="str">
        <f t="shared" ref="H64:H70" si="1">IFERROR(G64/$G$71,"")</f>
        <v/>
      </c>
      <c r="I64" s="1142" t="s">
        <v>1555</v>
      </c>
      <c r="J64" s="1151" t="str">
        <f>IF(Triagem!$C$31="","ERRO: Não Indicou na TRIAGEM se este campo é relevante para si",IF(Triagem!$C$31="Sim",IF(AND('Outras emissões de processo'!$F$316="",'Outras emissões de processo'!$F$316=0),"ERRO: folha Emissões de Outras Emissões de Processo por preencher","")))</f>
        <v>ERRO: Não Indicou na TRIAGEM se este campo é relevante para si</v>
      </c>
    </row>
    <row r="65" spans="3:11" ht="31.5" x14ac:dyDescent="0.25">
      <c r="C65" s="1137" t="s">
        <v>1393</v>
      </c>
      <c r="D65" s="1137">
        <v>13</v>
      </c>
      <c r="E65" s="1138" t="s">
        <v>1554</v>
      </c>
      <c r="F65" s="1137" t="s">
        <v>1309</v>
      </c>
      <c r="G65" s="1139">
        <f>'Outras emissões de processo'!F322</f>
        <v>0</v>
      </c>
      <c r="H65" s="1156" t="str">
        <f t="shared" si="1"/>
        <v/>
      </c>
      <c r="I65" s="1142"/>
      <c r="J65" s="1151" t="str">
        <f>IF(Triagem!$C$31="","ERRO: Não Indicou na TRIAGEM se este campo é relevante para si",IF(Triagem!$C$31="Sim",IF(AND('Outras emissões de processo'!$G$320="",'Outras emissões de processo'!$G$320=0),"ERRO: folha Emissões de Outras Emissões de Processo por preencher","")))</f>
        <v>ERRO: Não Indicou na TRIAGEM se este campo é relevante para si</v>
      </c>
      <c r="K65" s="734"/>
    </row>
    <row r="66" spans="3:11" ht="31.5" x14ac:dyDescent="0.25">
      <c r="C66" s="1137" t="s">
        <v>1429</v>
      </c>
      <c r="D66" s="1137">
        <v>14</v>
      </c>
      <c r="E66" s="1138" t="s">
        <v>1554</v>
      </c>
      <c r="F66" s="1137" t="s">
        <v>1560</v>
      </c>
      <c r="G66" s="1139">
        <f>'Outras emissões de processo'!F323</f>
        <v>0</v>
      </c>
      <c r="H66" s="1156" t="str">
        <f t="shared" si="1"/>
        <v/>
      </c>
      <c r="I66" s="1142"/>
      <c r="J66" s="1153" t="str">
        <f>J65</f>
        <v>ERRO: Não Indicou na TRIAGEM se este campo é relevante para si</v>
      </c>
      <c r="K66" s="734"/>
    </row>
    <row r="67" spans="3:11" ht="31.5" x14ac:dyDescent="0.25">
      <c r="C67" s="1137" t="s">
        <v>1438</v>
      </c>
      <c r="D67" s="1137">
        <v>15</v>
      </c>
      <c r="E67" s="1138" t="s">
        <v>6</v>
      </c>
      <c r="F67" s="1137" t="s">
        <v>1558</v>
      </c>
      <c r="G67" s="1139">
        <f>'Emissões Fugitivas'!E181</f>
        <v>0</v>
      </c>
      <c r="H67" s="1156" t="str">
        <f t="shared" si="1"/>
        <v/>
      </c>
      <c r="I67" s="1142"/>
      <c r="J67" s="1153" t="str">
        <f>IF(Triagem!$C$31="","ERRO: Não Indicou na TRIAGEM se este campo é relevante para si",IF(Triagem!$C$31="Sim",IF(AND('Outras emissões de processo'!$G$320="",'Outras emissões de processo'!$G$320=0),"ERRO: folha Emissões de Outras Emissões de Processo por preencher","")))</f>
        <v>ERRO: Não Indicou na TRIAGEM se este campo é relevante para si</v>
      </c>
    </row>
    <row r="68" spans="3:11" ht="31.5" x14ac:dyDescent="0.25">
      <c r="C68" s="1137" t="s">
        <v>1439</v>
      </c>
      <c r="D68" s="1137">
        <v>16</v>
      </c>
      <c r="E68" s="1137" t="s">
        <v>1556</v>
      </c>
      <c r="F68" s="1137" t="s">
        <v>1556</v>
      </c>
      <c r="G68" s="1139">
        <f>'Emissões Fugitivas'!E185</f>
        <v>0</v>
      </c>
      <c r="H68" s="1156" t="str">
        <f t="shared" si="1"/>
        <v/>
      </c>
      <c r="I68" s="1142"/>
      <c r="J68" s="1153" t="str">
        <f>J67</f>
        <v>ERRO: Não Indicou na TRIAGEM se este campo é relevante para si</v>
      </c>
      <c r="K68" s="734"/>
    </row>
    <row r="69" spans="3:11" ht="31.5" x14ac:dyDescent="0.25">
      <c r="C69" s="1137" t="s">
        <v>782</v>
      </c>
      <c r="D69" s="1137"/>
      <c r="E69" s="1137" t="str">
        <f>E68</f>
        <v>Processos industriais e uso de produtos</v>
      </c>
      <c r="F69" s="1137" t="s">
        <v>1556</v>
      </c>
      <c r="G69" s="1139">
        <f>'Processos Industriais'!F138</f>
        <v>0</v>
      </c>
      <c r="H69" s="1156" t="str">
        <f t="shared" si="1"/>
        <v/>
      </c>
      <c r="I69" s="1144"/>
      <c r="J69" s="1153" t="str">
        <f>IF(Triagem!C30="","ERRO: Não Indicou na TRIAGEM se este campo é relevante para si",IF(Triagem!$C$31="Sim",IF(AND('Processos Industriais'!F138="",'Processos Industriais'!F138=0),"ERRO: folha Processos industriais","")))</f>
        <v>ERRO: Não Indicou na TRIAGEM se este campo é relevante para si</v>
      </c>
      <c r="K69" s="734"/>
    </row>
    <row r="70" spans="3:11" ht="31.5" x14ac:dyDescent="0.25">
      <c r="C70" s="1145" t="s">
        <v>1552</v>
      </c>
      <c r="D70" s="1145"/>
      <c r="E70" s="1138" t="s">
        <v>6</v>
      </c>
      <c r="F70" s="1145" t="s">
        <v>1553</v>
      </c>
      <c r="G70" s="1146">
        <f>'Combustão Móvel'!E316</f>
        <v>0</v>
      </c>
      <c r="H70" s="1156" t="str">
        <f t="shared" si="1"/>
        <v/>
      </c>
      <c r="I70" s="1147"/>
      <c r="J70" s="1153" t="str">
        <f>IF(Triagem!C28="","ERRO: Não Indicou na TRIAGEM se este campo é relevante para si",IF(Triagem!$C$31="Sim",IF(AND('Combustão Móvel'!E316="",'Combustão Móvel'!E316=0),"ERRO: folha Combustão móvel por preencher","")))</f>
        <v>ERRO: Não Indicou na TRIAGEM se este campo é relevante para si</v>
      </c>
    </row>
    <row r="71" spans="3:11" x14ac:dyDescent="0.25">
      <c r="C71" s="1105" t="s">
        <v>37</v>
      </c>
      <c r="D71" s="1105"/>
      <c r="E71" s="1105"/>
      <c r="F71" s="1105"/>
      <c r="G71" s="1148">
        <f>G53+G59+G60+G63+G65+G66+G67+G68+G69+G70</f>
        <v>0</v>
      </c>
      <c r="H71" s="1157"/>
      <c r="I71" s="1105"/>
      <c r="J71" s="1105"/>
    </row>
  </sheetData>
  <sheetProtection algorithmName="SHA-512" hashValue="7Y56VpqF9Yi4VW8Yziz0pxzuXqEvcSfmsnyTXjdUREVH78AUpg78ktVCg+R23yiQVKYWWXUkXfiuFR96J4EzYA==" saltValue="Joy/R5U5upAihWjSHQrAoQ==" spinCount="100000" sheet="1"/>
  <dataConsolidate/>
  <phoneticPr fontId="24" type="noConversion"/>
  <conditionalFormatting sqref="H53:H70">
    <cfRule type="dataBar" priority="1">
      <dataBar>
        <cfvo type="min"/>
        <cfvo type="max"/>
        <color rgb="FFFFB628"/>
      </dataBar>
      <extLst>
        <ext xmlns:x14="http://schemas.microsoft.com/office/spreadsheetml/2009/9/main" uri="{B025F937-C7B1-47D3-B67F-A62EFF666E3E}">
          <x14:id>{AB2DB113-FE82-40D2-8937-38230DB453ED}</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AB2DB113-FE82-40D2-8937-38230DB453ED}">
            <x14:dataBar minLength="0" maxLength="100" border="1" negativeBarBorderColorSameAsPositive="0">
              <x14:cfvo type="autoMin"/>
              <x14:cfvo type="autoMax"/>
              <x14:borderColor rgb="FFFFB628"/>
              <x14:negativeFillColor rgb="FFFF0000"/>
              <x14:negativeBorderColor rgb="FFFF0000"/>
              <x14:axisColor rgb="FF000000"/>
            </x14:dataBar>
          </x14:cfRule>
          <xm:sqref>H53:H70</xm:sqref>
        </x14:conditionalFormatting>
        <x14:conditionalFormatting xmlns:xm="http://schemas.microsoft.com/office/excel/2006/main">
          <x14:cfRule type="expression" priority="8" id="{631BBF3B-4394-44A8-8677-76FFD38318D9}">
            <xm:f>Triagem!$C$27=""</xm:f>
            <x14:dxf>
              <font>
                <color rgb="FFC00000"/>
              </font>
            </x14:dxf>
          </x14:cfRule>
          <xm:sqref>I59:J59</xm:sqref>
        </x14:conditionalFormatting>
        <x14:conditionalFormatting xmlns:xm="http://schemas.microsoft.com/office/excel/2006/main">
          <x14:cfRule type="expression" priority="2" id="{BD152BD7-1564-4987-957E-0E3D05B522A1}">
            <xm:f>Triagem!$C$27=""</xm:f>
            <x14:dxf>
              <font>
                <color rgb="FFC00000"/>
              </font>
            </x14:dxf>
          </x14:cfRule>
          <xm:sqref>J53:J58</xm:sqref>
        </x14:conditionalFormatting>
        <x14:conditionalFormatting xmlns:xm="http://schemas.microsoft.com/office/excel/2006/main">
          <x14:cfRule type="expression" priority="4" id="{82EDCD16-C42E-40CE-8E57-5EEBF125B6D2}">
            <xm:f>Triagem!$C$27=""</xm:f>
            <x14:dxf>
              <font>
                <color rgb="FFC00000"/>
              </font>
            </x14:dxf>
          </x14:cfRule>
          <xm:sqref>J61:J65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1322-37B3-49B7-A5C7-3C6965906C3C}">
  <sheetPr>
    <tabColor theme="7"/>
  </sheetPr>
  <dimension ref="A10:CI438"/>
  <sheetViews>
    <sheetView showGridLines="0" topLeftCell="A271" zoomScale="85" zoomScaleNormal="70" workbookViewId="0">
      <selection activeCell="C282" sqref="C282"/>
    </sheetView>
  </sheetViews>
  <sheetFormatPr defaultColWidth="8.625" defaultRowHeight="15.75" outlineLevelRow="1" x14ac:dyDescent="0.25"/>
  <cols>
    <col min="1" max="1" width="4.5" style="166" customWidth="1"/>
    <col min="2" max="2" width="37.5" style="166" customWidth="1"/>
    <col min="3" max="3" width="85.375" style="241" customWidth="1"/>
    <col min="4" max="4" width="67.625" style="166" bestFit="1" customWidth="1"/>
    <col min="5" max="5" width="36.875" style="166" customWidth="1"/>
    <col min="6" max="6" width="56.375" style="166" customWidth="1"/>
    <col min="7" max="7" width="23.25" style="166" customWidth="1"/>
    <col min="8" max="8" width="33.75" style="166" customWidth="1"/>
    <col min="9" max="9" width="31" style="166" customWidth="1"/>
    <col min="10" max="10" width="14.5" style="166" customWidth="1"/>
    <col min="11" max="11" width="16.25" style="166" customWidth="1"/>
    <col min="12" max="12" width="21.625" style="166" customWidth="1"/>
    <col min="13" max="13" width="14.25" style="166" customWidth="1"/>
    <col min="14" max="14" width="14.75" style="166" customWidth="1"/>
    <col min="15" max="17" width="15.25" style="166" customWidth="1"/>
    <col min="18" max="18" width="15.875" style="166" customWidth="1"/>
    <col min="19" max="19" width="62.75" style="166" customWidth="1"/>
    <col min="20" max="21" width="34.375" style="166" customWidth="1"/>
    <col min="22" max="22" width="70" style="166" customWidth="1"/>
    <col min="23" max="23" width="150.625" style="166" customWidth="1"/>
    <col min="24" max="24" width="14.875" style="166" customWidth="1"/>
    <col min="25" max="25" width="12.75" style="166" customWidth="1"/>
    <col min="26" max="26" width="13" style="166" customWidth="1"/>
    <col min="27" max="27" width="11.25" style="166" customWidth="1"/>
    <col min="28" max="68" width="8.625" style="166"/>
    <col min="69" max="69" width="11.625" style="166" customWidth="1"/>
    <col min="70" max="80" width="8.625" style="166"/>
    <col min="81" max="81" width="11.625" style="166" customWidth="1"/>
    <col min="82" max="16384" width="8.625" style="166"/>
  </cols>
  <sheetData>
    <row r="10" spans="1:79" s="384" customFormat="1" ht="30" customHeight="1" x14ac:dyDescent="0.25">
      <c r="A10" s="744"/>
      <c r="B10" s="380" t="s">
        <v>846</v>
      </c>
      <c r="C10" s="38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2"/>
      <c r="BX10" s="382"/>
      <c r="BY10" s="382"/>
      <c r="BZ10" s="382"/>
      <c r="CA10" s="383"/>
    </row>
    <row r="11" spans="1:79" s="389" customFormat="1" ht="18.75" outlineLevel="1" x14ac:dyDescent="0.25">
      <c r="A11" s="385"/>
      <c r="B11" s="386"/>
      <c r="C11" s="387"/>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row>
    <row r="12" spans="1:79" s="389" customFormat="1" outlineLevel="1" x14ac:dyDescent="0.25">
      <c r="A12" s="385"/>
      <c r="B12" s="390" t="s">
        <v>592</v>
      </c>
      <c r="C12" s="391"/>
      <c r="D12" s="391"/>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row>
    <row r="13" spans="1:79" s="389" customFormat="1" outlineLevel="1" x14ac:dyDescent="0.25">
      <c r="A13" s="385"/>
      <c r="B13" s="392" t="s">
        <v>23</v>
      </c>
      <c r="C13" s="392" t="s">
        <v>3</v>
      </c>
      <c r="D13" s="392" t="s">
        <v>596</v>
      </c>
      <c r="E13" s="388"/>
      <c r="F13" s="388"/>
      <c r="G13" s="388"/>
      <c r="H13" s="388"/>
      <c r="I13" s="388"/>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row>
    <row r="14" spans="1:79" s="389" customFormat="1" outlineLevel="1" x14ac:dyDescent="0.25">
      <c r="A14" s="385"/>
      <c r="B14" s="393" t="s">
        <v>6</v>
      </c>
      <c r="C14" s="394" t="s">
        <v>593</v>
      </c>
      <c r="D14" s="394" t="s">
        <v>597</v>
      </c>
      <c r="E14" s="388"/>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row>
    <row r="15" spans="1:79" s="389" customFormat="1" ht="47.25" outlineLevel="1" x14ac:dyDescent="0.25">
      <c r="A15" s="385"/>
      <c r="B15" s="393" t="str">
        <f>K23</f>
        <v>Manufatura ou Construção</v>
      </c>
      <c r="C15" s="394" t="s">
        <v>594</v>
      </c>
      <c r="D15" s="394" t="s">
        <v>599</v>
      </c>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row>
    <row r="16" spans="1:79" s="389" customFormat="1" outlineLevel="1" x14ac:dyDescent="0.25">
      <c r="A16" s="385"/>
      <c r="B16" s="393" t="str">
        <f>L23</f>
        <v>Comercial ou Institucional</v>
      </c>
      <c r="C16" s="394" t="s">
        <v>595</v>
      </c>
      <c r="D16" s="394" t="s">
        <v>598</v>
      </c>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row>
    <row r="17" spans="1:75" s="389" customFormat="1" outlineLevel="1" x14ac:dyDescent="0.25">
      <c r="A17" s="385"/>
      <c r="B17" s="393" t="str">
        <f>M23</f>
        <v>Residencial</v>
      </c>
      <c r="C17" s="394" t="s">
        <v>1474</v>
      </c>
      <c r="D17" s="394" t="s">
        <v>1477</v>
      </c>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row>
    <row r="18" spans="1:75" s="389" customFormat="1" ht="18.75" outlineLevel="1" x14ac:dyDescent="0.25">
      <c r="A18" s="385"/>
      <c r="B18" s="386"/>
      <c r="C18" s="387"/>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row>
    <row r="19" spans="1:75" s="389" customFormat="1" ht="18.75" outlineLevel="1" x14ac:dyDescent="0.25">
      <c r="A19" s="385"/>
      <c r="B19" s="386"/>
      <c r="C19" s="387"/>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8"/>
      <c r="BI19" s="388"/>
      <c r="BJ19" s="388"/>
      <c r="BK19" s="388"/>
      <c r="BL19" s="388"/>
      <c r="BM19" s="388"/>
      <c r="BN19" s="388"/>
      <c r="BO19" s="388"/>
      <c r="BP19" s="388"/>
      <c r="BQ19" s="388"/>
      <c r="BR19" s="388"/>
      <c r="BS19" s="388"/>
      <c r="BT19" s="388"/>
      <c r="BU19" s="388"/>
      <c r="BV19" s="388"/>
      <c r="BW19" s="388"/>
    </row>
    <row r="20" spans="1:75" s="389" customFormat="1" ht="23.25" outlineLevel="1" x14ac:dyDescent="0.25">
      <c r="A20" s="385"/>
      <c r="B20" s="629" t="s">
        <v>1206</v>
      </c>
      <c r="C20" s="387"/>
      <c r="D20" s="388"/>
      <c r="E20" s="388"/>
      <c r="F20" s="388"/>
      <c r="G20" s="388"/>
      <c r="H20" s="388"/>
      <c r="I20" s="388"/>
      <c r="J20" s="388"/>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388"/>
      <c r="AY20" s="388"/>
      <c r="AZ20" s="388"/>
      <c r="BA20" s="388"/>
      <c r="BB20" s="388"/>
      <c r="BC20" s="388"/>
      <c r="BD20" s="388"/>
      <c r="BE20" s="388"/>
      <c r="BF20" s="388"/>
      <c r="BG20" s="388"/>
      <c r="BH20" s="388"/>
      <c r="BI20" s="388"/>
      <c r="BJ20" s="388"/>
      <c r="BK20" s="388"/>
      <c r="BL20" s="388"/>
      <c r="BM20" s="388"/>
      <c r="BN20" s="388"/>
      <c r="BO20" s="388"/>
      <c r="BP20" s="388"/>
      <c r="BQ20" s="388"/>
      <c r="BR20" s="388"/>
      <c r="BS20" s="388"/>
      <c r="BT20" s="388"/>
      <c r="BU20" s="388"/>
      <c r="BV20" s="388"/>
      <c r="BW20" s="388"/>
    </row>
    <row r="21" spans="1:75" s="395" customFormat="1" outlineLevel="1" x14ac:dyDescent="0.25">
      <c r="B21" s="1227" t="s">
        <v>2</v>
      </c>
      <c r="C21" s="1227" t="s">
        <v>406</v>
      </c>
      <c r="D21" s="1230" t="s">
        <v>26</v>
      </c>
      <c r="E21" s="1316" t="s">
        <v>407</v>
      </c>
      <c r="F21" s="1319"/>
      <c r="G21" s="1316" t="s">
        <v>1207</v>
      </c>
      <c r="H21" s="1319"/>
      <c r="I21" s="1227" t="s">
        <v>1207</v>
      </c>
      <c r="J21" s="1187" t="s">
        <v>408</v>
      </c>
      <c r="K21" s="1342"/>
      <c r="L21" s="1342"/>
      <c r="M21" s="1342"/>
      <c r="N21" s="1342"/>
      <c r="O21" s="1342"/>
      <c r="P21" s="1342"/>
      <c r="Q21" s="1188"/>
      <c r="R21" s="1227" t="s">
        <v>891</v>
      </c>
      <c r="S21" s="1316" t="s">
        <v>1092</v>
      </c>
      <c r="X21" s="370"/>
      <c r="Y21" s="370"/>
      <c r="Z21" s="370"/>
    </row>
    <row r="22" spans="1:75" s="395" customFormat="1" ht="18.75" outlineLevel="1" x14ac:dyDescent="0.25">
      <c r="B22" s="1228"/>
      <c r="C22" s="1228"/>
      <c r="D22" s="1231"/>
      <c r="E22" s="1318"/>
      <c r="F22" s="1320"/>
      <c r="G22" s="1318"/>
      <c r="H22" s="1320"/>
      <c r="I22" s="1229"/>
      <c r="J22" s="1187" t="s">
        <v>1025</v>
      </c>
      <c r="K22" s="1342"/>
      <c r="L22" s="1342"/>
      <c r="M22" s="1188"/>
      <c r="N22" s="1187" t="s">
        <v>1026</v>
      </c>
      <c r="O22" s="1342"/>
      <c r="P22" s="1342"/>
      <c r="Q22" s="1188"/>
      <c r="R22" s="1228"/>
      <c r="S22" s="1317"/>
      <c r="X22" s="370"/>
      <c r="Y22" s="370"/>
      <c r="Z22" s="370"/>
    </row>
    <row r="23" spans="1:75" s="395" customFormat="1" ht="31.5" outlineLevel="1" x14ac:dyDescent="0.25">
      <c r="B23" s="1229"/>
      <c r="C23" s="1229"/>
      <c r="D23" s="1232"/>
      <c r="E23" s="219" t="s">
        <v>637</v>
      </c>
      <c r="F23" s="219" t="s">
        <v>514</v>
      </c>
      <c r="G23" s="219" t="s">
        <v>590</v>
      </c>
      <c r="H23" s="219" t="s">
        <v>514</v>
      </c>
      <c r="I23" s="357" t="s">
        <v>1027</v>
      </c>
      <c r="J23" s="257" t="s">
        <v>6</v>
      </c>
      <c r="K23" s="257" t="s">
        <v>485</v>
      </c>
      <c r="L23" s="257" t="s">
        <v>486</v>
      </c>
      <c r="M23" s="257" t="s">
        <v>1473</v>
      </c>
      <c r="N23" s="257" t="s">
        <v>6</v>
      </c>
      <c r="O23" s="257" t="s">
        <v>485</v>
      </c>
      <c r="P23" s="257" t="s">
        <v>486</v>
      </c>
      <c r="Q23" s="257" t="str">
        <f>M23</f>
        <v>Residencial</v>
      </c>
      <c r="R23" s="1229"/>
      <c r="S23" s="1318"/>
      <c r="X23" s="234"/>
      <c r="Y23" s="234"/>
      <c r="Z23" s="370"/>
    </row>
    <row r="24" spans="1:75" s="396" customFormat="1" ht="78.75" outlineLevel="1" x14ac:dyDescent="0.25">
      <c r="B24" s="735" t="s">
        <v>7</v>
      </c>
      <c r="C24" s="397" t="s">
        <v>459</v>
      </c>
      <c r="D24" s="281" t="s">
        <v>35</v>
      </c>
      <c r="E24" s="398">
        <f>26.7*1000</f>
        <v>26700</v>
      </c>
      <c r="F24" s="394" t="s">
        <v>587</v>
      </c>
      <c r="G24" s="399">
        <f>98300*0.98</f>
        <v>96334</v>
      </c>
      <c r="H24" s="394" t="s">
        <v>1478</v>
      </c>
      <c r="I24" s="561">
        <f>G24*E24/1000000</f>
        <v>2572.1178</v>
      </c>
      <c r="J24" s="400">
        <v>2.6699999999999998E-5</v>
      </c>
      <c r="K24" s="400">
        <v>2.6699999999999998E-4</v>
      </c>
      <c r="L24" s="400">
        <v>2.6699999999999998E-4</v>
      </c>
      <c r="M24" s="400">
        <v>8.0099999999999998E-3</v>
      </c>
      <c r="N24" s="400">
        <v>4.0049999999999998E-5</v>
      </c>
      <c r="O24" s="400">
        <v>4.0049999999999998E-5</v>
      </c>
      <c r="P24" s="400">
        <v>4.0049999999999998E-5</v>
      </c>
      <c r="Q24" s="401">
        <v>4.0049999999999998E-5</v>
      </c>
      <c r="R24" s="398"/>
      <c r="S24" s="402" t="s">
        <v>1074</v>
      </c>
      <c r="X24" s="172"/>
      <c r="Y24" s="172"/>
      <c r="Z24" s="251"/>
    </row>
    <row r="25" spans="1:75" s="403" customFormat="1" ht="78.75" outlineLevel="1" x14ac:dyDescent="0.25">
      <c r="B25" s="439" t="s">
        <v>447</v>
      </c>
      <c r="C25" s="404" t="s">
        <v>409</v>
      </c>
      <c r="D25" s="281" t="s">
        <v>35</v>
      </c>
      <c r="E25" s="405">
        <f>40.2*1000</f>
        <v>40200</v>
      </c>
      <c r="F25" s="394" t="s">
        <v>587</v>
      </c>
      <c r="G25" s="399">
        <f>80700*0.98</f>
        <v>79086</v>
      </c>
      <c r="H25" s="394" t="s">
        <v>1198</v>
      </c>
      <c r="I25" s="561">
        <f t="shared" ref="I25:I75" si="0">G25*E25/1000000</f>
        <v>3179.2572</v>
      </c>
      <c r="J25" s="400">
        <v>1.206E-4</v>
      </c>
      <c r="K25" s="400">
        <v>1.206E-4</v>
      </c>
      <c r="L25" s="400">
        <v>4.0199999999999996E-4</v>
      </c>
      <c r="M25" s="400">
        <v>4.0199999999999996E-4</v>
      </c>
      <c r="N25" s="400">
        <v>2.4119999999999999E-5</v>
      </c>
      <c r="O25" s="400">
        <v>2.4119999999999999E-5</v>
      </c>
      <c r="P25" s="400">
        <v>2.4119999999999999E-5</v>
      </c>
      <c r="Q25" s="401">
        <v>2.4119999999999999E-5</v>
      </c>
      <c r="R25" s="398"/>
      <c r="S25" s="406" t="s">
        <v>47</v>
      </c>
      <c r="X25" s="172"/>
      <c r="Y25" s="172"/>
      <c r="Z25" s="251"/>
    </row>
    <row r="26" spans="1:75" s="403" customFormat="1" ht="78.75" outlineLevel="1" x14ac:dyDescent="0.25">
      <c r="B26" s="609" t="s">
        <v>1075</v>
      </c>
      <c r="C26" s="404" t="s">
        <v>460</v>
      </c>
      <c r="D26" s="281" t="s">
        <v>35</v>
      </c>
      <c r="E26" s="405">
        <f>20*1000</f>
        <v>20000</v>
      </c>
      <c r="F26" s="394" t="s">
        <v>587</v>
      </c>
      <c r="G26" s="399">
        <f>97500*0.98</f>
        <v>95550</v>
      </c>
      <c r="H26" s="394" t="s">
        <v>1198</v>
      </c>
      <c r="I26" s="561">
        <f t="shared" si="0"/>
        <v>1911</v>
      </c>
      <c r="J26" s="400">
        <v>2.0699999999999998E-5</v>
      </c>
      <c r="K26" s="400">
        <v>2.0699999999999999E-4</v>
      </c>
      <c r="L26" s="400">
        <v>2.0699999999999999E-4</v>
      </c>
      <c r="M26" s="400">
        <v>6.2099999999999994E-3</v>
      </c>
      <c r="N26" s="400">
        <v>3.1049999999999996E-5</v>
      </c>
      <c r="O26" s="400">
        <v>3.1049999999999996E-5</v>
      </c>
      <c r="P26" s="400">
        <v>3.1049999999999996E-5</v>
      </c>
      <c r="Q26" s="401">
        <v>3.1049999999999996E-5</v>
      </c>
      <c r="R26" s="398"/>
      <c r="S26" s="264" t="s">
        <v>852</v>
      </c>
      <c r="W26" s="172"/>
      <c r="X26" s="172"/>
      <c r="Y26" s="172"/>
      <c r="Z26" s="251"/>
    </row>
    <row r="27" spans="1:75" s="403" customFormat="1" outlineLevel="1" x14ac:dyDescent="0.25">
      <c r="B27" s="439" t="s">
        <v>884</v>
      </c>
      <c r="C27" s="404" t="s">
        <v>428</v>
      </c>
      <c r="D27" s="281" t="s">
        <v>35</v>
      </c>
      <c r="E27" s="405">
        <f>40.2*1000</f>
        <v>40200</v>
      </c>
      <c r="F27" s="394" t="s">
        <v>760</v>
      </c>
      <c r="G27" s="399">
        <v>73300</v>
      </c>
      <c r="H27" s="394" t="s">
        <v>587</v>
      </c>
      <c r="I27" s="561">
        <f t="shared" si="0"/>
        <v>2946.66</v>
      </c>
      <c r="J27" s="400">
        <v>1.206E-4</v>
      </c>
      <c r="K27" s="400">
        <v>1.206E-4</v>
      </c>
      <c r="L27" s="400">
        <v>4.0199999999999996E-4</v>
      </c>
      <c r="M27" s="400">
        <v>4.0199999999999996E-4</v>
      </c>
      <c r="N27" s="400">
        <v>2.4119999999999999E-5</v>
      </c>
      <c r="O27" s="400">
        <v>2.4119999999999999E-5</v>
      </c>
      <c r="P27" s="400">
        <v>2.4119999999999999E-5</v>
      </c>
      <c r="Q27" s="401">
        <v>2.4119999999999999E-5</v>
      </c>
      <c r="R27" s="398"/>
      <c r="S27" s="406" t="s">
        <v>47</v>
      </c>
      <c r="T27" s="172"/>
      <c r="U27" s="172"/>
      <c r="V27" s="172"/>
      <c r="W27" s="172"/>
      <c r="X27" s="172"/>
      <c r="Y27" s="172"/>
      <c r="Z27" s="251"/>
    </row>
    <row r="28" spans="1:75" s="403" customFormat="1" ht="78.75" outlineLevel="1" x14ac:dyDescent="0.25">
      <c r="B28" s="439" t="s">
        <v>8</v>
      </c>
      <c r="C28" s="404" t="s">
        <v>410</v>
      </c>
      <c r="D28" s="281" t="s">
        <v>35</v>
      </c>
      <c r="E28" s="405">
        <f>28.2*1000</f>
        <v>28200</v>
      </c>
      <c r="F28" s="394" t="s">
        <v>587</v>
      </c>
      <c r="G28" s="399">
        <f>94600*0.98</f>
        <v>92708</v>
      </c>
      <c r="H28" s="394" t="s">
        <v>1198</v>
      </c>
      <c r="I28" s="561">
        <f t="shared" si="0"/>
        <v>2614.3656000000001</v>
      </c>
      <c r="J28" s="400">
        <v>2.8199999999999998E-5</v>
      </c>
      <c r="K28" s="400">
        <v>2.8199999999999997E-4</v>
      </c>
      <c r="L28" s="400">
        <v>2.8199999999999997E-4</v>
      </c>
      <c r="M28" s="400">
        <v>8.4599999999999988E-3</v>
      </c>
      <c r="N28" s="400">
        <v>4.2299999999999998E-5</v>
      </c>
      <c r="O28" s="400">
        <v>4.2299999999999998E-5</v>
      </c>
      <c r="P28" s="400">
        <v>4.2299999999999998E-5</v>
      </c>
      <c r="Q28" s="401">
        <v>4.2299999999999998E-5</v>
      </c>
      <c r="R28" s="398"/>
      <c r="S28" s="264" t="s">
        <v>1094</v>
      </c>
      <c r="T28" s="172"/>
      <c r="U28" s="172"/>
      <c r="V28" s="172"/>
      <c r="W28" s="172"/>
      <c r="X28" s="172"/>
      <c r="Y28" s="172"/>
      <c r="Z28" s="251"/>
    </row>
    <row r="29" spans="1:75" s="403" customFormat="1" ht="157.5" outlineLevel="1" x14ac:dyDescent="0.25">
      <c r="B29" s="439" t="s">
        <v>1076</v>
      </c>
      <c r="C29" s="404" t="s">
        <v>412</v>
      </c>
      <c r="D29" s="281" t="s">
        <v>35</v>
      </c>
      <c r="E29" s="405">
        <f>28.35*1000</f>
        <v>28350</v>
      </c>
      <c r="F29" s="394" t="s">
        <v>587</v>
      </c>
      <c r="G29" s="399">
        <f>107000*0.98</f>
        <v>104860</v>
      </c>
      <c r="H29" s="394" t="s">
        <v>1198</v>
      </c>
      <c r="I29" s="561">
        <f t="shared" si="0"/>
        <v>2972.7809999999999</v>
      </c>
      <c r="J29" s="400">
        <v>2.8199999999999998E-5</v>
      </c>
      <c r="K29" s="400">
        <v>2.8199999999999997E-4</v>
      </c>
      <c r="L29" s="400">
        <v>2.8199999999999997E-4</v>
      </c>
      <c r="M29" s="400">
        <v>8.4599999999999988E-3</v>
      </c>
      <c r="N29" s="400">
        <v>4.2299999999999998E-5</v>
      </c>
      <c r="O29" s="400">
        <v>4.2299999999999998E-5</v>
      </c>
      <c r="P29" s="400">
        <v>4.2299999999999998E-5</v>
      </c>
      <c r="Q29" s="401">
        <v>4.2299999999999998E-5</v>
      </c>
      <c r="R29" s="398"/>
      <c r="S29" s="264" t="s">
        <v>1091</v>
      </c>
      <c r="T29" s="172"/>
      <c r="U29" s="172"/>
      <c r="V29" s="172"/>
      <c r="W29" s="172"/>
      <c r="X29" s="172"/>
      <c r="Y29" s="172"/>
      <c r="Z29" s="251"/>
    </row>
    <row r="30" spans="1:75" s="403" customFormat="1" ht="78.75" outlineLevel="1" x14ac:dyDescent="0.25">
      <c r="B30" s="439" t="s">
        <v>413</v>
      </c>
      <c r="C30" s="404" t="s">
        <v>414</v>
      </c>
      <c r="D30" s="281" t="s">
        <v>35</v>
      </c>
      <c r="E30" s="405">
        <f>31.75*1000</f>
        <v>31750</v>
      </c>
      <c r="F30" s="394" t="s">
        <v>587</v>
      </c>
      <c r="G30" s="399">
        <f>97500*0.98</f>
        <v>95550</v>
      </c>
      <c r="H30" s="394" t="s">
        <v>1198</v>
      </c>
      <c r="I30" s="561">
        <f t="shared" si="0"/>
        <v>3033.7125000000001</v>
      </c>
      <c r="J30" s="400">
        <v>9.7499999999999998E-5</v>
      </c>
      <c r="K30" s="400">
        <v>9.7499999999999998E-5</v>
      </c>
      <c r="L30" s="400">
        <v>3.2499999999999999E-4</v>
      </c>
      <c r="M30" s="400">
        <v>3.2499999999999999E-4</v>
      </c>
      <c r="N30" s="400">
        <v>1.95E-5</v>
      </c>
      <c r="O30" s="400">
        <v>1.95E-5</v>
      </c>
      <c r="P30" s="400">
        <v>1.95E-5</v>
      </c>
      <c r="Q30" s="401">
        <v>1.95E-5</v>
      </c>
      <c r="R30" s="398"/>
      <c r="S30" s="406" t="s">
        <v>47</v>
      </c>
      <c r="T30" s="251"/>
      <c r="U30" s="251"/>
      <c r="V30" s="251"/>
      <c r="W30" s="251"/>
      <c r="X30" s="251"/>
      <c r="Y30" s="251"/>
      <c r="Z30" s="251"/>
    </row>
    <row r="31" spans="1:75" s="403" customFormat="1" ht="34.5" outlineLevel="1" x14ac:dyDescent="0.25">
      <c r="B31" s="439" t="s">
        <v>4</v>
      </c>
      <c r="C31" s="404" t="s">
        <v>415</v>
      </c>
      <c r="D31" s="281" t="s">
        <v>634</v>
      </c>
      <c r="E31" s="405">
        <f>46.4</f>
        <v>46.4</v>
      </c>
      <c r="F31" s="394" t="s">
        <v>760</v>
      </c>
      <c r="G31" s="399">
        <v>61600</v>
      </c>
      <c r="H31" s="394" t="s">
        <v>587</v>
      </c>
      <c r="I31" s="561">
        <f t="shared" si="0"/>
        <v>2.8582399999999999</v>
      </c>
      <c r="J31" s="400">
        <v>6.032E-8</v>
      </c>
      <c r="K31" s="400">
        <v>6.032E-8</v>
      </c>
      <c r="L31" s="400">
        <v>3.016E-7</v>
      </c>
      <c r="M31" s="400">
        <v>3.016E-7</v>
      </c>
      <c r="N31" s="400">
        <v>6.0319999999999998E-9</v>
      </c>
      <c r="O31" s="400">
        <v>6.0319999999999998E-9</v>
      </c>
      <c r="P31" s="400">
        <v>6.0319999999999998E-9</v>
      </c>
      <c r="Q31" s="401">
        <v>6.0319999999999998E-9</v>
      </c>
      <c r="R31" s="398"/>
      <c r="S31" s="264" t="s">
        <v>1126</v>
      </c>
      <c r="T31" s="251"/>
      <c r="U31" s="251"/>
      <c r="V31" s="251"/>
      <c r="W31" s="251"/>
      <c r="X31" s="251"/>
      <c r="Y31" s="251"/>
      <c r="Z31" s="251"/>
    </row>
    <row r="32" spans="1:75" s="396" customFormat="1" ht="78.75" outlineLevel="1" x14ac:dyDescent="0.25">
      <c r="B32" s="439" t="s">
        <v>883</v>
      </c>
      <c r="C32" s="404" t="s">
        <v>1197</v>
      </c>
      <c r="D32" s="281" t="s">
        <v>31</v>
      </c>
      <c r="E32" s="405">
        <f>40.2*944/1000</f>
        <v>37.948800000000006</v>
      </c>
      <c r="F32" s="394" t="s">
        <v>762</v>
      </c>
      <c r="G32" s="399">
        <f>77400*0.99</f>
        <v>76626</v>
      </c>
      <c r="H32" s="394" t="s">
        <v>1196</v>
      </c>
      <c r="I32" s="561">
        <f t="shared" si="0"/>
        <v>2.9078647488000007</v>
      </c>
      <c r="J32" s="400">
        <v>1.13928E-7</v>
      </c>
      <c r="K32" s="400">
        <v>1.13928E-7</v>
      </c>
      <c r="L32" s="400">
        <v>3.7976000000000001E-7</v>
      </c>
      <c r="M32" s="400">
        <v>3.7976000000000001E-7</v>
      </c>
      <c r="N32" s="400">
        <v>2.2785599999999995E-8</v>
      </c>
      <c r="O32" s="400">
        <v>2.2785599999999995E-8</v>
      </c>
      <c r="P32" s="400">
        <v>2.2785599999999995E-8</v>
      </c>
      <c r="Q32" s="401">
        <v>2.2785599999999995E-8</v>
      </c>
      <c r="R32" s="398">
        <v>2.2411459459459466E-6</v>
      </c>
      <c r="S32" s="406" t="s">
        <v>47</v>
      </c>
      <c r="T32" s="282"/>
      <c r="U32" s="282"/>
      <c r="V32" s="282"/>
      <c r="W32" s="282"/>
      <c r="X32" s="282"/>
      <c r="Y32" s="282"/>
      <c r="Z32" s="282"/>
    </row>
    <row r="33" spans="2:26" s="403" customFormat="1" ht="78.75" outlineLevel="1" x14ac:dyDescent="0.25">
      <c r="B33" s="439" t="s">
        <v>448</v>
      </c>
      <c r="C33" s="404" t="s">
        <v>461</v>
      </c>
      <c r="D33" s="281" t="s">
        <v>35</v>
      </c>
      <c r="E33" s="405">
        <f>2.5*1000</f>
        <v>2500</v>
      </c>
      <c r="F33" s="394" t="s">
        <v>587</v>
      </c>
      <c r="G33" s="399">
        <f>260000*0.995</f>
        <v>258700</v>
      </c>
      <c r="H33" s="394" t="s">
        <v>1195</v>
      </c>
      <c r="I33" s="561">
        <f t="shared" si="0"/>
        <v>646.75</v>
      </c>
      <c r="J33" s="400">
        <f>1*0.995</f>
        <v>0.995</v>
      </c>
      <c r="K33" s="400">
        <f t="shared" ref="K33:M34" si="1">1*0.995</f>
        <v>0.995</v>
      </c>
      <c r="L33" s="400">
        <f t="shared" si="1"/>
        <v>0.995</v>
      </c>
      <c r="M33" s="400">
        <f t="shared" si="1"/>
        <v>0.995</v>
      </c>
      <c r="N33" s="400">
        <f>0.1*0.995</f>
        <v>9.9500000000000005E-2</v>
      </c>
      <c r="O33" s="400">
        <f t="shared" ref="O33:Q34" si="2">0.1*0.995</f>
        <v>9.9500000000000005E-2</v>
      </c>
      <c r="P33" s="400">
        <f t="shared" si="2"/>
        <v>9.9500000000000005E-2</v>
      </c>
      <c r="Q33" s="400">
        <f t="shared" si="2"/>
        <v>9.9500000000000005E-2</v>
      </c>
      <c r="R33" s="398"/>
      <c r="S33" s="264" t="s">
        <v>855</v>
      </c>
      <c r="T33" s="251"/>
      <c r="U33" s="251"/>
      <c r="V33" s="251"/>
      <c r="W33" s="251"/>
      <c r="X33" s="251"/>
      <c r="Y33" s="251"/>
      <c r="Z33" s="251"/>
    </row>
    <row r="34" spans="2:26" s="403" customFormat="1" ht="78.75" outlineLevel="1" x14ac:dyDescent="0.25">
      <c r="B34" s="439" t="s">
        <v>449</v>
      </c>
      <c r="C34" s="404" t="s">
        <v>416</v>
      </c>
      <c r="D34" s="281" t="s">
        <v>35</v>
      </c>
      <c r="E34" s="405">
        <f>38.7*1000</f>
        <v>38700</v>
      </c>
      <c r="F34" s="394" t="s">
        <v>587</v>
      </c>
      <c r="G34" s="399">
        <f>44400*0.995</f>
        <v>44178</v>
      </c>
      <c r="H34" s="394" t="s">
        <v>1195</v>
      </c>
      <c r="I34" s="561">
        <f t="shared" si="0"/>
        <v>1709.6886</v>
      </c>
      <c r="J34" s="400">
        <f>1*0.995</f>
        <v>0.995</v>
      </c>
      <c r="K34" s="400">
        <f t="shared" si="1"/>
        <v>0.995</v>
      </c>
      <c r="L34" s="400">
        <f t="shared" si="1"/>
        <v>0.995</v>
      </c>
      <c r="M34" s="400">
        <f t="shared" si="1"/>
        <v>0.995</v>
      </c>
      <c r="N34" s="400">
        <f>0.1*0.995</f>
        <v>9.9500000000000005E-2</v>
      </c>
      <c r="O34" s="400">
        <f t="shared" si="2"/>
        <v>9.9500000000000005E-2</v>
      </c>
      <c r="P34" s="400">
        <f t="shared" si="2"/>
        <v>9.9500000000000005E-2</v>
      </c>
      <c r="Q34" s="400">
        <f t="shared" si="2"/>
        <v>9.9500000000000005E-2</v>
      </c>
      <c r="R34" s="398"/>
      <c r="S34" s="264" t="s">
        <v>854</v>
      </c>
      <c r="T34" s="251"/>
      <c r="U34" s="251"/>
      <c r="V34" s="251"/>
      <c r="W34" s="251"/>
      <c r="X34" s="251"/>
      <c r="Y34" s="251"/>
      <c r="Z34" s="251"/>
    </row>
    <row r="35" spans="2:26" s="403" customFormat="1" ht="299.25" outlineLevel="1" x14ac:dyDescent="0.25">
      <c r="B35" s="439" t="s">
        <v>853</v>
      </c>
      <c r="C35" s="404" t="s">
        <v>462</v>
      </c>
      <c r="D35" s="281" t="s">
        <v>634</v>
      </c>
      <c r="E35" s="405">
        <v>38.700000000000003</v>
      </c>
      <c r="F35" s="394" t="s">
        <v>587</v>
      </c>
      <c r="G35" s="399">
        <v>44700</v>
      </c>
      <c r="H35" s="394" t="s">
        <v>587</v>
      </c>
      <c r="I35" s="561">
        <f t="shared" si="0"/>
        <v>1.7298900000000001</v>
      </c>
      <c r="J35" s="400">
        <v>3.8699999999999999E-5</v>
      </c>
      <c r="K35" s="400">
        <v>3.8699999999999999E-5</v>
      </c>
      <c r="L35" s="400">
        <v>1.9349999999999999E-4</v>
      </c>
      <c r="M35" s="400">
        <v>1.9349999999999999E-4</v>
      </c>
      <c r="N35" s="400">
        <v>3.8700000000000002E-6</v>
      </c>
      <c r="O35" s="400">
        <v>3.8700000000000002E-6</v>
      </c>
      <c r="P35" s="400">
        <v>3.8700000000000002E-6</v>
      </c>
      <c r="Q35" s="401">
        <v>3.8700000000000002E-6</v>
      </c>
      <c r="R35" s="398"/>
      <c r="S35" s="264" t="s">
        <v>1093</v>
      </c>
      <c r="T35" s="251"/>
      <c r="U35" s="251"/>
      <c r="V35" s="251"/>
      <c r="W35" s="251"/>
      <c r="X35" s="251"/>
      <c r="Y35" s="251"/>
      <c r="Z35" s="251"/>
    </row>
    <row r="36" spans="2:26" s="403" customFormat="1" outlineLevel="1" x14ac:dyDescent="0.25">
      <c r="B36" s="439" t="s">
        <v>1077</v>
      </c>
      <c r="C36" s="404" t="s">
        <v>463</v>
      </c>
      <c r="D36" s="281" t="s">
        <v>35</v>
      </c>
      <c r="E36" s="405">
        <f>7.1*1000</f>
        <v>7100</v>
      </c>
      <c r="F36" s="394" t="s">
        <v>587</v>
      </c>
      <c r="G36" s="399">
        <v>171800</v>
      </c>
      <c r="H36" s="394" t="s">
        <v>587</v>
      </c>
      <c r="I36" s="561">
        <f t="shared" si="0"/>
        <v>1219.78</v>
      </c>
      <c r="J36" s="400">
        <v>7.0599999999999993E-6</v>
      </c>
      <c r="K36" s="400">
        <v>7.0599999999999993E-6</v>
      </c>
      <c r="L36" s="400">
        <v>3.5299999999999997E-5</v>
      </c>
      <c r="M36" s="400">
        <v>3.5299999999999997E-5</v>
      </c>
      <c r="N36" s="400">
        <v>7.0599999999999989E-7</v>
      </c>
      <c r="O36" s="400">
        <v>7.0599999999999989E-7</v>
      </c>
      <c r="P36" s="400">
        <v>7.0599999999999989E-7</v>
      </c>
      <c r="Q36" s="401">
        <v>7.0599999999999989E-7</v>
      </c>
      <c r="R36" s="398"/>
      <c r="S36" s="406" t="s">
        <v>47</v>
      </c>
      <c r="T36" s="251"/>
      <c r="U36" s="251"/>
      <c r="V36" s="251"/>
      <c r="W36" s="251"/>
      <c r="X36" s="251"/>
      <c r="Y36" s="251"/>
      <c r="Z36" s="251"/>
    </row>
    <row r="37" spans="2:26" s="396" customFormat="1" ht="116.25" outlineLevel="1" x14ac:dyDescent="0.25">
      <c r="B37" s="439" t="s">
        <v>1079</v>
      </c>
      <c r="C37" s="404" t="s">
        <v>418</v>
      </c>
      <c r="D37" s="281" t="s">
        <v>31</v>
      </c>
      <c r="E37" s="405">
        <f>46.65*(0.502)</f>
        <v>23.418299999999999</v>
      </c>
      <c r="F37" s="394" t="s">
        <v>763</v>
      </c>
      <c r="G37" s="399">
        <f>63100*0.995</f>
        <v>62784.5</v>
      </c>
      <c r="H37" s="394" t="s">
        <v>1195</v>
      </c>
      <c r="I37" s="561">
        <f t="shared" si="0"/>
        <v>1.47030625635</v>
      </c>
      <c r="J37" s="400">
        <f>1*0.995</f>
        <v>0.995</v>
      </c>
      <c r="K37" s="400">
        <f t="shared" ref="K37:M39" si="3">1*0.995</f>
        <v>0.995</v>
      </c>
      <c r="L37" s="400">
        <f t="shared" si="3"/>
        <v>0.995</v>
      </c>
      <c r="M37" s="400">
        <f t="shared" si="3"/>
        <v>0.995</v>
      </c>
      <c r="N37" s="400">
        <f>0.1*0.995</f>
        <v>9.9500000000000005E-2</v>
      </c>
      <c r="O37" s="400">
        <f t="shared" ref="O37:Q39" si="4">0.1*0.995</f>
        <v>9.9500000000000005E-2</v>
      </c>
      <c r="P37" s="400">
        <f t="shared" si="4"/>
        <v>9.9500000000000005E-2</v>
      </c>
      <c r="Q37" s="400">
        <f t="shared" si="4"/>
        <v>9.9500000000000005E-2</v>
      </c>
      <c r="R37" s="398"/>
      <c r="S37" s="264" t="s">
        <v>1127</v>
      </c>
      <c r="T37" s="282"/>
      <c r="U37" s="282"/>
      <c r="V37" s="282"/>
      <c r="W37" s="282"/>
      <c r="X37" s="282"/>
      <c r="Y37" s="282"/>
      <c r="Z37" s="282"/>
    </row>
    <row r="38" spans="2:26" s="403" customFormat="1" ht="78.75" outlineLevel="1" x14ac:dyDescent="0.25">
      <c r="B38" s="439" t="s">
        <v>880</v>
      </c>
      <c r="C38" s="404" t="s">
        <v>417</v>
      </c>
      <c r="D38" s="281" t="s">
        <v>35</v>
      </c>
      <c r="E38" s="400">
        <f>49.5*1000</f>
        <v>49500</v>
      </c>
      <c r="F38" s="394" t="s">
        <v>588</v>
      </c>
      <c r="G38" s="399">
        <f>63100*0.995</f>
        <v>62784.5</v>
      </c>
      <c r="H38" s="394" t="s">
        <v>1195</v>
      </c>
      <c r="I38" s="561">
        <f>G38*E38/1000000</f>
        <v>3107.83275</v>
      </c>
      <c r="J38" s="400">
        <f>1*0.995</f>
        <v>0.995</v>
      </c>
      <c r="K38" s="400">
        <f t="shared" si="3"/>
        <v>0.995</v>
      </c>
      <c r="L38" s="400">
        <f t="shared" si="3"/>
        <v>0.995</v>
      </c>
      <c r="M38" s="400">
        <f t="shared" si="3"/>
        <v>0.995</v>
      </c>
      <c r="N38" s="400">
        <f>0.1*0.995</f>
        <v>9.9500000000000005E-2</v>
      </c>
      <c r="O38" s="400">
        <f t="shared" si="4"/>
        <v>9.9500000000000005E-2</v>
      </c>
      <c r="P38" s="400">
        <f t="shared" si="4"/>
        <v>9.9500000000000005E-2</v>
      </c>
      <c r="Q38" s="400">
        <f t="shared" si="4"/>
        <v>9.9500000000000005E-2</v>
      </c>
      <c r="R38" s="398"/>
      <c r="S38" s="406" t="s">
        <v>47</v>
      </c>
      <c r="T38" s="251"/>
      <c r="U38" s="251"/>
      <c r="V38" s="251"/>
      <c r="W38" s="251"/>
      <c r="X38" s="251"/>
      <c r="Y38" s="251"/>
      <c r="Z38" s="251"/>
    </row>
    <row r="39" spans="2:26" s="403" customFormat="1" ht="173.25" outlineLevel="1" x14ac:dyDescent="0.25">
      <c r="B39" s="439" t="s">
        <v>450</v>
      </c>
      <c r="C39" s="404" t="s">
        <v>419</v>
      </c>
      <c r="D39" s="281" t="s">
        <v>1024</v>
      </c>
      <c r="E39" s="400">
        <f>45.1*0.8404</f>
        <v>37.90204</v>
      </c>
      <c r="F39" s="394" t="s">
        <v>591</v>
      </c>
      <c r="G39" s="399">
        <f>56100*0.995</f>
        <v>55819.5</v>
      </c>
      <c r="H39" s="394" t="s">
        <v>1195</v>
      </c>
      <c r="I39" s="561">
        <f>G39*E39/1000000</f>
        <v>2.1156729217799999</v>
      </c>
      <c r="J39" s="400">
        <f>1*0.995</f>
        <v>0.995</v>
      </c>
      <c r="K39" s="400">
        <f t="shared" si="3"/>
        <v>0.995</v>
      </c>
      <c r="L39" s="400">
        <f t="shared" si="3"/>
        <v>0.995</v>
      </c>
      <c r="M39" s="400">
        <f t="shared" si="3"/>
        <v>0.995</v>
      </c>
      <c r="N39" s="400">
        <f>0.1*0.995</f>
        <v>9.9500000000000005E-2</v>
      </c>
      <c r="O39" s="400">
        <f t="shared" si="4"/>
        <v>9.9500000000000005E-2</v>
      </c>
      <c r="P39" s="400">
        <f t="shared" si="4"/>
        <v>9.9500000000000005E-2</v>
      </c>
      <c r="Q39" s="400">
        <f t="shared" si="4"/>
        <v>9.9500000000000005E-2</v>
      </c>
      <c r="R39" s="398"/>
      <c r="S39" s="264" t="s">
        <v>16</v>
      </c>
      <c r="T39" s="251"/>
      <c r="U39" s="251"/>
      <c r="V39" s="251"/>
      <c r="W39" s="251"/>
      <c r="X39" s="251"/>
      <c r="Y39" s="251"/>
      <c r="Z39" s="251"/>
    </row>
    <row r="40" spans="2:26" s="1044" customFormat="1" outlineLevel="1" x14ac:dyDescent="0.25">
      <c r="B40" s="1045" t="s">
        <v>451</v>
      </c>
      <c r="C40" s="1046" t="s">
        <v>419</v>
      </c>
      <c r="D40" s="1047" t="s">
        <v>30</v>
      </c>
      <c r="E40" s="1048">
        <v>33.6</v>
      </c>
      <c r="F40" s="1049" t="s">
        <v>591</v>
      </c>
      <c r="G40" s="399">
        <v>56100</v>
      </c>
      <c r="H40" s="394" t="s">
        <v>588</v>
      </c>
      <c r="I40" s="561">
        <f t="shared" si="0"/>
        <v>1.88496</v>
      </c>
      <c r="J40" s="1048">
        <v>3.3599999999999996E-8</v>
      </c>
      <c r="K40" s="1048">
        <v>3.3599999999999996E-8</v>
      </c>
      <c r="L40" s="1048">
        <v>1.6799999999999997E-7</v>
      </c>
      <c r="M40" s="1048">
        <v>1.6799999999999997E-7</v>
      </c>
      <c r="N40" s="1048">
        <v>3.3600000000000004E-9</v>
      </c>
      <c r="O40" s="1048">
        <v>3.3600000000000004E-9</v>
      </c>
      <c r="P40" s="1048">
        <v>3.3600000000000004E-9</v>
      </c>
      <c r="Q40" s="1052">
        <v>3.3600000000000004E-9</v>
      </c>
      <c r="R40" s="1053">
        <v>1.759262433046875E-5</v>
      </c>
      <c r="S40" s="1054" t="s">
        <v>47</v>
      </c>
      <c r="T40" s="212"/>
      <c r="U40" s="212"/>
      <c r="V40" s="212"/>
      <c r="W40" s="212"/>
      <c r="X40" s="212"/>
      <c r="Y40" s="212"/>
      <c r="Z40" s="212"/>
    </row>
    <row r="41" spans="2:26" s="403" customFormat="1" ht="78.75" outlineLevel="1" x14ac:dyDescent="0.25">
      <c r="B41" s="439" t="s">
        <v>1078</v>
      </c>
      <c r="C41" s="404" t="s">
        <v>422</v>
      </c>
      <c r="D41" s="281" t="s">
        <v>634</v>
      </c>
      <c r="E41" s="400">
        <v>44.7</v>
      </c>
      <c r="F41" s="394" t="s">
        <v>588</v>
      </c>
      <c r="G41" s="399">
        <v>64100</v>
      </c>
      <c r="H41" s="394" t="s">
        <v>587</v>
      </c>
      <c r="I41" s="561">
        <f t="shared" si="0"/>
        <v>2.8652700000000002</v>
      </c>
      <c r="J41" s="400">
        <v>1.3260000000000002E-4</v>
      </c>
      <c r="K41" s="400">
        <v>1.3260000000000002E-4</v>
      </c>
      <c r="L41" s="400">
        <v>4.4199999999999996E-4</v>
      </c>
      <c r="M41" s="400">
        <v>4.4199999999999996E-4</v>
      </c>
      <c r="N41" s="400">
        <v>2.6519999999999997E-5</v>
      </c>
      <c r="O41" s="400">
        <v>2.6519999999999997E-5</v>
      </c>
      <c r="P41" s="400">
        <v>2.6519999999999997E-5</v>
      </c>
      <c r="Q41" s="401">
        <v>2.6519999999999997E-5</v>
      </c>
      <c r="R41" s="398"/>
      <c r="S41" s="264" t="s">
        <v>877</v>
      </c>
      <c r="T41" s="251"/>
      <c r="U41" s="251"/>
      <c r="V41" s="251"/>
      <c r="W41" s="251"/>
      <c r="X41" s="251"/>
      <c r="Y41" s="251"/>
      <c r="Z41" s="251"/>
    </row>
    <row r="42" spans="2:26" s="396" customFormat="1" ht="78.75" outlineLevel="1" x14ac:dyDescent="0.25">
      <c r="B42" s="439" t="s">
        <v>1080</v>
      </c>
      <c r="C42" s="404" t="s">
        <v>464</v>
      </c>
      <c r="D42" s="281" t="s">
        <v>31</v>
      </c>
      <c r="E42" s="400">
        <f>(42.3+43.3)/2*0.837*1000/1000</f>
        <v>35.823599999999999</v>
      </c>
      <c r="F42" s="394" t="s">
        <v>762</v>
      </c>
      <c r="G42" s="399">
        <f>74100*0.99</f>
        <v>73359</v>
      </c>
      <c r="H42" s="394" t="s">
        <v>1196</v>
      </c>
      <c r="I42" s="561">
        <f t="shared" si="0"/>
        <v>2.6279834724</v>
      </c>
      <c r="J42" s="400">
        <v>1.0836E-7</v>
      </c>
      <c r="K42" s="400">
        <v>1.0836E-7</v>
      </c>
      <c r="L42" s="400">
        <v>3.6119999999999998E-7</v>
      </c>
      <c r="M42" s="400">
        <v>3.6119999999999998E-7</v>
      </c>
      <c r="N42" s="400">
        <v>2.1671999999999997E-8</v>
      </c>
      <c r="O42" s="400">
        <v>2.1671999999999997E-8</v>
      </c>
      <c r="P42" s="400">
        <v>2.1671999999999997E-8</v>
      </c>
      <c r="Q42" s="401">
        <v>2.1671999999999997E-8</v>
      </c>
      <c r="R42" s="398">
        <v>2.2411459459459466E-6</v>
      </c>
      <c r="S42" s="264" t="s">
        <v>879</v>
      </c>
      <c r="T42" s="282"/>
      <c r="U42" s="282"/>
      <c r="V42" s="282"/>
      <c r="W42" s="282"/>
      <c r="X42" s="282"/>
      <c r="Y42" s="282"/>
      <c r="Z42" s="282"/>
    </row>
    <row r="43" spans="2:26" s="408" customFormat="1" ht="144" outlineLevel="1" x14ac:dyDescent="0.25">
      <c r="B43" s="439" t="s">
        <v>10</v>
      </c>
      <c r="C43" s="404" t="s">
        <v>420</v>
      </c>
      <c r="D43" s="281" t="s">
        <v>31</v>
      </c>
      <c r="E43" s="405">
        <f>(44.5*(715/780)/2)/1000</f>
        <v>2.0395833333333332E-2</v>
      </c>
      <c r="F43" s="394" t="s">
        <v>761</v>
      </c>
      <c r="G43" s="399">
        <f>69300*0.99</f>
        <v>68607</v>
      </c>
      <c r="H43" s="394" t="s">
        <v>1196</v>
      </c>
      <c r="I43" s="561">
        <f>G43*E43/1000000</f>
        <v>1.3992969374999997E-3</v>
      </c>
      <c r="J43" s="400">
        <v>9.8345999999999986E-8</v>
      </c>
      <c r="K43" s="400">
        <v>9.8345999999999986E-8</v>
      </c>
      <c r="L43" s="400">
        <v>3.2781999999999998E-7</v>
      </c>
      <c r="M43" s="400">
        <v>3.2781999999999998E-7</v>
      </c>
      <c r="N43" s="400">
        <v>1.9669199999999997E-8</v>
      </c>
      <c r="O43" s="400">
        <v>1.9669199999999997E-8</v>
      </c>
      <c r="P43" s="400">
        <v>1.9669199999999997E-8</v>
      </c>
      <c r="Q43" s="401">
        <v>1.9669199999999997E-8</v>
      </c>
      <c r="R43" s="398">
        <v>2.2411459459459466E-6</v>
      </c>
      <c r="S43" s="264" t="s">
        <v>1125</v>
      </c>
      <c r="T43" s="407"/>
      <c r="U43" s="407"/>
      <c r="V43" s="407"/>
      <c r="W43" s="407"/>
      <c r="X43" s="407"/>
      <c r="Y43" s="407"/>
      <c r="Z43" s="407"/>
    </row>
    <row r="44" spans="2:26" s="396" customFormat="1" ht="78.75" outlineLevel="1" x14ac:dyDescent="0.25">
      <c r="B44" s="439" t="s">
        <v>189</v>
      </c>
      <c r="C44" s="404" t="s">
        <v>421</v>
      </c>
      <c r="D44" s="281" t="s">
        <v>31</v>
      </c>
      <c r="E44" s="400">
        <f>E43</f>
        <v>2.0395833333333332E-2</v>
      </c>
      <c r="F44" s="409" t="str">
        <f>F43</f>
        <v xml:space="preserve">PCI - Despacho n.º 17313/2008; densidade - https://www.engineeringtoolbox.com/fuels-densities-specific-volumes-d_166.html </v>
      </c>
      <c r="G44" s="399">
        <f>700000*0.99</f>
        <v>693000</v>
      </c>
      <c r="H44" s="394" t="s">
        <v>1196</v>
      </c>
      <c r="I44" s="561">
        <f t="shared" si="0"/>
        <v>1.4134312499999998E-2</v>
      </c>
      <c r="J44" s="400">
        <v>9.4358999999999978E-8</v>
      </c>
      <c r="K44" s="400">
        <v>9.4358999999999978E-8</v>
      </c>
      <c r="L44" s="400">
        <v>3.1453E-7</v>
      </c>
      <c r="M44" s="400">
        <v>3.1453E-7</v>
      </c>
      <c r="N44" s="400">
        <v>1.8871799999999998E-8</v>
      </c>
      <c r="O44" s="400">
        <v>1.8871799999999998E-8</v>
      </c>
      <c r="P44" s="400">
        <v>1.8871799999999998E-8</v>
      </c>
      <c r="Q44" s="401">
        <v>1.8871799999999998E-8</v>
      </c>
      <c r="R44" s="398">
        <v>2.2411459459459466E-6</v>
      </c>
      <c r="S44" s="406" t="s">
        <v>47</v>
      </c>
      <c r="T44" s="282"/>
      <c r="U44" s="282"/>
      <c r="V44" s="282"/>
      <c r="W44" s="282"/>
      <c r="X44" s="282"/>
      <c r="Y44" s="282"/>
      <c r="Z44" s="282"/>
    </row>
    <row r="45" spans="2:26" s="396" customFormat="1" ht="78.75" outlineLevel="1" x14ac:dyDescent="0.25">
      <c r="B45" s="439" t="s">
        <v>890</v>
      </c>
      <c r="C45" s="404" t="s">
        <v>465</v>
      </c>
      <c r="D45" s="281" t="s">
        <v>31</v>
      </c>
      <c r="E45" s="400">
        <f>E44</f>
        <v>2.0395833333333332E-2</v>
      </c>
      <c r="F45" s="409" t="str">
        <f>F44</f>
        <v xml:space="preserve">PCI - Despacho n.º 17313/2008; densidade - https://www.engineeringtoolbox.com/fuels-densities-specific-volumes-d_166.html </v>
      </c>
      <c r="G45" s="399">
        <f>700000*0.99</f>
        <v>693000</v>
      </c>
      <c r="H45" s="394" t="s">
        <v>1196</v>
      </c>
      <c r="I45" s="561">
        <f t="shared" si="0"/>
        <v>1.4134312499999998E-2</v>
      </c>
      <c r="J45" s="400">
        <v>1.3289999999999998E-4</v>
      </c>
      <c r="K45" s="400">
        <v>1.3289999999999998E-4</v>
      </c>
      <c r="L45" s="400">
        <v>4.4299999999999998E-4</v>
      </c>
      <c r="M45" s="400">
        <v>4.4299999999999998E-4</v>
      </c>
      <c r="N45" s="400">
        <v>2.6579999999999996E-5</v>
      </c>
      <c r="O45" s="400">
        <v>2.6579999999999996E-5</v>
      </c>
      <c r="P45" s="400">
        <v>2.6579999999999996E-5</v>
      </c>
      <c r="Q45" s="401">
        <v>2.6579999999999996E-5</v>
      </c>
      <c r="R45" s="398">
        <v>2.2411459459459466E-6</v>
      </c>
      <c r="S45" s="406" t="s">
        <v>47</v>
      </c>
      <c r="T45" s="282"/>
      <c r="U45" s="282"/>
      <c r="V45" s="282"/>
      <c r="W45" s="282"/>
      <c r="X45" s="282"/>
      <c r="Y45" s="282"/>
      <c r="Z45" s="282"/>
    </row>
    <row r="46" spans="2:26" s="403" customFormat="1" ht="157.5" outlineLevel="1" x14ac:dyDescent="0.25">
      <c r="B46" s="439" t="s">
        <v>9</v>
      </c>
      <c r="C46" s="404" t="s">
        <v>466</v>
      </c>
      <c r="D46" s="281" t="s">
        <v>35</v>
      </c>
      <c r="E46" s="400">
        <f>8.05*1000</f>
        <v>8050.0000000000009</v>
      </c>
      <c r="F46" s="394" t="s">
        <v>587</v>
      </c>
      <c r="G46" s="399">
        <f>101000*0.98</f>
        <v>98980</v>
      </c>
      <c r="H46" s="394" t="s">
        <v>1198</v>
      </c>
      <c r="I46" s="561">
        <f t="shared" si="0"/>
        <v>796.7890000000001</v>
      </c>
      <c r="J46" s="400">
        <v>1.19E-5</v>
      </c>
      <c r="K46" s="400">
        <v>1.1899999999999999E-4</v>
      </c>
      <c r="L46" s="400">
        <v>1.1899999999999999E-4</v>
      </c>
      <c r="M46" s="400">
        <v>3.5699999999999998E-3</v>
      </c>
      <c r="N46" s="400">
        <v>1.785E-5</v>
      </c>
      <c r="O46" s="400">
        <v>1.785E-5</v>
      </c>
      <c r="P46" s="400">
        <v>1.785E-5</v>
      </c>
      <c r="Q46" s="401">
        <v>1.785E-5</v>
      </c>
      <c r="R46" s="398"/>
      <c r="S46" s="264" t="s">
        <v>850</v>
      </c>
      <c r="T46" s="251"/>
      <c r="U46" s="251"/>
      <c r="V46" s="251"/>
      <c r="W46" s="251"/>
      <c r="X46" s="251"/>
      <c r="Y46" s="251"/>
      <c r="Z46" s="251"/>
    </row>
    <row r="47" spans="2:26" s="403" customFormat="1" outlineLevel="1" x14ac:dyDescent="0.25">
      <c r="B47" s="439" t="s">
        <v>1083</v>
      </c>
      <c r="C47" s="404" t="s">
        <v>467</v>
      </c>
      <c r="D47" s="281" t="s">
        <v>634</v>
      </c>
      <c r="E47" s="400">
        <v>15.5</v>
      </c>
      <c r="F47" s="394" t="s">
        <v>587</v>
      </c>
      <c r="G47" s="399">
        <v>101100</v>
      </c>
      <c r="H47" s="394" t="s">
        <v>587</v>
      </c>
      <c r="I47" s="561">
        <f t="shared" si="0"/>
        <v>1.5670500000000001</v>
      </c>
      <c r="J47" s="400">
        <v>2.8199999999999998E-5</v>
      </c>
      <c r="K47" s="400">
        <v>2.8199999999999997E-4</v>
      </c>
      <c r="L47" s="400">
        <v>2.8199999999999997E-4</v>
      </c>
      <c r="M47" s="400">
        <v>8.4599999999999988E-3</v>
      </c>
      <c r="N47" s="400">
        <v>4.2299999999999998E-5</v>
      </c>
      <c r="O47" s="400">
        <v>4.2299999999999998E-5</v>
      </c>
      <c r="P47" s="400">
        <v>4.2299999999999998E-5</v>
      </c>
      <c r="Q47" s="401">
        <v>4.2299999999999998E-5</v>
      </c>
      <c r="R47" s="398"/>
      <c r="S47" s="406" t="s">
        <v>47</v>
      </c>
      <c r="T47" s="251"/>
      <c r="U47" s="251"/>
      <c r="V47" s="251"/>
      <c r="W47" s="251"/>
      <c r="X47" s="251"/>
      <c r="Y47" s="251"/>
      <c r="Z47" s="251"/>
    </row>
    <row r="48" spans="2:26" s="403" customFormat="1" ht="94.5" outlineLevel="1" x14ac:dyDescent="0.25">
      <c r="B48" s="439" t="s">
        <v>5</v>
      </c>
      <c r="C48" s="404" t="s">
        <v>423</v>
      </c>
      <c r="D48" s="281" t="s">
        <v>634</v>
      </c>
      <c r="E48" s="400">
        <v>40.200000000000003</v>
      </c>
      <c r="F48" s="394" t="s">
        <v>587</v>
      </c>
      <c r="G48" s="399">
        <v>73300</v>
      </c>
      <c r="H48" s="394" t="s">
        <v>588</v>
      </c>
      <c r="I48" s="561">
        <f t="shared" si="0"/>
        <v>2.9466600000000001</v>
      </c>
      <c r="J48" s="400">
        <v>1.2060000000000001E-7</v>
      </c>
      <c r="K48" s="400">
        <v>1.2060000000000001E-7</v>
      </c>
      <c r="L48" s="400">
        <v>4.0200000000000003E-7</v>
      </c>
      <c r="M48" s="400">
        <v>4.0200000000000003E-7</v>
      </c>
      <c r="N48" s="400">
        <v>2.412E-8</v>
      </c>
      <c r="O48" s="400">
        <v>2.412E-8</v>
      </c>
      <c r="P48" s="400">
        <v>2.412E-8</v>
      </c>
      <c r="Q48" s="401">
        <v>2.412E-8</v>
      </c>
      <c r="R48" s="398"/>
      <c r="S48" s="264" t="s">
        <v>1131</v>
      </c>
      <c r="T48" s="251"/>
      <c r="U48" s="251"/>
      <c r="V48" s="251"/>
      <c r="W48" s="251"/>
      <c r="X48" s="251"/>
      <c r="Y48" s="251"/>
      <c r="Z48" s="251"/>
    </row>
    <row r="49" spans="2:26" s="403" customFormat="1" ht="126" outlineLevel="1" x14ac:dyDescent="0.25">
      <c r="B49" s="439" t="s">
        <v>12</v>
      </c>
      <c r="C49" s="404" t="s">
        <v>468</v>
      </c>
      <c r="D49" s="281" t="s">
        <v>35</v>
      </c>
      <c r="E49" s="400">
        <f>43*1000</f>
        <v>43000</v>
      </c>
      <c r="F49" s="394" t="s">
        <v>587</v>
      </c>
      <c r="G49" s="399">
        <f>73300*0.99</f>
        <v>72567</v>
      </c>
      <c r="H49" s="394" t="s">
        <v>1196</v>
      </c>
      <c r="I49" s="561">
        <f t="shared" si="0"/>
        <v>3120.3809999999999</v>
      </c>
      <c r="J49" s="400">
        <v>1.2899999999999999E-4</v>
      </c>
      <c r="K49" s="400">
        <v>1.2899999999999999E-4</v>
      </c>
      <c r="L49" s="400">
        <v>4.2999999999999999E-4</v>
      </c>
      <c r="M49" s="400">
        <v>4.2999999999999999E-4</v>
      </c>
      <c r="N49" s="400">
        <v>2.58E-5</v>
      </c>
      <c r="O49" s="400">
        <v>2.58E-5</v>
      </c>
      <c r="P49" s="400">
        <v>2.58E-5</v>
      </c>
      <c r="Q49" s="401">
        <v>2.58E-5</v>
      </c>
      <c r="R49" s="398"/>
      <c r="S49" s="264" t="s">
        <v>878</v>
      </c>
      <c r="T49" s="251"/>
      <c r="U49" s="251"/>
      <c r="V49" s="251"/>
      <c r="W49" s="251"/>
      <c r="X49" s="251"/>
      <c r="Y49" s="251"/>
      <c r="Z49" s="251"/>
    </row>
    <row r="50" spans="2:26" s="396" customFormat="1" ht="81" outlineLevel="1" x14ac:dyDescent="0.25">
      <c r="B50" s="439" t="s">
        <v>881</v>
      </c>
      <c r="C50" s="404" t="s">
        <v>424</v>
      </c>
      <c r="D50" s="281" t="s">
        <v>31</v>
      </c>
      <c r="E50" s="400">
        <f>44.5*(0.76+0.79)/2/1000*1000</f>
        <v>34.487500000000004</v>
      </c>
      <c r="F50" s="394" t="s">
        <v>764</v>
      </c>
      <c r="G50" s="399">
        <f>73300*0.99</f>
        <v>72567</v>
      </c>
      <c r="H50" s="394" t="s">
        <v>1196</v>
      </c>
      <c r="I50" s="561">
        <f t="shared" si="0"/>
        <v>2.5026544125000001</v>
      </c>
      <c r="J50" s="400">
        <v>1.02795E-7</v>
      </c>
      <c r="K50" s="400">
        <v>1.02795E-7</v>
      </c>
      <c r="L50" s="400">
        <v>3.4265000000000001E-7</v>
      </c>
      <c r="M50" s="400">
        <v>3.4265000000000001E-7</v>
      </c>
      <c r="N50" s="400">
        <v>2.0559000000000002E-8</v>
      </c>
      <c r="O50" s="400">
        <v>2.0559000000000002E-8</v>
      </c>
      <c r="P50" s="400">
        <v>2.0559000000000002E-8</v>
      </c>
      <c r="Q50" s="401">
        <v>2.0559000000000002E-8</v>
      </c>
      <c r="R50" s="398">
        <v>2.2411459459459466E-6</v>
      </c>
      <c r="S50" s="264" t="s">
        <v>1130</v>
      </c>
      <c r="T50" s="282"/>
      <c r="U50" s="282"/>
      <c r="V50" s="282"/>
      <c r="W50" s="282"/>
      <c r="X50" s="282"/>
      <c r="Y50" s="282"/>
      <c r="Z50" s="282"/>
    </row>
    <row r="51" spans="2:26" s="403" customFormat="1" ht="78.75" outlineLevel="1" x14ac:dyDescent="0.25">
      <c r="B51" s="439" t="s">
        <v>425</v>
      </c>
      <c r="C51" s="404" t="s">
        <v>426</v>
      </c>
      <c r="D51" s="281" t="s">
        <v>634</v>
      </c>
      <c r="E51" s="400">
        <v>38.1</v>
      </c>
      <c r="F51" s="394" t="s">
        <v>588</v>
      </c>
      <c r="G51" s="399">
        <f>73300*0.99</f>
        <v>72567</v>
      </c>
      <c r="H51" s="394" t="s">
        <v>1196</v>
      </c>
      <c r="I51" s="561">
        <f t="shared" si="0"/>
        <v>2.7648027000000002</v>
      </c>
      <c r="J51" s="400">
        <v>1.1430000000000001E-7</v>
      </c>
      <c r="K51" s="400">
        <v>1.1430000000000001E-7</v>
      </c>
      <c r="L51" s="400">
        <v>3.8099999999999998E-7</v>
      </c>
      <c r="M51" s="400">
        <v>3.8099999999999998E-7</v>
      </c>
      <c r="N51" s="400">
        <v>2.2860000000000001E-8</v>
      </c>
      <c r="O51" s="400">
        <v>2.2860000000000001E-8</v>
      </c>
      <c r="P51" s="400">
        <v>2.2860000000000001E-8</v>
      </c>
      <c r="Q51" s="401">
        <v>2.2860000000000001E-8</v>
      </c>
      <c r="R51" s="398"/>
      <c r="S51" s="264" t="s">
        <v>19</v>
      </c>
      <c r="T51" s="251"/>
      <c r="U51" s="251"/>
      <c r="V51" s="251"/>
      <c r="W51" s="251"/>
      <c r="X51" s="251"/>
      <c r="Y51" s="251"/>
      <c r="Z51" s="251"/>
    </row>
    <row r="52" spans="2:26" s="403" customFormat="1" ht="78.75" outlineLevel="1" x14ac:dyDescent="0.25">
      <c r="B52" s="439" t="s">
        <v>452</v>
      </c>
      <c r="C52" s="404" t="s">
        <v>427</v>
      </c>
      <c r="D52" s="281" t="s">
        <v>634</v>
      </c>
      <c r="E52" s="400">
        <v>40.200000000000003</v>
      </c>
      <c r="F52" s="394" t="s">
        <v>588</v>
      </c>
      <c r="G52" s="399">
        <f>73300*0.99</f>
        <v>72567</v>
      </c>
      <c r="H52" s="394" t="s">
        <v>1196</v>
      </c>
      <c r="I52" s="561">
        <f t="shared" si="0"/>
        <v>2.9171934000000004</v>
      </c>
      <c r="J52" s="400">
        <v>1.206E-3</v>
      </c>
      <c r="K52" s="400">
        <v>1.206E-3</v>
      </c>
      <c r="L52" s="400">
        <v>1.206E-2</v>
      </c>
      <c r="M52" s="400">
        <v>1.206E-2</v>
      </c>
      <c r="N52" s="400">
        <v>1.6080000000000001E-4</v>
      </c>
      <c r="O52" s="400">
        <v>1.6080000000000001E-4</v>
      </c>
      <c r="P52" s="400">
        <v>1.6080000000000001E-4</v>
      </c>
      <c r="Q52" s="401">
        <v>1.6080000000000001E-4</v>
      </c>
      <c r="R52" s="398"/>
      <c r="S52" s="406" t="s">
        <v>47</v>
      </c>
      <c r="T52" s="251"/>
      <c r="U52" s="251"/>
      <c r="V52" s="251"/>
      <c r="W52" s="251"/>
      <c r="X52" s="251"/>
      <c r="Y52" s="251"/>
      <c r="Z52" s="251"/>
    </row>
    <row r="53" spans="2:26" s="403" customFormat="1" outlineLevel="1" x14ac:dyDescent="0.25">
      <c r="B53" s="439" t="s">
        <v>453</v>
      </c>
      <c r="C53" s="404" t="s">
        <v>469</v>
      </c>
      <c r="D53" s="281" t="s">
        <v>634</v>
      </c>
      <c r="E53" s="400">
        <v>27.5</v>
      </c>
      <c r="F53" s="394" t="s">
        <v>587</v>
      </c>
      <c r="G53" s="399">
        <v>76900</v>
      </c>
      <c r="H53" s="394" t="s">
        <v>588</v>
      </c>
      <c r="I53" s="561">
        <f t="shared" si="0"/>
        <v>2.1147499999999999</v>
      </c>
      <c r="J53" s="400">
        <v>8.25E-5</v>
      </c>
      <c r="K53" s="400">
        <v>8.25E-5</v>
      </c>
      <c r="L53" s="400">
        <v>2.7499999999999996E-4</v>
      </c>
      <c r="M53" s="400">
        <v>2.7499999999999996E-4</v>
      </c>
      <c r="N53" s="400">
        <v>1.6499999999999998E-5</v>
      </c>
      <c r="O53" s="400">
        <v>1.6499999999999998E-5</v>
      </c>
      <c r="P53" s="400">
        <v>1.6499999999999998E-5</v>
      </c>
      <c r="Q53" s="401">
        <v>1.6499999999999998E-5</v>
      </c>
      <c r="R53" s="398"/>
      <c r="S53" s="406" t="s">
        <v>47</v>
      </c>
      <c r="T53" s="251"/>
      <c r="U53" s="251"/>
      <c r="V53" s="251"/>
      <c r="W53" s="251"/>
      <c r="X53" s="251"/>
      <c r="Y53" s="251"/>
      <c r="Z53" s="251"/>
    </row>
    <row r="54" spans="2:26" s="403" customFormat="1" ht="78.75" outlineLevel="1" x14ac:dyDescent="0.25">
      <c r="B54" s="439" t="s">
        <v>454</v>
      </c>
      <c r="C54" s="404" t="s">
        <v>411</v>
      </c>
      <c r="D54" s="281" t="s">
        <v>35</v>
      </c>
      <c r="E54" s="400">
        <f>33.84*1000</f>
        <v>33840</v>
      </c>
      <c r="F54" s="394" t="s">
        <v>587</v>
      </c>
      <c r="G54" s="399">
        <f>94600*0.98</f>
        <v>92708</v>
      </c>
      <c r="H54" s="394" t="s">
        <v>1198</v>
      </c>
      <c r="I54" s="561">
        <f t="shared" si="0"/>
        <v>3137.2387199999998</v>
      </c>
      <c r="J54" s="400">
        <v>2.58E-5</v>
      </c>
      <c r="K54" s="400">
        <v>2.5799999999999998E-4</v>
      </c>
      <c r="L54" s="400">
        <v>2.5799999999999998E-4</v>
      </c>
      <c r="M54" s="400">
        <v>7.7399999999999995E-3</v>
      </c>
      <c r="N54" s="400">
        <v>3.8699999999999999E-5</v>
      </c>
      <c r="O54" s="400">
        <v>3.8699999999999999E-5</v>
      </c>
      <c r="P54" s="400">
        <v>3.8699999999999999E-5</v>
      </c>
      <c r="Q54" s="401">
        <v>3.8699999999999999E-5</v>
      </c>
      <c r="R54" s="398"/>
      <c r="S54" s="406" t="s">
        <v>47</v>
      </c>
      <c r="T54" s="251"/>
      <c r="U54" s="251"/>
      <c r="V54" s="251"/>
      <c r="W54" s="251"/>
      <c r="X54" s="251"/>
      <c r="Y54" s="251"/>
      <c r="Z54" s="251"/>
    </row>
    <row r="55" spans="2:26" s="396" customFormat="1" ht="126" outlineLevel="1" x14ac:dyDescent="0.25">
      <c r="B55" s="439" t="s">
        <v>429</v>
      </c>
      <c r="C55" s="404" t="s">
        <v>430</v>
      </c>
      <c r="D55" s="281" t="s">
        <v>31</v>
      </c>
      <c r="E55" s="400">
        <f>34.839*850/1000</f>
        <v>29.613149999999997</v>
      </c>
      <c r="F55" s="394" t="s">
        <v>765</v>
      </c>
      <c r="G55" s="399">
        <f>73300*0.99</f>
        <v>72567</v>
      </c>
      <c r="H55" s="394" t="s">
        <v>1196</v>
      </c>
      <c r="I55" s="561">
        <f t="shared" si="0"/>
        <v>2.1489374560499996</v>
      </c>
      <c r="J55" s="400">
        <v>1.0151999999999999E-7</v>
      </c>
      <c r="K55" s="400">
        <v>1.0151999999999999E-7</v>
      </c>
      <c r="L55" s="400">
        <v>3.3840000000000001E-7</v>
      </c>
      <c r="M55" s="400">
        <v>3.3840000000000001E-7</v>
      </c>
      <c r="N55" s="400">
        <v>2.0304000000000001E-8</v>
      </c>
      <c r="O55" s="400">
        <v>2.0304000000000001E-8</v>
      </c>
      <c r="P55" s="400">
        <v>2.0304000000000001E-8</v>
      </c>
      <c r="Q55" s="401">
        <v>2.0304000000000001E-8</v>
      </c>
      <c r="R55" s="398">
        <v>2.2411459459459466E-6</v>
      </c>
      <c r="S55" s="264" t="s">
        <v>1129</v>
      </c>
      <c r="T55" s="282"/>
      <c r="U55" s="282"/>
      <c r="V55" s="282"/>
      <c r="W55" s="282"/>
      <c r="X55" s="282"/>
      <c r="Y55" s="282"/>
      <c r="Z55" s="282"/>
    </row>
    <row r="56" spans="2:26" s="396" customFormat="1" ht="114.75" outlineLevel="1" x14ac:dyDescent="0.25">
      <c r="B56" s="439" t="s">
        <v>882</v>
      </c>
      <c r="C56" s="404" t="s">
        <v>431</v>
      </c>
      <c r="D56" s="281" t="s">
        <v>31</v>
      </c>
      <c r="E56" s="400">
        <f>43.8*(775+840)/2/1000</f>
        <v>35.368499999999997</v>
      </c>
      <c r="F56" s="394" t="s">
        <v>766</v>
      </c>
      <c r="G56" s="399">
        <f>71500*0.99</f>
        <v>70785</v>
      </c>
      <c r="H56" s="394" t="s">
        <v>1196</v>
      </c>
      <c r="I56" s="561">
        <f t="shared" si="0"/>
        <v>2.5035592725</v>
      </c>
      <c r="J56" s="400">
        <v>1.0451700000000001E-7</v>
      </c>
      <c r="K56" s="400">
        <v>1.0451700000000001E-7</v>
      </c>
      <c r="L56" s="400">
        <v>3.4839000000000001E-7</v>
      </c>
      <c r="M56" s="400">
        <v>3.4839000000000001E-7</v>
      </c>
      <c r="N56" s="400">
        <v>2.09034E-8</v>
      </c>
      <c r="O56" s="400">
        <v>2.09034E-8</v>
      </c>
      <c r="P56" s="400">
        <v>2.09034E-8</v>
      </c>
      <c r="Q56" s="401">
        <v>2.09034E-8</v>
      </c>
      <c r="R56" s="398">
        <v>2.2411459459459466E-6</v>
      </c>
      <c r="S56" s="264" t="s">
        <v>1128</v>
      </c>
      <c r="T56" s="282"/>
      <c r="U56" s="282"/>
      <c r="V56" s="282"/>
      <c r="W56" s="282"/>
      <c r="X56" s="282"/>
      <c r="Y56" s="282"/>
      <c r="Z56" s="282"/>
    </row>
    <row r="57" spans="2:26" s="410" customFormat="1" ht="78.75" outlineLevel="1" x14ac:dyDescent="0.25">
      <c r="B57" s="439" t="s">
        <v>1081</v>
      </c>
      <c r="C57" s="404" t="s">
        <v>432</v>
      </c>
      <c r="D57" s="281" t="s">
        <v>35</v>
      </c>
      <c r="E57" s="400">
        <v>10000</v>
      </c>
      <c r="F57" s="394" t="s">
        <v>589</v>
      </c>
      <c r="G57" s="399">
        <f>91700*0.98</f>
        <v>89866</v>
      </c>
      <c r="H57" s="394" t="s">
        <v>1198</v>
      </c>
      <c r="I57" s="561">
        <f t="shared" si="0"/>
        <v>898.66</v>
      </c>
      <c r="J57" s="400">
        <v>2.9999999999999997E-4</v>
      </c>
      <c r="K57" s="400">
        <v>2.9999999999999997E-4</v>
      </c>
      <c r="L57" s="400">
        <v>3.0000000000000001E-3</v>
      </c>
      <c r="M57" s="400">
        <v>3.0000000000000001E-3</v>
      </c>
      <c r="N57" s="400">
        <v>3.9999999999999996E-5</v>
      </c>
      <c r="O57" s="400">
        <v>3.9999999999999996E-5</v>
      </c>
      <c r="P57" s="400">
        <v>3.9999999999999996E-5</v>
      </c>
      <c r="Q57" s="401">
        <v>3.9999999999999996E-5</v>
      </c>
      <c r="R57" s="398"/>
      <c r="S57" s="264" t="s">
        <v>14</v>
      </c>
      <c r="T57" s="172"/>
      <c r="U57" s="172"/>
      <c r="V57" s="172"/>
      <c r="W57" s="172"/>
      <c r="X57" s="172"/>
      <c r="Y57" s="172"/>
      <c r="Z57" s="172"/>
    </row>
    <row r="58" spans="2:26" s="403" customFormat="1" ht="157.5" outlineLevel="1" x14ac:dyDescent="0.25">
      <c r="B58" s="439" t="s">
        <v>434</v>
      </c>
      <c r="C58" s="404" t="s">
        <v>435</v>
      </c>
      <c r="D58" s="281" t="s">
        <v>634</v>
      </c>
      <c r="E58" s="405">
        <v>8.5</v>
      </c>
      <c r="F58" s="394" t="s">
        <v>588</v>
      </c>
      <c r="G58" s="399">
        <v>106600</v>
      </c>
      <c r="H58" s="394" t="s">
        <v>588</v>
      </c>
      <c r="I58" s="561">
        <f t="shared" si="0"/>
        <v>0.90610000000000002</v>
      </c>
      <c r="J58" s="400">
        <v>8.8999999999999995E-6</v>
      </c>
      <c r="K58" s="400">
        <v>8.8999999999999995E-5</v>
      </c>
      <c r="L58" s="400">
        <v>8.8999999999999995E-5</v>
      </c>
      <c r="M58" s="400">
        <v>2.6700000000000001E-3</v>
      </c>
      <c r="N58" s="400">
        <v>1.3350000000000001E-5</v>
      </c>
      <c r="O58" s="400">
        <v>1.3350000000000001E-5</v>
      </c>
      <c r="P58" s="400">
        <v>1.3350000000000001E-5</v>
      </c>
      <c r="Q58" s="401">
        <v>1.3350000000000001E-5</v>
      </c>
      <c r="R58" s="398"/>
      <c r="S58" s="264" t="s">
        <v>17</v>
      </c>
      <c r="T58" s="251"/>
      <c r="U58" s="251"/>
      <c r="V58" s="251"/>
      <c r="W58" s="251"/>
      <c r="X58" s="251"/>
      <c r="Y58" s="251"/>
      <c r="Z58" s="251"/>
    </row>
    <row r="59" spans="2:26" s="403" customFormat="1" outlineLevel="1" x14ac:dyDescent="0.25">
      <c r="B59" s="304"/>
      <c r="C59" s="408"/>
      <c r="D59" s="454"/>
      <c r="E59" s="623"/>
      <c r="F59" s="621"/>
      <c r="G59" s="624"/>
      <c r="H59" s="621"/>
      <c r="I59" s="625"/>
      <c r="J59" s="626"/>
      <c r="K59" s="626"/>
      <c r="L59" s="626"/>
      <c r="M59" s="626"/>
      <c r="N59" s="626"/>
      <c r="O59" s="626"/>
      <c r="P59" s="626"/>
      <c r="Q59" s="626"/>
      <c r="R59" s="627"/>
      <c r="S59" s="304"/>
      <c r="T59" s="251"/>
      <c r="U59" s="251"/>
      <c r="V59" s="251"/>
      <c r="W59" s="251"/>
      <c r="X59" s="251"/>
      <c r="Y59" s="251"/>
      <c r="Z59" s="251"/>
    </row>
    <row r="60" spans="2:26" s="403" customFormat="1" outlineLevel="1" x14ac:dyDescent="0.25">
      <c r="B60" s="304"/>
      <c r="C60" s="408"/>
      <c r="D60" s="454"/>
      <c r="E60" s="623"/>
      <c r="F60" s="621"/>
      <c r="G60" s="624"/>
      <c r="H60" s="621"/>
      <c r="I60" s="625"/>
      <c r="J60" s="626"/>
      <c r="K60" s="626"/>
      <c r="L60" s="626"/>
      <c r="M60" s="626"/>
      <c r="N60" s="626"/>
      <c r="O60" s="626"/>
      <c r="P60" s="626"/>
      <c r="Q60" s="626"/>
      <c r="R60" s="627"/>
      <c r="S60" s="304"/>
      <c r="T60" s="251"/>
      <c r="U60" s="251"/>
      <c r="V60" s="251"/>
      <c r="W60" s="251"/>
      <c r="X60" s="251"/>
      <c r="Y60" s="251"/>
      <c r="Z60" s="251"/>
    </row>
    <row r="61" spans="2:26" s="403" customFormat="1" outlineLevel="1" x14ac:dyDescent="0.25">
      <c r="B61" s="304"/>
      <c r="C61" s="408"/>
      <c r="D61" s="454"/>
      <c r="E61" s="623"/>
      <c r="F61" s="621"/>
      <c r="G61" s="624"/>
      <c r="H61" s="621"/>
      <c r="I61" s="625"/>
      <c r="J61" s="626"/>
      <c r="K61" s="626"/>
      <c r="L61" s="626"/>
      <c r="M61" s="626"/>
      <c r="N61" s="626"/>
      <c r="O61" s="626"/>
      <c r="P61" s="626"/>
      <c r="Q61" s="626"/>
      <c r="R61" s="627"/>
      <c r="S61" s="304"/>
      <c r="T61" s="251"/>
      <c r="U61" s="251"/>
      <c r="V61" s="251"/>
      <c r="W61" s="251"/>
      <c r="X61" s="251"/>
      <c r="Y61" s="251"/>
      <c r="Z61" s="251"/>
    </row>
    <row r="62" spans="2:26" s="403" customFormat="1" ht="23.25" outlineLevel="1" x14ac:dyDescent="0.25">
      <c r="B62" s="628" t="s">
        <v>1205</v>
      </c>
      <c r="C62" s="408"/>
      <c r="D62" s="454"/>
      <c r="E62" s="623"/>
      <c r="F62" s="621"/>
      <c r="G62" s="624"/>
      <c r="H62" s="621"/>
      <c r="I62" s="625"/>
      <c r="J62" s="626"/>
      <c r="K62" s="626"/>
      <c r="L62" s="626"/>
      <c r="M62" s="626"/>
      <c r="N62" s="626"/>
      <c r="O62" s="626"/>
      <c r="P62" s="626"/>
      <c r="Q62" s="626"/>
      <c r="R62" s="627"/>
      <c r="S62" s="304"/>
      <c r="T62" s="251"/>
      <c r="U62" s="251"/>
      <c r="V62" s="251"/>
      <c r="W62" s="251"/>
      <c r="X62" s="251"/>
      <c r="Y62" s="251"/>
      <c r="Z62" s="251"/>
    </row>
    <row r="63" spans="2:26" s="403" customFormat="1" outlineLevel="1" x14ac:dyDescent="0.25">
      <c r="B63" s="1227" t="s">
        <v>2</v>
      </c>
      <c r="C63" s="1227" t="s">
        <v>406</v>
      </c>
      <c r="D63" s="1230" t="s">
        <v>26</v>
      </c>
      <c r="E63" s="1316" t="s">
        <v>407</v>
      </c>
      <c r="F63" s="1319"/>
      <c r="G63" s="1316" t="s">
        <v>1207</v>
      </c>
      <c r="H63" s="1319"/>
      <c r="I63" s="1227" t="s">
        <v>1207</v>
      </c>
      <c r="J63" s="1187" t="s">
        <v>408</v>
      </c>
      <c r="K63" s="1342"/>
      <c r="L63" s="1342"/>
      <c r="M63" s="1342"/>
      <c r="N63" s="1342"/>
      <c r="O63" s="1342"/>
      <c r="P63" s="1342"/>
      <c r="Q63" s="1188"/>
      <c r="R63" s="1227" t="s">
        <v>891</v>
      </c>
      <c r="S63" s="1316" t="s">
        <v>1092</v>
      </c>
      <c r="T63" s="251"/>
      <c r="U63" s="251"/>
      <c r="V63" s="251"/>
      <c r="W63" s="251"/>
      <c r="X63" s="251"/>
      <c r="Y63" s="251"/>
      <c r="Z63" s="251"/>
    </row>
    <row r="64" spans="2:26" s="403" customFormat="1" outlineLevel="1" x14ac:dyDescent="0.25">
      <c r="B64" s="1228"/>
      <c r="C64" s="1228"/>
      <c r="D64" s="1231"/>
      <c r="E64" s="1318"/>
      <c r="F64" s="1320"/>
      <c r="G64" s="1318"/>
      <c r="H64" s="1320"/>
      <c r="I64" s="1229"/>
      <c r="J64" s="1187" t="s">
        <v>1217</v>
      </c>
      <c r="K64" s="1342"/>
      <c r="L64" s="1342"/>
      <c r="M64" s="1188"/>
      <c r="N64" s="1187"/>
      <c r="O64" s="1342"/>
      <c r="P64" s="1342"/>
      <c r="Q64" s="1188"/>
      <c r="R64" s="1228"/>
      <c r="S64" s="1317"/>
      <c r="T64" s="251"/>
      <c r="U64" s="251"/>
      <c r="V64" s="251"/>
      <c r="W64" s="251"/>
      <c r="X64" s="251"/>
      <c r="Y64" s="251"/>
      <c r="Z64" s="251"/>
    </row>
    <row r="65" spans="1:86" s="403" customFormat="1" ht="47.25" outlineLevel="1" x14ac:dyDescent="0.25">
      <c r="B65" s="1229"/>
      <c r="C65" s="1229"/>
      <c r="D65" s="1232"/>
      <c r="E65" s="219" t="s">
        <v>637</v>
      </c>
      <c r="F65" s="219" t="s">
        <v>514</v>
      </c>
      <c r="G65" s="219" t="s">
        <v>590</v>
      </c>
      <c r="H65" s="219" t="s">
        <v>514</v>
      </c>
      <c r="I65" s="357" t="s">
        <v>1027</v>
      </c>
      <c r="J65" s="257" t="s">
        <v>6</v>
      </c>
      <c r="K65" s="257" t="s">
        <v>485</v>
      </c>
      <c r="L65" s="257" t="s">
        <v>486</v>
      </c>
      <c r="M65" s="257" t="s">
        <v>487</v>
      </c>
      <c r="N65" s="257"/>
      <c r="O65" s="257"/>
      <c r="P65" s="257"/>
      <c r="Q65" s="257"/>
      <c r="R65" s="1229"/>
      <c r="S65" s="1318"/>
      <c r="T65" s="251"/>
      <c r="U65" s="251"/>
      <c r="V65" s="251"/>
      <c r="W65" s="251"/>
      <c r="X65" s="251"/>
      <c r="Y65" s="251"/>
      <c r="Z65" s="251"/>
    </row>
    <row r="66" spans="1:86" s="403" customFormat="1" ht="157.5" outlineLevel="1" x14ac:dyDescent="0.25">
      <c r="B66" s="264" t="s">
        <v>1215</v>
      </c>
      <c r="C66" s="411" t="s">
        <v>470</v>
      </c>
      <c r="D66" s="281" t="s">
        <v>634</v>
      </c>
      <c r="E66" s="400">
        <v>27</v>
      </c>
      <c r="F66" s="394" t="s">
        <v>587</v>
      </c>
      <c r="G66" s="399">
        <v>70800</v>
      </c>
      <c r="H66" s="394" t="s">
        <v>589</v>
      </c>
      <c r="I66" s="561">
        <f t="shared" si="0"/>
        <v>1.9116</v>
      </c>
      <c r="J66" s="622">
        <f>(0.000081*$E$258+N66*$E$259)*E66/1000</f>
        <v>1.7714699999999998E-4</v>
      </c>
      <c r="K66" s="622">
        <f t="shared" ref="K66:K71" si="5">J66</f>
        <v>1.7714699999999998E-4</v>
      </c>
      <c r="L66" s="622">
        <f>(0.00027*$E$258+P66*$E$259)*E66/1000</f>
        <v>3.2003099999999997E-4</v>
      </c>
      <c r="M66" s="622">
        <f t="shared" ref="M66:M74" si="6">L66</f>
        <v>3.2003099999999997E-4</v>
      </c>
      <c r="N66" s="632">
        <v>1.6199999999999997E-5</v>
      </c>
      <c r="O66" s="632">
        <v>1.6199999999999997E-5</v>
      </c>
      <c r="P66" s="632">
        <v>1.6199999999999997E-5</v>
      </c>
      <c r="Q66" s="633">
        <v>1.6199999999999997E-5</v>
      </c>
      <c r="R66" s="634"/>
      <c r="S66" s="264" t="s">
        <v>1216</v>
      </c>
      <c r="T66" s="251"/>
      <c r="U66" s="251"/>
      <c r="V66" s="251"/>
      <c r="W66" s="251"/>
      <c r="X66" s="251"/>
      <c r="Y66" s="251"/>
      <c r="Z66" s="251"/>
    </row>
    <row r="67" spans="1:86" s="403" customFormat="1" ht="47.25" outlineLevel="1" x14ac:dyDescent="0.25">
      <c r="B67" s="264" t="s">
        <v>438</v>
      </c>
      <c r="C67" s="404" t="s">
        <v>439</v>
      </c>
      <c r="D67" s="281" t="s">
        <v>634</v>
      </c>
      <c r="E67" s="400">
        <v>29.5</v>
      </c>
      <c r="F67" s="394" t="s">
        <v>587</v>
      </c>
      <c r="G67" s="399">
        <v>112000</v>
      </c>
      <c r="H67" s="394" t="s">
        <v>589</v>
      </c>
      <c r="I67" s="561">
        <f t="shared" si="0"/>
        <v>3.3039999999999998</v>
      </c>
      <c r="J67" s="400">
        <f>(0.0059*E258+N67*E259)*E67/1000</f>
        <v>5.795864999999999E-3</v>
      </c>
      <c r="K67" s="400">
        <f t="shared" si="5"/>
        <v>5.795864999999999E-3</v>
      </c>
      <c r="L67" s="400">
        <f>(0.0059*E258+P67*E259)*E67/1000</f>
        <v>5.1040162500000002E-3</v>
      </c>
      <c r="M67" s="400">
        <f t="shared" si="6"/>
        <v>5.1040162500000002E-3</v>
      </c>
      <c r="N67" s="632">
        <v>1.18E-4</v>
      </c>
      <c r="O67" s="632">
        <v>1.18E-4</v>
      </c>
      <c r="P67" s="632">
        <v>2.9499999999999999E-5</v>
      </c>
      <c r="Q67" s="633">
        <v>2.9499999999999999E-5</v>
      </c>
      <c r="R67" s="634"/>
      <c r="S67" s="264" t="s">
        <v>13</v>
      </c>
      <c r="T67" s="251"/>
      <c r="U67" s="251"/>
      <c r="V67" s="251"/>
      <c r="W67" s="251"/>
      <c r="X67" s="251"/>
      <c r="Y67" s="251"/>
      <c r="Z67" s="251"/>
    </row>
    <row r="68" spans="1:86" s="1044" customFormat="1" ht="47.25" outlineLevel="1" x14ac:dyDescent="0.25">
      <c r="B68" s="263" t="s">
        <v>455</v>
      </c>
      <c r="C68" s="1046" t="s">
        <v>471</v>
      </c>
      <c r="D68" s="1047" t="s">
        <v>1202</v>
      </c>
      <c r="E68" s="1048">
        <v>50.4</v>
      </c>
      <c r="F68" s="1049" t="s">
        <v>587</v>
      </c>
      <c r="G68" s="1050">
        <v>54600</v>
      </c>
      <c r="H68" s="1049" t="s">
        <v>1203</v>
      </c>
      <c r="I68" s="1051">
        <f>G68</f>
        <v>54600</v>
      </c>
      <c r="J68" s="1048">
        <f>J72</f>
        <v>5.45E-2</v>
      </c>
      <c r="K68" s="1048">
        <f t="shared" si="5"/>
        <v>5.45E-2</v>
      </c>
      <c r="L68" s="1048">
        <f>L72</f>
        <v>9.4600000000000009</v>
      </c>
      <c r="M68" s="1048">
        <f t="shared" si="6"/>
        <v>9.4600000000000009</v>
      </c>
      <c r="N68" s="1048"/>
      <c r="O68" s="1048"/>
      <c r="P68" s="1048"/>
      <c r="Q68" s="1052"/>
      <c r="R68" s="1055"/>
      <c r="S68" s="263" t="s">
        <v>20</v>
      </c>
      <c r="T68" s="212"/>
      <c r="U68" s="212"/>
      <c r="V68" s="212"/>
      <c r="W68" s="212"/>
      <c r="X68" s="212"/>
      <c r="Y68" s="212"/>
      <c r="Z68" s="212"/>
    </row>
    <row r="69" spans="1:86" s="403" customFormat="1" ht="78.75" outlineLevel="1" x14ac:dyDescent="0.25">
      <c r="B69" s="264" t="s">
        <v>1082</v>
      </c>
      <c r="C69" s="404" t="s">
        <v>440</v>
      </c>
      <c r="D69" s="264" t="s">
        <v>634</v>
      </c>
      <c r="E69" s="400">
        <v>14.7</v>
      </c>
      <c r="F69" s="394" t="s">
        <v>587</v>
      </c>
      <c r="G69" s="399">
        <v>112000</v>
      </c>
      <c r="H69" s="394" t="s">
        <v>589</v>
      </c>
      <c r="I69" s="561">
        <f>G69*E69/1000000</f>
        <v>1.6464000000000001</v>
      </c>
      <c r="J69" s="400">
        <f>(0.000468*E258+N69*E259)*E69/1000</f>
        <v>4.3570799999999998E-4</v>
      </c>
      <c r="K69" s="400">
        <f t="shared" si="5"/>
        <v>4.3570799999999998E-4</v>
      </c>
      <c r="L69" s="400">
        <f>K69</f>
        <v>4.3570799999999998E-4</v>
      </c>
      <c r="M69" s="400">
        <f t="shared" si="6"/>
        <v>4.3570799999999998E-4</v>
      </c>
      <c r="N69" s="632">
        <v>6.2399999999999999E-5</v>
      </c>
      <c r="O69" s="632">
        <v>6.2399999999999999E-5</v>
      </c>
      <c r="P69" s="632">
        <v>6.2399999999999999E-5</v>
      </c>
      <c r="Q69" s="633">
        <v>6.2399999999999999E-5</v>
      </c>
      <c r="R69" s="634"/>
      <c r="S69" s="264" t="s">
        <v>21</v>
      </c>
      <c r="T69" s="251"/>
      <c r="U69" s="251"/>
      <c r="V69" s="251"/>
      <c r="W69" s="251"/>
      <c r="X69" s="251"/>
      <c r="Y69" s="251"/>
      <c r="Z69" s="251"/>
    </row>
    <row r="70" spans="1:86" s="403" customFormat="1" ht="31.5" outlineLevel="1" x14ac:dyDescent="0.25">
      <c r="B70" s="439" t="s">
        <v>456</v>
      </c>
      <c r="C70" s="404" t="s">
        <v>437</v>
      </c>
      <c r="D70" s="264" t="s">
        <v>634</v>
      </c>
      <c r="E70" s="400">
        <v>11.6</v>
      </c>
      <c r="F70" s="394" t="s">
        <v>587</v>
      </c>
      <c r="G70" s="399">
        <v>100000</v>
      </c>
      <c r="H70" s="1049" t="s">
        <v>1208</v>
      </c>
      <c r="I70" s="561">
        <f t="shared" si="0"/>
        <v>1.1599999999999999</v>
      </c>
      <c r="J70" s="1048">
        <f>1.9*E70/1000</f>
        <v>2.2040000000000001E-2</v>
      </c>
      <c r="K70" s="1048">
        <f t="shared" si="5"/>
        <v>2.2040000000000001E-2</v>
      </c>
      <c r="L70" s="1048">
        <f>0.1665*E70/1000</f>
        <v>1.9314E-3</v>
      </c>
      <c r="M70" s="1048">
        <f t="shared" si="6"/>
        <v>1.9314E-3</v>
      </c>
      <c r="N70" s="400"/>
      <c r="O70" s="400"/>
      <c r="P70" s="400"/>
      <c r="Q70" s="401"/>
      <c r="R70" s="634"/>
      <c r="S70" s="406" t="s">
        <v>1723</v>
      </c>
      <c r="T70" s="251"/>
      <c r="U70" s="251"/>
      <c r="V70" s="251"/>
      <c r="W70" s="251"/>
      <c r="X70" s="251"/>
      <c r="Y70" s="251"/>
      <c r="Z70" s="251"/>
    </row>
    <row r="71" spans="1:86" s="403" customFormat="1" ht="31.5" outlineLevel="1" x14ac:dyDescent="0.25">
      <c r="B71" s="439" t="s">
        <v>457</v>
      </c>
      <c r="C71" s="404" t="s">
        <v>436</v>
      </c>
      <c r="D71" s="264" t="s">
        <v>634</v>
      </c>
      <c r="E71" s="400">
        <v>27.4</v>
      </c>
      <c r="F71" s="394" t="s">
        <v>587</v>
      </c>
      <c r="G71" s="399">
        <v>79600</v>
      </c>
      <c r="H71" s="1049" t="s">
        <v>1204</v>
      </c>
      <c r="I71" s="561">
        <f t="shared" si="0"/>
        <v>2.1810399999999999</v>
      </c>
      <c r="J71" s="1048">
        <f>0.243*E71/1000</f>
        <v>6.6581999999999995E-3</v>
      </c>
      <c r="K71" s="1048">
        <f t="shared" si="5"/>
        <v>6.6581999999999995E-3</v>
      </c>
      <c r="L71" s="1048">
        <f>0.439*E71/1000</f>
        <v>1.2028599999999999E-2</v>
      </c>
      <c r="M71" s="1048">
        <f t="shared" si="6"/>
        <v>1.2028599999999999E-2</v>
      </c>
      <c r="N71" s="400"/>
      <c r="O71" s="400"/>
      <c r="P71" s="400"/>
      <c r="Q71" s="401"/>
      <c r="R71" s="634"/>
      <c r="S71" s="264" t="s">
        <v>18</v>
      </c>
      <c r="T71" s="251"/>
      <c r="U71" s="251"/>
      <c r="V71" s="251"/>
      <c r="W71" s="251"/>
      <c r="X71" s="251"/>
      <c r="Y71" s="251"/>
      <c r="Z71" s="251"/>
    </row>
    <row r="72" spans="1:86" s="1044" customFormat="1" ht="31.5" outlineLevel="1" x14ac:dyDescent="0.25">
      <c r="B72" s="1045" t="s">
        <v>1200</v>
      </c>
      <c r="C72" s="1046" t="s">
        <v>1201</v>
      </c>
      <c r="D72" s="263" t="s">
        <v>1202</v>
      </c>
      <c r="E72" s="1048"/>
      <c r="F72" s="1049"/>
      <c r="G72" s="1050">
        <f>G68</f>
        <v>54600</v>
      </c>
      <c r="H72" s="1049" t="s">
        <v>1203</v>
      </c>
      <c r="I72" s="1051">
        <f>I68</f>
        <v>54600</v>
      </c>
      <c r="J72" s="1048">
        <f>0.0545</f>
        <v>5.45E-2</v>
      </c>
      <c r="K72" s="1048">
        <f>0.0545</f>
        <v>5.45E-2</v>
      </c>
      <c r="L72" s="1048">
        <f>9.46</f>
        <v>9.4600000000000009</v>
      </c>
      <c r="M72" s="1048">
        <f t="shared" si="6"/>
        <v>9.4600000000000009</v>
      </c>
      <c r="N72" s="1048"/>
      <c r="O72" s="1048"/>
      <c r="P72" s="1048"/>
      <c r="Q72" s="1052"/>
      <c r="R72" s="1055"/>
      <c r="S72" s="264" t="s">
        <v>1724</v>
      </c>
      <c r="T72" s="212"/>
      <c r="U72" s="212"/>
      <c r="V72" s="212"/>
      <c r="W72" s="212"/>
      <c r="X72" s="212"/>
      <c r="Y72" s="212"/>
      <c r="Z72" s="212"/>
    </row>
    <row r="73" spans="1:86" s="403" customFormat="1" ht="78.75" outlineLevel="1" x14ac:dyDescent="0.25">
      <c r="B73" s="439" t="s">
        <v>458</v>
      </c>
      <c r="C73" s="404" t="s">
        <v>441</v>
      </c>
      <c r="D73" s="264" t="s">
        <v>634</v>
      </c>
      <c r="E73" s="400">
        <v>11.6</v>
      </c>
      <c r="F73" s="394" t="s">
        <v>589</v>
      </c>
      <c r="G73" s="399">
        <v>100000</v>
      </c>
      <c r="H73" s="1049" t="s">
        <v>1211</v>
      </c>
      <c r="I73" s="561">
        <f t="shared" si="0"/>
        <v>1.1599999999999999</v>
      </c>
      <c r="J73" s="1048">
        <f>1.9*E73/1000</f>
        <v>2.2040000000000001E-2</v>
      </c>
      <c r="K73" s="1048">
        <f>J73</f>
        <v>2.2040000000000001E-2</v>
      </c>
      <c r="L73" s="1048">
        <f>9.46*E73/1000</f>
        <v>0.109736</v>
      </c>
      <c r="M73" s="1048">
        <f t="shared" si="6"/>
        <v>0.109736</v>
      </c>
      <c r="N73" s="400"/>
      <c r="O73" s="400"/>
      <c r="P73" s="400"/>
      <c r="Q73" s="401"/>
      <c r="R73" s="634"/>
      <c r="S73" s="264" t="s">
        <v>15</v>
      </c>
      <c r="T73" s="251"/>
      <c r="U73" s="251"/>
      <c r="V73" s="251"/>
      <c r="W73" s="251"/>
      <c r="X73" s="251"/>
      <c r="Y73" s="251"/>
      <c r="Z73" s="251"/>
    </row>
    <row r="74" spans="1:86" s="403" customFormat="1" ht="31.5" outlineLevel="1" x14ac:dyDescent="0.25">
      <c r="B74" s="439" t="s">
        <v>1212</v>
      </c>
      <c r="C74" s="404" t="s">
        <v>1213</v>
      </c>
      <c r="D74" s="264" t="s">
        <v>1202</v>
      </c>
      <c r="E74" s="400"/>
      <c r="F74" s="394"/>
      <c r="G74" s="399"/>
      <c r="H74" s="1049" t="s">
        <v>1214</v>
      </c>
      <c r="I74" s="561"/>
      <c r="J74" s="1048">
        <f>1.37</f>
        <v>1.37</v>
      </c>
      <c r="K74" s="1048">
        <f>J74</f>
        <v>1.37</v>
      </c>
      <c r="L74" s="1048">
        <f>3.33</f>
        <v>3.33</v>
      </c>
      <c r="M74" s="1048">
        <f t="shared" si="6"/>
        <v>3.33</v>
      </c>
      <c r="N74" s="400"/>
      <c r="O74" s="400"/>
      <c r="P74" s="400"/>
      <c r="Q74" s="401"/>
      <c r="R74" s="634"/>
      <c r="S74" s="264"/>
      <c r="T74" s="251"/>
      <c r="U74" s="251"/>
      <c r="V74" s="251"/>
      <c r="W74" s="251"/>
      <c r="X74" s="251"/>
      <c r="Y74" s="251"/>
      <c r="Z74" s="251"/>
    </row>
    <row r="75" spans="1:86" s="403" customFormat="1" ht="110.25" outlineLevel="1" x14ac:dyDescent="0.25">
      <c r="B75" s="264" t="s">
        <v>27</v>
      </c>
      <c r="C75" s="404" t="s">
        <v>433</v>
      </c>
      <c r="D75" s="264" t="s">
        <v>634</v>
      </c>
      <c r="E75" s="400">
        <v>10.8</v>
      </c>
      <c r="F75" s="394" t="s">
        <v>587</v>
      </c>
      <c r="G75" s="399">
        <v>106000</v>
      </c>
      <c r="H75" s="394" t="s">
        <v>589</v>
      </c>
      <c r="I75" s="561">
        <f t="shared" si="0"/>
        <v>1.1448</v>
      </c>
      <c r="J75" s="400">
        <f>(0.00000976*E258+N75*E259)*E75/1000</f>
        <v>4.4851104000000006E-5</v>
      </c>
      <c r="K75" s="400">
        <f>(0.00001952*E258+O75*E259)*E75/1000</f>
        <v>4.7802528000000005E-5</v>
      </c>
      <c r="L75" s="400">
        <f>(0.0000976*E258+P75*E259)*E75/1000</f>
        <v>6.8620608E-5</v>
      </c>
      <c r="M75" s="400">
        <f>(0.002928*E258+Q75*E259)*E75/1000</f>
        <v>9.2453356800000018E-4</v>
      </c>
      <c r="N75" s="632">
        <v>1.464E-5</v>
      </c>
      <c r="O75" s="632">
        <v>1.464E-5</v>
      </c>
      <c r="P75" s="632">
        <v>1.3663999999999998E-5</v>
      </c>
      <c r="Q75" s="633">
        <v>1.3663999999999998E-5</v>
      </c>
      <c r="R75" s="634"/>
      <c r="S75" s="264" t="s">
        <v>851</v>
      </c>
      <c r="T75" s="251"/>
      <c r="U75" s="251"/>
      <c r="V75" s="251"/>
      <c r="W75" s="251"/>
      <c r="X75" s="251"/>
      <c r="Y75" s="251"/>
      <c r="Z75" s="251"/>
    </row>
    <row r="76" spans="1:86" s="385" customFormat="1" ht="14.65" customHeight="1" outlineLevel="1" x14ac:dyDescent="0.25">
      <c r="C76" s="403"/>
    </row>
    <row r="77" spans="1:86" s="389" customFormat="1" x14ac:dyDescent="0.25">
      <c r="A77" s="385"/>
      <c r="B77" s="166"/>
      <c r="C77" s="412"/>
      <c r="D77" s="166"/>
      <c r="E77" s="166"/>
      <c r="F77" s="166"/>
      <c r="G77" s="166"/>
      <c r="H77" s="166"/>
      <c r="I77" s="166"/>
      <c r="J77" s="166"/>
      <c r="K77" s="166"/>
      <c r="L77" s="388"/>
      <c r="M77" s="388"/>
      <c r="N77" s="388"/>
      <c r="O77" s="388"/>
      <c r="P77" s="388"/>
      <c r="Q77" s="388"/>
      <c r="R77" s="388"/>
      <c r="S77" s="388"/>
      <c r="T77" s="388"/>
      <c r="U77" s="388"/>
      <c r="V77" s="388"/>
      <c r="W77" s="388"/>
      <c r="X77" s="388"/>
      <c r="Y77" s="388"/>
      <c r="Z77" s="388"/>
      <c r="AA77" s="388"/>
      <c r="AB77" s="388"/>
      <c r="AC77" s="388"/>
      <c r="AD77" s="388"/>
      <c r="AE77" s="388"/>
      <c r="AF77" s="388"/>
      <c r="AG77" s="388"/>
      <c r="AH77" s="388"/>
      <c r="AI77" s="388"/>
      <c r="AJ77" s="388"/>
      <c r="AK77" s="388"/>
      <c r="AL77" s="388"/>
      <c r="AM77" s="388"/>
      <c r="AN77" s="388"/>
      <c r="AO77" s="388"/>
      <c r="AP77" s="388"/>
      <c r="AQ77" s="388"/>
      <c r="AR77" s="388"/>
      <c r="AS77" s="388"/>
      <c r="AT77" s="388"/>
      <c r="AU77" s="388"/>
      <c r="AV77" s="388"/>
      <c r="AW77" s="388"/>
      <c r="AX77" s="388"/>
      <c r="AY77" s="388"/>
      <c r="AZ77" s="388"/>
      <c r="BA77" s="388"/>
      <c r="BB77" s="388"/>
      <c r="BC77" s="388"/>
      <c r="BD77" s="388"/>
      <c r="BE77" s="388"/>
      <c r="BF77" s="388"/>
      <c r="BG77" s="388"/>
      <c r="BH77" s="388"/>
      <c r="BI77" s="388"/>
      <c r="BJ77" s="388"/>
      <c r="BK77" s="388"/>
      <c r="BL77" s="388"/>
      <c r="BM77" s="388"/>
      <c r="BN77" s="388"/>
      <c r="BO77" s="388"/>
      <c r="BP77" s="388"/>
      <c r="BQ77" s="388"/>
      <c r="BR77" s="388"/>
      <c r="BS77" s="388"/>
      <c r="BT77" s="388"/>
      <c r="BU77" s="388"/>
      <c r="BV77" s="388"/>
      <c r="BW77" s="388"/>
    </row>
    <row r="78" spans="1:86" s="417" customFormat="1" ht="30" customHeight="1" x14ac:dyDescent="0.25">
      <c r="A78" s="742"/>
      <c r="B78" s="380" t="s">
        <v>232</v>
      </c>
      <c r="C78" s="413"/>
      <c r="D78" s="414"/>
      <c r="E78" s="414"/>
      <c r="F78" s="414"/>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414"/>
      <c r="AJ78" s="414"/>
      <c r="AK78" s="414"/>
      <c r="AL78" s="414"/>
      <c r="AM78" s="414"/>
      <c r="AN78" s="414"/>
      <c r="AO78" s="414"/>
      <c r="AP78" s="414"/>
      <c r="AQ78" s="414"/>
      <c r="AR78" s="414"/>
      <c r="AS78" s="414"/>
      <c r="AT78" s="414"/>
      <c r="AU78" s="414"/>
      <c r="AV78" s="414"/>
      <c r="AW78" s="414"/>
      <c r="AX78" s="414"/>
      <c r="AY78" s="414"/>
      <c r="AZ78" s="414"/>
      <c r="BA78" s="414"/>
      <c r="BB78" s="414"/>
      <c r="BC78" s="414"/>
      <c r="BD78" s="414"/>
      <c r="BE78" s="414"/>
      <c r="BF78" s="414"/>
      <c r="BG78" s="414"/>
      <c r="BH78" s="414"/>
      <c r="BI78" s="414"/>
      <c r="BJ78" s="414"/>
      <c r="BK78" s="414"/>
      <c r="BL78" s="414"/>
      <c r="BM78" s="414"/>
      <c r="BN78" s="414"/>
      <c r="BO78" s="414"/>
      <c r="BP78" s="414"/>
      <c r="BQ78" s="414"/>
      <c r="BR78" s="414"/>
      <c r="BS78" s="414"/>
      <c r="BT78" s="414"/>
      <c r="BU78" s="414"/>
      <c r="BV78" s="414"/>
      <c r="BW78" s="414"/>
      <c r="BX78" s="415"/>
      <c r="BY78" s="415"/>
      <c r="BZ78" s="415"/>
      <c r="CA78" s="416"/>
    </row>
    <row r="79" spans="1:86" ht="15.75" customHeight="1" outlineLevel="1" x14ac:dyDescent="0.25">
      <c r="A79" s="418"/>
      <c r="B79" s="419"/>
      <c r="C79" s="419"/>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c r="AJ79" s="420"/>
      <c r="AK79" s="420"/>
      <c r="AL79" s="420"/>
      <c r="AM79" s="420"/>
      <c r="AN79" s="420"/>
      <c r="AO79" s="420"/>
      <c r="AP79" s="420"/>
      <c r="AQ79" s="420"/>
      <c r="AR79" s="420"/>
      <c r="AS79" s="420"/>
      <c r="AT79" s="420"/>
      <c r="AU79" s="420"/>
      <c r="AV79" s="420"/>
      <c r="AW79" s="420"/>
      <c r="AX79" s="420"/>
      <c r="AY79" s="420"/>
      <c r="AZ79" s="420"/>
      <c r="BA79" s="420"/>
      <c r="BB79" s="420"/>
      <c r="BC79" s="420"/>
      <c r="BD79" s="420"/>
      <c r="BE79" s="420"/>
      <c r="BF79" s="420"/>
      <c r="BG79" s="420"/>
      <c r="BH79" s="420"/>
      <c r="BI79" s="420"/>
      <c r="BJ79" s="420"/>
      <c r="BK79" s="420"/>
      <c r="BL79" s="420"/>
      <c r="BM79" s="420"/>
      <c r="BN79" s="420"/>
      <c r="BO79" s="420"/>
      <c r="BP79" s="420"/>
      <c r="BQ79" s="420"/>
      <c r="BR79" s="420"/>
      <c r="BS79" s="420"/>
      <c r="BT79" s="420"/>
      <c r="BU79" s="420"/>
      <c r="BV79" s="420"/>
      <c r="BW79" s="420"/>
      <c r="BX79" s="420"/>
      <c r="BY79" s="420"/>
      <c r="BZ79" s="420"/>
      <c r="CA79" s="420"/>
      <c r="CB79" s="420"/>
      <c r="CC79" s="420"/>
      <c r="CD79" s="420"/>
      <c r="CE79" s="420"/>
      <c r="CF79" s="420"/>
      <c r="CG79" s="420"/>
      <c r="CH79" s="420"/>
    </row>
    <row r="80" spans="1:86" ht="18.75" outlineLevel="1" x14ac:dyDescent="0.3">
      <c r="A80" s="421"/>
      <c r="B80" s="422" t="s">
        <v>190</v>
      </c>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423"/>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c r="BM80" s="167"/>
      <c r="BN80" s="167"/>
      <c r="BO80" s="167"/>
      <c r="BP80" s="167"/>
      <c r="BQ80" s="167"/>
      <c r="BR80" s="167"/>
      <c r="BS80" s="167"/>
      <c r="BT80" s="167"/>
      <c r="BU80" s="167"/>
      <c r="BV80" s="167"/>
      <c r="BW80" s="167"/>
      <c r="BX80" s="167"/>
      <c r="BY80" s="167"/>
      <c r="BZ80" s="167"/>
      <c r="CA80" s="167"/>
      <c r="CB80" s="167"/>
      <c r="CC80" s="167"/>
      <c r="CD80" s="167"/>
      <c r="CE80" s="167"/>
      <c r="CF80" s="167"/>
      <c r="CG80" s="167"/>
      <c r="CH80" s="167"/>
    </row>
    <row r="81" spans="1:86" ht="15.75" customHeight="1" outlineLevel="1" x14ac:dyDescent="0.25">
      <c r="A81" s="421"/>
      <c r="B81" s="424"/>
      <c r="C81" s="425"/>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423"/>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c r="BM81" s="167"/>
      <c r="BN81" s="167"/>
      <c r="BO81" s="167"/>
      <c r="BP81" s="167"/>
      <c r="BQ81" s="167"/>
      <c r="BR81" s="167"/>
      <c r="BS81" s="167"/>
      <c r="BT81" s="167"/>
      <c r="BU81" s="167"/>
      <c r="BV81" s="167"/>
      <c r="BW81" s="167"/>
      <c r="BX81" s="167"/>
      <c r="BY81" s="167"/>
      <c r="BZ81" s="167"/>
      <c r="CA81" s="167"/>
      <c r="CB81" s="167"/>
      <c r="CC81" s="167"/>
      <c r="CD81" s="167"/>
      <c r="CE81" s="167"/>
      <c r="CF81" s="167"/>
      <c r="CG81" s="167"/>
      <c r="CH81" s="167"/>
    </row>
    <row r="82" spans="1:86" outlineLevel="1" x14ac:dyDescent="0.25">
      <c r="A82" s="426"/>
      <c r="B82" s="427" t="s">
        <v>619</v>
      </c>
      <c r="D82" s="428"/>
      <c r="E82" s="429"/>
      <c r="F82" s="429"/>
      <c r="G82" s="429"/>
      <c r="H82" s="429"/>
      <c r="I82" s="429"/>
      <c r="J82" s="429"/>
      <c r="K82" s="429"/>
      <c r="L82" s="429"/>
      <c r="M82" s="429"/>
      <c r="N82" s="429"/>
      <c r="O82" s="429"/>
      <c r="P82" s="429"/>
      <c r="Q82" s="429"/>
      <c r="R82" s="429"/>
      <c r="S82" s="430"/>
      <c r="T82" s="430"/>
      <c r="U82" s="430"/>
      <c r="V82" s="430"/>
      <c r="W82" s="430"/>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30"/>
      <c r="AZ82" s="430"/>
      <c r="BA82" s="430"/>
      <c r="BB82" s="430"/>
      <c r="BC82" s="430"/>
      <c r="BD82" s="430"/>
      <c r="BE82" s="430"/>
      <c r="BF82" s="430"/>
      <c r="BG82" s="430"/>
      <c r="BH82" s="430"/>
      <c r="BI82" s="430"/>
      <c r="BJ82" s="430"/>
      <c r="BK82" s="430"/>
      <c r="BL82" s="430"/>
      <c r="BM82" s="430"/>
      <c r="BN82" s="430"/>
      <c r="BO82" s="430"/>
      <c r="BP82" s="430"/>
      <c r="BQ82" s="430"/>
      <c r="BR82" s="430"/>
      <c r="BS82" s="430"/>
      <c r="BT82" s="430"/>
      <c r="BU82" s="430"/>
      <c r="BV82" s="430"/>
      <c r="BW82" s="430"/>
      <c r="BX82" s="430"/>
      <c r="BY82" s="430"/>
      <c r="BZ82" s="430"/>
      <c r="CA82" s="430"/>
      <c r="CB82" s="430"/>
      <c r="CC82" s="430"/>
      <c r="CD82" s="430"/>
      <c r="CE82" s="430"/>
      <c r="CF82" s="430"/>
      <c r="CG82" s="430"/>
      <c r="CH82" s="430"/>
    </row>
    <row r="83" spans="1:86" ht="15.75" customHeight="1" outlineLevel="1" x14ac:dyDescent="0.25">
      <c r="A83" s="431"/>
      <c r="B83" s="1336" t="s">
        <v>191</v>
      </c>
      <c r="C83" s="1333" t="s">
        <v>192</v>
      </c>
      <c r="D83" s="1333" t="s">
        <v>193</v>
      </c>
      <c r="E83" s="1326" t="s">
        <v>194</v>
      </c>
      <c r="F83" s="1327"/>
      <c r="G83" s="1327"/>
      <c r="H83" s="1327"/>
      <c r="I83" s="1327"/>
      <c r="J83" s="1328"/>
    </row>
    <row r="84" spans="1:86" ht="15.75" customHeight="1" outlineLevel="1" x14ac:dyDescent="0.25">
      <c r="A84" s="431"/>
      <c r="B84" s="1337"/>
      <c r="C84" s="1334"/>
      <c r="D84" s="1334"/>
      <c r="E84" s="1326" t="s">
        <v>1045</v>
      </c>
      <c r="F84" s="1328"/>
      <c r="G84" s="1326" t="s">
        <v>1046</v>
      </c>
      <c r="H84" s="1328"/>
      <c r="I84" s="1326" t="s">
        <v>1047</v>
      </c>
      <c r="J84" s="1328"/>
    </row>
    <row r="85" spans="1:86" ht="15.75" customHeight="1" outlineLevel="1" x14ac:dyDescent="0.25">
      <c r="A85" s="434"/>
      <c r="B85" s="1338"/>
      <c r="C85" s="1335"/>
      <c r="D85" s="1335"/>
      <c r="E85" s="435" t="s">
        <v>198</v>
      </c>
      <c r="F85" s="435" t="s">
        <v>199</v>
      </c>
      <c r="G85" s="435" t="s">
        <v>198</v>
      </c>
      <c r="H85" s="435" t="s">
        <v>199</v>
      </c>
      <c r="I85" s="435" t="s">
        <v>198</v>
      </c>
      <c r="J85" s="435" t="s">
        <v>199</v>
      </c>
    </row>
    <row r="86" spans="1:86" s="168" customFormat="1" outlineLevel="1" x14ac:dyDescent="0.25">
      <c r="A86" s="436"/>
      <c r="B86" s="1339" t="s">
        <v>614</v>
      </c>
      <c r="C86" s="437" t="s">
        <v>615</v>
      </c>
      <c r="D86" s="437" t="s">
        <v>893</v>
      </c>
      <c r="E86" s="438">
        <f>1198.86/1000</f>
        <v>1.1988599999999998</v>
      </c>
      <c r="F86" s="439" t="s">
        <v>202</v>
      </c>
      <c r="G86" s="440">
        <f>41.27/1000000</f>
        <v>4.1270000000000003E-5</v>
      </c>
      <c r="H86" s="439" t="s">
        <v>202</v>
      </c>
      <c r="I86" s="440">
        <f>21.46/1000000</f>
        <v>2.1460000000000001E-5</v>
      </c>
      <c r="J86" s="439" t="s">
        <v>202</v>
      </c>
    </row>
    <row r="87" spans="1:86" s="168" customFormat="1" outlineLevel="1" x14ac:dyDescent="0.25">
      <c r="A87" s="436"/>
      <c r="B87" s="1341"/>
      <c r="C87" s="437" t="s">
        <v>616</v>
      </c>
      <c r="D87" s="437" t="s">
        <v>617</v>
      </c>
      <c r="E87" s="438">
        <f>1339.89/1000</f>
        <v>1.33989</v>
      </c>
      <c r="F87" s="439" t="s">
        <v>202</v>
      </c>
      <c r="G87" s="440">
        <f>998.83/1000000</f>
        <v>9.9883000000000003E-4</v>
      </c>
      <c r="H87" s="439" t="s">
        <v>202</v>
      </c>
      <c r="I87" s="440">
        <f>1000/1000000</f>
        <v>1E-3</v>
      </c>
      <c r="J87" s="439" t="s">
        <v>202</v>
      </c>
    </row>
    <row r="88" spans="1:86" s="168" customFormat="1" outlineLevel="1" x14ac:dyDescent="0.25">
      <c r="A88" s="436"/>
      <c r="B88" s="1339" t="s">
        <v>201</v>
      </c>
      <c r="C88" s="437" t="s">
        <v>203</v>
      </c>
      <c r="D88" s="437" t="s">
        <v>605</v>
      </c>
      <c r="E88" s="438">
        <f>202.11/1000</f>
        <v>0.20211000000000001</v>
      </c>
      <c r="F88" s="439" t="s">
        <v>202</v>
      </c>
      <c r="G88" s="440">
        <f>27.95/1000000</f>
        <v>2.7949999999999998E-5</v>
      </c>
      <c r="H88" s="439" t="s">
        <v>202</v>
      </c>
      <c r="I88" s="440">
        <f>3.76/1000000</f>
        <v>3.7599999999999996E-6</v>
      </c>
      <c r="J88" s="439" t="s">
        <v>202</v>
      </c>
    </row>
    <row r="89" spans="1:86" s="168" customFormat="1" outlineLevel="1" x14ac:dyDescent="0.25">
      <c r="A89" s="436"/>
      <c r="B89" s="1340"/>
      <c r="C89" s="437" t="s">
        <v>205</v>
      </c>
      <c r="D89" s="437" t="s">
        <v>607</v>
      </c>
      <c r="E89" s="438">
        <f>140.6/1000</f>
        <v>0.1406</v>
      </c>
      <c r="F89" s="439" t="s">
        <v>202</v>
      </c>
      <c r="G89" s="440">
        <f>19.92/1000000</f>
        <v>1.9920000000000002E-5</v>
      </c>
      <c r="H89" s="439" t="s">
        <v>202</v>
      </c>
      <c r="I89" s="440">
        <f>2/1000000</f>
        <v>1.9999999999999999E-6</v>
      </c>
      <c r="J89" s="439" t="s">
        <v>202</v>
      </c>
    </row>
    <row r="90" spans="1:86" s="168" customFormat="1" outlineLevel="1" x14ac:dyDescent="0.25">
      <c r="A90" s="436"/>
      <c r="B90" s="1340"/>
      <c r="C90" s="437" t="s">
        <v>204</v>
      </c>
      <c r="D90" s="437" t="s">
        <v>606</v>
      </c>
      <c r="E90" s="438">
        <f>192.46/1000</f>
        <v>0.19246000000000002</v>
      </c>
      <c r="F90" s="439" t="s">
        <v>202</v>
      </c>
      <c r="G90" s="440">
        <f>1.19/1000000</f>
        <v>1.19E-6</v>
      </c>
      <c r="H90" s="439" t="s">
        <v>202</v>
      </c>
      <c r="I90" s="440">
        <f>7.15/1000000</f>
        <v>7.1500000000000002E-6</v>
      </c>
      <c r="J90" s="439" t="s">
        <v>202</v>
      </c>
    </row>
    <row r="91" spans="1:86" s="168" customFormat="1" outlineLevel="1" x14ac:dyDescent="0.25">
      <c r="A91" s="436"/>
      <c r="B91" s="1340"/>
      <c r="C91" s="437" t="s">
        <v>206</v>
      </c>
      <c r="D91" s="437" t="s">
        <v>608</v>
      </c>
      <c r="E91" s="438">
        <f>191.9/1000</f>
        <v>0.19190000000000002</v>
      </c>
      <c r="F91" s="439" t="s">
        <v>202</v>
      </c>
      <c r="G91" s="440">
        <f>34.4/1000000</f>
        <v>3.4399999999999996E-5</v>
      </c>
      <c r="H91" s="439" t="s">
        <v>202</v>
      </c>
      <c r="I91" s="440">
        <f>0/1000000</f>
        <v>0</v>
      </c>
      <c r="J91" s="439" t="s">
        <v>202</v>
      </c>
    </row>
    <row r="92" spans="1:86" s="168" customFormat="1" outlineLevel="1" x14ac:dyDescent="0.25">
      <c r="A92" s="436"/>
      <c r="B92" s="1339" t="s">
        <v>207</v>
      </c>
      <c r="C92" s="437" t="s">
        <v>540</v>
      </c>
      <c r="D92" s="437" t="s">
        <v>609</v>
      </c>
      <c r="E92" s="438">
        <f>260.23/1000</f>
        <v>0.26023000000000002</v>
      </c>
      <c r="F92" s="437" t="s">
        <v>202</v>
      </c>
      <c r="G92" s="440">
        <f>84.44/1000000</f>
        <v>8.4439999999999998E-5</v>
      </c>
      <c r="H92" s="437" t="s">
        <v>202</v>
      </c>
      <c r="I92" s="440">
        <f>8.95/1000000</f>
        <v>8.949999999999999E-6</v>
      </c>
      <c r="J92" s="437" t="s">
        <v>202</v>
      </c>
    </row>
    <row r="93" spans="1:86" s="168" customFormat="1" outlineLevel="1" x14ac:dyDescent="0.25">
      <c r="A93" s="436"/>
      <c r="B93" s="1341"/>
      <c r="C93" s="437" t="s">
        <v>610</v>
      </c>
      <c r="D93" s="437" t="s">
        <v>611</v>
      </c>
      <c r="E93" s="438">
        <f>229.8/1000</f>
        <v>0.2298</v>
      </c>
      <c r="F93" s="437" t="s">
        <v>202</v>
      </c>
      <c r="G93" s="440">
        <f>2.87/1000000</f>
        <v>2.8700000000000001E-6</v>
      </c>
      <c r="H93" s="437" t="s">
        <v>202</v>
      </c>
      <c r="I93" s="440">
        <f>6.3/1000000</f>
        <v>6.2999999999999998E-6</v>
      </c>
      <c r="J93" s="437" t="s">
        <v>202</v>
      </c>
    </row>
    <row r="94" spans="1:86" s="168" customFormat="1" outlineLevel="1" x14ac:dyDescent="0.25">
      <c r="A94" s="436"/>
      <c r="B94" s="1339" t="s">
        <v>209</v>
      </c>
      <c r="C94" s="437" t="s">
        <v>618</v>
      </c>
      <c r="D94" s="437" t="s">
        <v>618</v>
      </c>
      <c r="E94" s="438">
        <f>70.89/1000</f>
        <v>7.0889999999999995E-2</v>
      </c>
      <c r="F94" s="437" t="s">
        <v>202</v>
      </c>
      <c r="G94" s="440">
        <f>116.21/1000000</f>
        <v>1.1621E-4</v>
      </c>
      <c r="H94" s="437" t="s">
        <v>202</v>
      </c>
      <c r="I94" s="440">
        <f>1/1000000</f>
        <v>9.9999999999999995E-7</v>
      </c>
      <c r="J94" s="437" t="s">
        <v>202</v>
      </c>
    </row>
    <row r="95" spans="1:86" s="168" customFormat="1" outlineLevel="1" x14ac:dyDescent="0.25">
      <c r="A95" s="436"/>
      <c r="B95" s="1341"/>
      <c r="C95" s="437" t="s">
        <v>892</v>
      </c>
      <c r="D95" s="437" t="s">
        <v>892</v>
      </c>
      <c r="E95" s="438">
        <f>127.49/1000</f>
        <v>0.12748999999999999</v>
      </c>
      <c r="F95" s="437" t="s">
        <v>202</v>
      </c>
      <c r="G95" s="440">
        <f>54.11/1000000</f>
        <v>5.4110000000000002E-5</v>
      </c>
      <c r="H95" s="437"/>
      <c r="I95" s="440">
        <f>2/1000000</f>
        <v>1.9999999999999999E-6</v>
      </c>
      <c r="J95" s="437"/>
    </row>
    <row r="96" spans="1:86" s="168" customFormat="1" outlineLevel="1" x14ac:dyDescent="0.25">
      <c r="A96" s="436"/>
      <c r="B96" s="441" t="s">
        <v>210</v>
      </c>
      <c r="C96" s="439" t="s">
        <v>612</v>
      </c>
      <c r="D96" s="439" t="s">
        <v>613</v>
      </c>
      <c r="E96" s="442">
        <f>559.58/1000</f>
        <v>0.55958000000000008</v>
      </c>
      <c r="F96" s="439" t="s">
        <v>202</v>
      </c>
      <c r="G96" s="400">
        <f>19.19/1000000</f>
        <v>1.9190000000000001E-5</v>
      </c>
      <c r="H96" s="439" t="s">
        <v>202</v>
      </c>
      <c r="I96" s="400">
        <f>24.86</f>
        <v>24.86</v>
      </c>
      <c r="J96" s="439" t="s">
        <v>202</v>
      </c>
    </row>
    <row r="97" spans="1:87" ht="15.75" customHeight="1" outlineLevel="1" x14ac:dyDescent="0.25">
      <c r="A97" s="431"/>
      <c r="B97" s="443"/>
      <c r="C97" s="444"/>
      <c r="D97" s="445"/>
      <c r="E97" s="446"/>
      <c r="F97" s="447"/>
      <c r="G97" s="446"/>
      <c r="H97" s="446"/>
      <c r="I97" s="426"/>
      <c r="J97" s="426"/>
      <c r="K97" s="430"/>
      <c r="L97" s="430"/>
      <c r="M97" s="430"/>
      <c r="N97" s="426"/>
      <c r="O97" s="426"/>
      <c r="P97" s="426"/>
      <c r="Q97" s="426"/>
      <c r="R97" s="426"/>
      <c r="S97" s="426"/>
      <c r="T97" s="426"/>
      <c r="U97" s="426"/>
      <c r="V97" s="426"/>
      <c r="W97" s="426"/>
      <c r="X97" s="171"/>
      <c r="Y97" s="171"/>
      <c r="Z97" s="426"/>
      <c r="AA97" s="426"/>
      <c r="AB97" s="426"/>
      <c r="AC97" s="426"/>
      <c r="AD97" s="426"/>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row>
    <row r="98" spans="1:87" ht="15.75" customHeight="1" outlineLevel="1" x14ac:dyDescent="0.25">
      <c r="A98" s="431"/>
      <c r="B98" s="171"/>
      <c r="C98" s="444"/>
      <c r="D98" s="445"/>
      <c r="E98" s="446"/>
      <c r="F98" s="447"/>
      <c r="G98" s="446"/>
      <c r="H98" s="446"/>
      <c r="I98" s="171"/>
      <c r="J98" s="171"/>
      <c r="K98" s="171"/>
      <c r="L98" s="171"/>
      <c r="M98" s="171"/>
      <c r="N98" s="171"/>
      <c r="O98" s="171"/>
      <c r="P98" s="171"/>
      <c r="Q98" s="171"/>
      <c r="R98" s="171"/>
      <c r="S98" s="171"/>
      <c r="T98" s="171"/>
      <c r="U98" s="171"/>
      <c r="V98" s="171"/>
      <c r="W98" s="171"/>
      <c r="X98" s="171"/>
      <c r="Y98" s="171"/>
      <c r="Z98" s="171"/>
      <c r="AA98" s="426"/>
      <c r="AB98" s="426"/>
      <c r="AC98" s="426"/>
      <c r="AD98" s="426"/>
      <c r="AE98" s="426"/>
      <c r="AF98" s="426"/>
      <c r="AG98" s="426"/>
      <c r="AH98" s="426"/>
      <c r="AI98" s="426"/>
      <c r="AJ98" s="426"/>
      <c r="AK98" s="426"/>
      <c r="AL98" s="171"/>
      <c r="AM98" s="171"/>
      <c r="AN98" s="426"/>
      <c r="AO98" s="426"/>
      <c r="AP98" s="426"/>
      <c r="AQ98" s="426"/>
      <c r="AR98" s="426"/>
      <c r="AS98" s="426"/>
      <c r="AT98" s="426"/>
      <c r="AU98" s="426"/>
      <c r="AV98" s="426"/>
      <c r="AW98" s="426"/>
      <c r="AX98" s="426"/>
      <c r="AY98" s="426"/>
      <c r="AZ98" s="426"/>
      <c r="BA98" s="426"/>
      <c r="BB98" s="426"/>
      <c r="BC98" s="426"/>
      <c r="BD98" s="426"/>
      <c r="BE98" s="426"/>
      <c r="BF98" s="426"/>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row>
    <row r="99" spans="1:87" ht="18.75" outlineLevel="1" x14ac:dyDescent="0.3">
      <c r="A99" s="431"/>
      <c r="B99" s="422" t="s">
        <v>233</v>
      </c>
      <c r="D99" s="167"/>
      <c r="E99" s="167"/>
      <c r="F99" s="167"/>
      <c r="G99" s="167"/>
      <c r="H99" s="167"/>
      <c r="I99" s="167"/>
      <c r="J99" s="167"/>
      <c r="K99" s="167"/>
      <c r="L99" s="171"/>
      <c r="M99" s="171"/>
      <c r="N99" s="171"/>
      <c r="O99" s="171"/>
      <c r="P99" s="171"/>
      <c r="Q99" s="171"/>
      <c r="R99" s="171"/>
      <c r="S99" s="171"/>
      <c r="T99" s="171"/>
      <c r="U99" s="171"/>
      <c r="V99" s="171"/>
      <c r="W99" s="171"/>
      <c r="X99" s="171"/>
      <c r="Y99" s="171"/>
      <c r="Z99" s="171"/>
      <c r="AA99" s="426"/>
      <c r="AB99" s="426"/>
      <c r="AC99" s="426"/>
      <c r="AD99" s="426"/>
      <c r="AE99" s="426"/>
      <c r="AF99" s="426"/>
      <c r="AG99" s="426"/>
      <c r="AH99" s="426"/>
      <c r="AI99" s="426"/>
      <c r="AJ99" s="426"/>
      <c r="AK99" s="426"/>
      <c r="AL99" s="171"/>
      <c r="AM99" s="171"/>
      <c r="AN99" s="448"/>
      <c r="AO99" s="448"/>
      <c r="AP99" s="448"/>
      <c r="AQ99" s="448"/>
      <c r="AR99" s="448"/>
      <c r="AS99" s="448"/>
      <c r="AT99" s="448"/>
      <c r="AU99" s="448"/>
      <c r="AV99" s="448"/>
      <c r="AW99" s="448"/>
      <c r="AX99" s="448"/>
      <c r="AY99" s="448"/>
      <c r="AZ99" s="448"/>
      <c r="BA99" s="448"/>
      <c r="BB99" s="448"/>
      <c r="BC99" s="448"/>
      <c r="BD99" s="448"/>
      <c r="BE99" s="448"/>
      <c r="BF99" s="448"/>
      <c r="BG99" s="448"/>
      <c r="BH99" s="448"/>
      <c r="BI99" s="448"/>
      <c r="BJ99" s="448"/>
      <c r="BK99" s="448"/>
      <c r="BL99" s="448"/>
      <c r="BM99" s="448"/>
      <c r="BN99" s="448"/>
      <c r="BO99" s="448"/>
      <c r="BP99" s="448"/>
      <c r="BQ99" s="448"/>
      <c r="BR99" s="448"/>
      <c r="BS99" s="448"/>
      <c r="BT99" s="448"/>
      <c r="BU99" s="448"/>
      <c r="BV99" s="448"/>
      <c r="BW99" s="426"/>
      <c r="BX99" s="426"/>
      <c r="BY99" s="426"/>
      <c r="BZ99" s="426"/>
      <c r="CA99" s="431"/>
      <c r="CB99" s="171"/>
      <c r="CC99" s="426"/>
      <c r="CD99" s="426"/>
      <c r="CE99" s="426"/>
      <c r="CF99" s="426"/>
      <c r="CG99" s="426"/>
      <c r="CH99" s="426"/>
    </row>
    <row r="100" spans="1:87" ht="15.75" customHeight="1" outlineLevel="1" x14ac:dyDescent="0.25">
      <c r="A100" s="431"/>
      <c r="B100" s="449"/>
      <c r="D100" s="167"/>
      <c r="E100" s="167"/>
      <c r="F100" s="167"/>
      <c r="G100" s="167"/>
      <c r="H100" s="167"/>
      <c r="I100" s="167"/>
      <c r="J100" s="167"/>
      <c r="K100" s="167"/>
      <c r="L100" s="171"/>
      <c r="M100" s="171"/>
      <c r="N100" s="171"/>
      <c r="O100" s="171"/>
      <c r="P100" s="171"/>
      <c r="Q100" s="171"/>
      <c r="R100" s="171"/>
      <c r="S100" s="171"/>
      <c r="T100" s="171"/>
      <c r="U100" s="171"/>
      <c r="V100" s="171"/>
      <c r="W100" s="171"/>
      <c r="X100" s="171"/>
      <c r="Y100" s="171"/>
      <c r="Z100" s="171"/>
      <c r="AA100" s="426"/>
      <c r="AB100" s="426"/>
      <c r="AC100" s="426"/>
      <c r="AD100" s="426"/>
      <c r="AE100" s="426"/>
      <c r="AF100" s="426"/>
      <c r="AG100" s="426"/>
      <c r="AH100" s="426"/>
      <c r="AI100" s="426"/>
      <c r="AJ100" s="426"/>
      <c r="AK100" s="426"/>
      <c r="AL100" s="171"/>
      <c r="AM100" s="171"/>
      <c r="AN100" s="448"/>
      <c r="AO100" s="448"/>
      <c r="AP100" s="448"/>
      <c r="AQ100" s="448"/>
      <c r="AR100" s="448"/>
      <c r="AS100" s="448"/>
      <c r="AT100" s="448"/>
      <c r="AU100" s="448"/>
      <c r="AV100" s="448"/>
      <c r="AW100" s="448"/>
      <c r="AX100" s="448"/>
      <c r="AY100" s="448"/>
      <c r="AZ100" s="448"/>
      <c r="BA100" s="448"/>
      <c r="BB100" s="448"/>
      <c r="BC100" s="448"/>
      <c r="BD100" s="448"/>
      <c r="BE100" s="448"/>
      <c r="BF100" s="448"/>
      <c r="BG100" s="448"/>
      <c r="BH100" s="448"/>
      <c r="BI100" s="448"/>
      <c r="BJ100" s="448"/>
      <c r="BK100" s="448"/>
      <c r="BL100" s="448"/>
      <c r="BM100" s="448"/>
      <c r="BN100" s="448"/>
      <c r="BO100" s="448"/>
      <c r="BP100" s="448"/>
      <c r="BQ100" s="448"/>
      <c r="BR100" s="448"/>
      <c r="BS100" s="448"/>
      <c r="BT100" s="448"/>
      <c r="BU100" s="448"/>
      <c r="BV100" s="448"/>
      <c r="BW100" s="426"/>
      <c r="BX100" s="426"/>
      <c r="BY100" s="426"/>
      <c r="BZ100" s="426"/>
      <c r="CA100" s="431"/>
      <c r="CB100" s="171"/>
      <c r="CC100" s="426"/>
      <c r="CD100" s="426"/>
      <c r="CE100" s="426"/>
      <c r="CF100" s="426"/>
      <c r="CG100" s="426"/>
      <c r="CH100" s="426"/>
    </row>
    <row r="101" spans="1:87" outlineLevel="1" x14ac:dyDescent="0.25">
      <c r="A101" s="431"/>
      <c r="B101" s="427" t="s">
        <v>491</v>
      </c>
      <c r="D101" s="428"/>
      <c r="E101" s="429"/>
      <c r="F101" s="429"/>
      <c r="G101" s="429"/>
      <c r="H101" s="429"/>
      <c r="I101" s="429"/>
      <c r="J101" s="429"/>
      <c r="K101" s="429"/>
      <c r="L101" s="171"/>
      <c r="M101" s="171"/>
      <c r="N101" s="171"/>
      <c r="O101" s="171"/>
      <c r="P101" s="171"/>
      <c r="Q101" s="171"/>
      <c r="R101" s="171"/>
      <c r="S101" s="171"/>
      <c r="T101" s="171"/>
      <c r="U101" s="171"/>
      <c r="V101" s="171"/>
      <c r="W101" s="171"/>
      <c r="X101" s="171"/>
      <c r="Y101" s="171"/>
      <c r="Z101" s="171"/>
      <c r="AA101" s="426"/>
      <c r="AB101" s="426"/>
      <c r="AC101" s="426"/>
      <c r="AD101" s="426"/>
      <c r="AE101" s="426"/>
      <c r="AF101" s="426"/>
      <c r="AG101" s="426"/>
      <c r="AH101" s="426"/>
      <c r="AI101" s="426"/>
      <c r="AJ101" s="426"/>
      <c r="AK101" s="426"/>
      <c r="AL101" s="171"/>
      <c r="AM101" s="171"/>
      <c r="AN101" s="448"/>
      <c r="AO101" s="448"/>
      <c r="AP101" s="448"/>
      <c r="AQ101" s="448"/>
      <c r="AR101" s="448"/>
      <c r="AS101" s="448"/>
      <c r="AT101" s="448"/>
      <c r="AU101" s="448"/>
      <c r="AV101" s="448"/>
      <c r="AW101" s="448"/>
      <c r="AX101" s="448"/>
      <c r="AY101" s="448"/>
      <c r="AZ101" s="448"/>
      <c r="BA101" s="448"/>
      <c r="BB101" s="448"/>
      <c r="BC101" s="448"/>
      <c r="BD101" s="448"/>
      <c r="BE101" s="448"/>
      <c r="BF101" s="448"/>
      <c r="BG101" s="448"/>
      <c r="BH101" s="448"/>
      <c r="BI101" s="448"/>
      <c r="BJ101" s="448"/>
      <c r="BK101" s="448"/>
      <c r="BL101" s="448"/>
      <c r="BM101" s="448"/>
      <c r="BN101" s="448"/>
      <c r="BO101" s="448"/>
      <c r="BP101" s="448"/>
      <c r="BQ101" s="448"/>
      <c r="BR101" s="448"/>
      <c r="BS101" s="448"/>
      <c r="BT101" s="448"/>
      <c r="BU101" s="448"/>
      <c r="BV101" s="448"/>
      <c r="BW101" s="426"/>
      <c r="BX101" s="426"/>
      <c r="BY101" s="426"/>
      <c r="BZ101" s="426"/>
      <c r="CA101" s="431"/>
      <c r="CB101" s="171"/>
      <c r="CC101" s="426"/>
      <c r="CD101" s="426"/>
      <c r="CE101" s="426"/>
      <c r="CF101" s="426"/>
      <c r="CG101" s="426"/>
      <c r="CH101" s="426"/>
    </row>
    <row r="102" spans="1:87" ht="15.75" customHeight="1" outlineLevel="1" x14ac:dyDescent="0.25">
      <c r="A102" s="431"/>
      <c r="B102" s="1336" t="s">
        <v>191</v>
      </c>
      <c r="C102" s="1333" t="s">
        <v>192</v>
      </c>
      <c r="D102" s="1333" t="s">
        <v>193</v>
      </c>
      <c r="E102" s="1326" t="s">
        <v>214</v>
      </c>
      <c r="F102" s="1327"/>
      <c r="G102" s="1327"/>
      <c r="H102" s="1327"/>
      <c r="I102" s="1327"/>
      <c r="J102" s="1328"/>
      <c r="K102" s="171"/>
      <c r="L102" s="171"/>
      <c r="M102" s="171"/>
      <c r="N102" s="171"/>
      <c r="O102" s="171"/>
      <c r="P102" s="171"/>
      <c r="Q102" s="171"/>
      <c r="R102" s="171"/>
      <c r="S102" s="171"/>
      <c r="T102" s="171"/>
      <c r="U102" s="171"/>
      <c r="V102" s="171"/>
      <c r="W102" s="171"/>
      <c r="X102" s="171"/>
      <c r="Y102" s="171"/>
      <c r="Z102" s="426"/>
      <c r="AA102" s="426"/>
      <c r="AB102" s="426"/>
      <c r="AC102" s="426"/>
      <c r="AD102" s="426"/>
      <c r="AE102" s="426"/>
      <c r="AF102" s="426"/>
      <c r="AG102" s="426"/>
      <c r="AH102" s="426"/>
      <c r="AI102" s="426"/>
      <c r="AJ102" s="426"/>
      <c r="AK102" s="171"/>
      <c r="AL102" s="171"/>
      <c r="AM102" s="448"/>
      <c r="AN102" s="448"/>
      <c r="AO102" s="448"/>
      <c r="AP102" s="448"/>
      <c r="AQ102" s="448"/>
      <c r="AR102" s="448"/>
      <c r="AS102" s="448"/>
      <c r="AT102" s="448"/>
      <c r="AU102" s="448"/>
      <c r="AV102" s="448"/>
      <c r="AW102" s="448"/>
      <c r="AX102" s="448"/>
      <c r="AY102" s="448"/>
      <c r="AZ102" s="448"/>
      <c r="BA102" s="448"/>
      <c r="BB102" s="448"/>
      <c r="BC102" s="448"/>
      <c r="BD102" s="448"/>
      <c r="BE102" s="448"/>
      <c r="BF102" s="448"/>
      <c r="BG102" s="448"/>
      <c r="BH102" s="448"/>
      <c r="BI102" s="448"/>
      <c r="BJ102" s="448"/>
      <c r="BK102" s="448"/>
      <c r="BL102" s="448"/>
      <c r="BM102" s="448"/>
      <c r="BN102" s="448"/>
      <c r="BO102" s="448"/>
      <c r="BP102" s="448"/>
      <c r="BQ102" s="448"/>
      <c r="BR102" s="448"/>
      <c r="BS102" s="448"/>
      <c r="BT102" s="448"/>
      <c r="BU102" s="448"/>
      <c r="BV102" s="426"/>
      <c r="BW102" s="426"/>
      <c r="BX102" s="426"/>
      <c r="BY102" s="426"/>
      <c r="BZ102" s="431"/>
      <c r="CA102" s="171"/>
      <c r="CB102" s="426"/>
      <c r="CC102" s="426"/>
      <c r="CD102" s="426"/>
      <c r="CE102" s="426"/>
      <c r="CF102" s="426"/>
      <c r="CG102" s="426"/>
    </row>
    <row r="103" spans="1:87" ht="15.75" customHeight="1" outlineLevel="1" x14ac:dyDescent="0.25">
      <c r="A103" s="431"/>
      <c r="B103" s="1337"/>
      <c r="C103" s="1334"/>
      <c r="D103" s="1334"/>
      <c r="E103" s="1326" t="s">
        <v>1045</v>
      </c>
      <c r="F103" s="1328"/>
      <c r="G103" s="1326" t="s">
        <v>1046</v>
      </c>
      <c r="H103" s="1328"/>
      <c r="I103" s="1326" t="s">
        <v>1047</v>
      </c>
      <c r="J103" s="1328"/>
      <c r="K103" s="171"/>
      <c r="L103" s="171"/>
      <c r="M103" s="171"/>
      <c r="N103" s="171"/>
      <c r="O103" s="171"/>
      <c r="P103" s="171"/>
      <c r="Q103" s="171"/>
      <c r="R103" s="171"/>
      <c r="S103" s="171"/>
      <c r="T103" s="171"/>
      <c r="U103" s="171"/>
      <c r="V103" s="171"/>
      <c r="W103" s="171"/>
      <c r="X103" s="171"/>
      <c r="Y103" s="171"/>
      <c r="Z103" s="426"/>
      <c r="AA103" s="426"/>
      <c r="AB103" s="426"/>
      <c r="AC103" s="426"/>
      <c r="AD103" s="426"/>
      <c r="AE103" s="426"/>
      <c r="AF103" s="426"/>
      <c r="AG103" s="426"/>
      <c r="AH103" s="426"/>
      <c r="AI103" s="426"/>
      <c r="AJ103" s="426"/>
      <c r="AK103" s="171"/>
      <c r="AL103" s="171"/>
      <c r="AM103" s="448"/>
      <c r="AN103" s="448"/>
      <c r="AO103" s="448"/>
      <c r="AP103" s="448"/>
      <c r="AQ103" s="448"/>
      <c r="AR103" s="448"/>
      <c r="AS103" s="448"/>
      <c r="AT103" s="448"/>
      <c r="AU103" s="448"/>
      <c r="AV103" s="448"/>
      <c r="AW103" s="448"/>
      <c r="AX103" s="448"/>
      <c r="AY103" s="448"/>
      <c r="AZ103" s="448"/>
      <c r="BA103" s="448"/>
      <c r="BB103" s="448"/>
      <c r="BC103" s="448"/>
      <c r="BD103" s="448"/>
      <c r="BE103" s="448"/>
      <c r="BF103" s="448"/>
      <c r="BG103" s="448"/>
      <c r="BH103" s="448"/>
      <c r="BI103" s="448"/>
      <c r="BJ103" s="448"/>
      <c r="BK103" s="448"/>
      <c r="BL103" s="448"/>
      <c r="BM103" s="448"/>
      <c r="BN103" s="448"/>
      <c r="BO103" s="448"/>
      <c r="BP103" s="448"/>
      <c r="BQ103" s="448"/>
      <c r="BR103" s="448"/>
      <c r="BS103" s="448"/>
      <c r="BT103" s="448"/>
      <c r="BU103" s="448"/>
      <c r="BV103" s="426"/>
      <c r="BW103" s="426"/>
      <c r="BX103" s="426"/>
      <c r="BY103" s="426"/>
      <c r="BZ103" s="431"/>
      <c r="CA103" s="171"/>
      <c r="CB103" s="426"/>
      <c r="CC103" s="426"/>
      <c r="CD103" s="426"/>
      <c r="CE103" s="426"/>
      <c r="CF103" s="426"/>
      <c r="CG103" s="426"/>
    </row>
    <row r="104" spans="1:87" ht="15.75" customHeight="1" outlineLevel="1" x14ac:dyDescent="0.25">
      <c r="A104" s="431"/>
      <c r="B104" s="1338"/>
      <c r="C104" s="1335"/>
      <c r="D104" s="1335"/>
      <c r="E104" s="435" t="s">
        <v>198</v>
      </c>
      <c r="F104" s="435" t="s">
        <v>199</v>
      </c>
      <c r="G104" s="435" t="s">
        <v>198</v>
      </c>
      <c r="H104" s="435" t="s">
        <v>199</v>
      </c>
      <c r="I104" s="435" t="s">
        <v>198</v>
      </c>
      <c r="J104" s="435" t="s">
        <v>199</v>
      </c>
      <c r="K104" s="171"/>
      <c r="L104" s="171"/>
      <c r="M104" s="171"/>
      <c r="N104" s="171"/>
      <c r="O104" s="171"/>
      <c r="P104" s="171"/>
      <c r="Q104" s="171"/>
      <c r="R104" s="171"/>
      <c r="S104" s="171"/>
      <c r="T104" s="171"/>
      <c r="U104" s="171"/>
      <c r="V104" s="171"/>
      <c r="W104" s="171"/>
      <c r="X104" s="171"/>
      <c r="Y104" s="171"/>
      <c r="Z104" s="426"/>
      <c r="AA104" s="426"/>
      <c r="AB104" s="426"/>
      <c r="AC104" s="426"/>
      <c r="AD104" s="426"/>
      <c r="AE104" s="426"/>
      <c r="AF104" s="426"/>
      <c r="AG104" s="426"/>
      <c r="AH104" s="426"/>
      <c r="AI104" s="426"/>
      <c r="AJ104" s="426"/>
      <c r="AK104" s="171"/>
      <c r="AL104" s="171"/>
      <c r="AM104" s="448"/>
      <c r="AN104" s="448"/>
      <c r="AO104" s="448"/>
      <c r="AP104" s="448"/>
      <c r="AQ104" s="448"/>
      <c r="AR104" s="448"/>
      <c r="AS104" s="448"/>
      <c r="AT104" s="448"/>
      <c r="AU104" s="448"/>
      <c r="AV104" s="448"/>
      <c r="AW104" s="448"/>
      <c r="AX104" s="448"/>
      <c r="AY104" s="448"/>
      <c r="AZ104" s="448"/>
      <c r="BA104" s="448"/>
      <c r="BB104" s="448"/>
      <c r="BC104" s="448"/>
      <c r="BD104" s="448"/>
      <c r="BE104" s="448"/>
      <c r="BF104" s="448"/>
      <c r="BG104" s="448"/>
      <c r="BH104" s="448"/>
      <c r="BI104" s="448"/>
      <c r="BJ104" s="448"/>
      <c r="BK104" s="448"/>
      <c r="BL104" s="448"/>
      <c r="BM104" s="448"/>
      <c r="BN104" s="448"/>
      <c r="BO104" s="448"/>
      <c r="BP104" s="448"/>
      <c r="BQ104" s="448"/>
      <c r="BR104" s="448"/>
      <c r="BS104" s="448"/>
      <c r="BT104" s="448"/>
      <c r="BU104" s="448"/>
      <c r="BV104" s="426"/>
      <c r="BW104" s="426"/>
      <c r="BX104" s="426"/>
      <c r="BY104" s="426"/>
      <c r="BZ104" s="431"/>
      <c r="CA104" s="171"/>
      <c r="CB104" s="426"/>
      <c r="CC104" s="426"/>
      <c r="CD104" s="426"/>
      <c r="CE104" s="426"/>
      <c r="CF104" s="426"/>
      <c r="CG104" s="426"/>
    </row>
    <row r="105" spans="1:87" ht="21.4" customHeight="1" outlineLevel="1" x14ac:dyDescent="0.25">
      <c r="A105" s="431"/>
      <c r="B105" s="1339" t="s">
        <v>215</v>
      </c>
      <c r="C105" s="439" t="s">
        <v>620</v>
      </c>
      <c r="D105" s="439" t="s">
        <v>620</v>
      </c>
      <c r="E105" s="450">
        <f>0*1000</f>
        <v>0</v>
      </c>
      <c r="F105" s="439" t="s">
        <v>200</v>
      </c>
      <c r="G105" s="450">
        <v>1.9E-6</v>
      </c>
      <c r="H105" s="439" t="s">
        <v>200</v>
      </c>
      <c r="I105" s="450">
        <v>1.3999999999999999E-6</v>
      </c>
      <c r="J105" s="439" t="s">
        <v>200</v>
      </c>
      <c r="K105" s="171"/>
      <c r="L105" s="171"/>
      <c r="M105" s="171"/>
      <c r="N105" s="171"/>
      <c r="O105" s="171"/>
      <c r="P105" s="171"/>
      <c r="Q105" s="171"/>
      <c r="R105" s="171"/>
      <c r="S105" s="171"/>
      <c r="T105" s="171"/>
      <c r="U105" s="171"/>
      <c r="V105" s="171"/>
      <c r="W105" s="171"/>
      <c r="X105" s="171"/>
      <c r="Y105" s="171"/>
      <c r="Z105" s="426"/>
      <c r="AA105" s="426"/>
      <c r="AB105" s="426"/>
      <c r="AC105" s="426"/>
      <c r="AD105" s="426"/>
      <c r="AE105" s="426"/>
      <c r="AF105" s="426"/>
      <c r="AG105" s="426"/>
      <c r="AH105" s="426"/>
      <c r="AI105" s="426"/>
      <c r="AJ105" s="426"/>
      <c r="AK105" s="171"/>
      <c r="AL105" s="171"/>
      <c r="AM105" s="448"/>
      <c r="AN105" s="448"/>
      <c r="AO105" s="448"/>
      <c r="AP105" s="448"/>
      <c r="AQ105" s="448"/>
      <c r="AR105" s="448"/>
      <c r="AS105" s="448"/>
      <c r="AT105" s="448"/>
      <c r="AU105" s="448"/>
      <c r="AV105" s="448"/>
      <c r="AW105" s="448"/>
      <c r="AX105" s="448"/>
      <c r="AY105" s="448"/>
      <c r="AZ105" s="448"/>
      <c r="BA105" s="448"/>
      <c r="BB105" s="448"/>
      <c r="BC105" s="448"/>
      <c r="BD105" s="448"/>
      <c r="BE105" s="448"/>
      <c r="BF105" s="448"/>
      <c r="BG105" s="448"/>
      <c r="BH105" s="448"/>
      <c r="BI105" s="448"/>
      <c r="BJ105" s="448"/>
      <c r="BK105" s="448"/>
      <c r="BL105" s="448"/>
      <c r="BM105" s="448"/>
      <c r="BN105" s="448"/>
      <c r="BO105" s="448"/>
      <c r="BP105" s="448"/>
      <c r="BQ105" s="448"/>
      <c r="BR105" s="448"/>
      <c r="BS105" s="448"/>
      <c r="BT105" s="448"/>
      <c r="BU105" s="448"/>
      <c r="BV105" s="426"/>
      <c r="BW105" s="426"/>
      <c r="BX105" s="426"/>
      <c r="BY105" s="426"/>
      <c r="BZ105" s="431"/>
      <c r="CA105" s="171"/>
      <c r="CB105" s="426"/>
      <c r="CC105" s="426"/>
      <c r="CD105" s="426"/>
      <c r="CE105" s="426"/>
      <c r="CF105" s="426"/>
      <c r="CG105" s="426"/>
    </row>
    <row r="106" spans="1:87" outlineLevel="1" x14ac:dyDescent="0.25">
      <c r="A106" s="431"/>
      <c r="B106" s="1340"/>
      <c r="C106" s="437" t="s">
        <v>1598</v>
      </c>
      <c r="D106" s="437" t="s">
        <v>211</v>
      </c>
      <c r="E106" s="451">
        <f>0.0000534*1000</f>
        <v>5.3399999999999996E-2</v>
      </c>
      <c r="F106" s="439" t="s">
        <v>200</v>
      </c>
      <c r="G106" s="451">
        <v>2.8600000000000001E-6</v>
      </c>
      <c r="H106" s="439" t="s">
        <v>200</v>
      </c>
      <c r="I106" s="451">
        <v>9.7999999999999977E-6</v>
      </c>
      <c r="J106" s="439" t="s">
        <v>200</v>
      </c>
      <c r="K106" s="171"/>
      <c r="L106" s="171"/>
      <c r="M106" s="171"/>
      <c r="N106" s="171"/>
      <c r="O106" s="171"/>
      <c r="P106" s="171"/>
      <c r="Q106" s="171"/>
      <c r="R106" s="171"/>
      <c r="S106" s="171"/>
      <c r="T106" s="171"/>
      <c r="U106" s="171"/>
      <c r="V106" s="171"/>
      <c r="W106" s="171"/>
      <c r="X106" s="171"/>
      <c r="Y106" s="171"/>
      <c r="Z106" s="426"/>
      <c r="AA106" s="426"/>
      <c r="AB106" s="426"/>
      <c r="AC106" s="426"/>
      <c r="AD106" s="426"/>
      <c r="AE106" s="426"/>
      <c r="AF106" s="426"/>
      <c r="AG106" s="426"/>
      <c r="AH106" s="426"/>
      <c r="AI106" s="426"/>
      <c r="AJ106" s="426"/>
      <c r="AK106" s="171"/>
      <c r="AL106" s="171"/>
      <c r="AM106" s="448"/>
      <c r="AN106" s="448"/>
      <c r="AO106" s="448"/>
      <c r="AP106" s="448"/>
      <c r="AQ106" s="448"/>
      <c r="AR106" s="448"/>
      <c r="AS106" s="448"/>
      <c r="AT106" s="448"/>
      <c r="AU106" s="448"/>
      <c r="AV106" s="448"/>
      <c r="AW106" s="448"/>
      <c r="AX106" s="448"/>
      <c r="AY106" s="448"/>
      <c r="AZ106" s="448"/>
      <c r="BA106" s="448"/>
      <c r="BB106" s="448"/>
      <c r="BC106" s="448"/>
      <c r="BD106" s="448"/>
      <c r="BE106" s="448"/>
      <c r="BF106" s="448"/>
      <c r="BG106" s="448"/>
      <c r="BH106" s="448"/>
      <c r="BI106" s="448"/>
      <c r="BJ106" s="448"/>
      <c r="BK106" s="448"/>
      <c r="BL106" s="448"/>
      <c r="BM106" s="448"/>
      <c r="BN106" s="448"/>
      <c r="BO106" s="448"/>
      <c r="BP106" s="448"/>
      <c r="BQ106" s="448"/>
      <c r="BR106" s="448"/>
      <c r="BS106" s="448"/>
      <c r="BT106" s="448"/>
      <c r="BU106" s="448"/>
      <c r="BV106" s="426"/>
      <c r="BW106" s="426"/>
      <c r="BX106" s="426"/>
      <c r="BY106" s="426"/>
      <c r="BZ106" s="431"/>
      <c r="CA106" s="171"/>
      <c r="CB106" s="426"/>
      <c r="CC106" s="426"/>
      <c r="CD106" s="426"/>
      <c r="CE106" s="426"/>
      <c r="CF106" s="426"/>
      <c r="CG106" s="426"/>
    </row>
    <row r="107" spans="1:87" ht="21.4" customHeight="1" outlineLevel="1" x14ac:dyDescent="0.25">
      <c r="A107" s="431"/>
      <c r="B107" s="1341"/>
      <c r="C107" s="437" t="s">
        <v>212</v>
      </c>
      <c r="D107" s="437" t="s">
        <v>212</v>
      </c>
      <c r="E107" s="451">
        <f>0.00007414*1000</f>
        <v>7.4140000000000011E-2</v>
      </c>
      <c r="F107" s="439" t="s">
        <v>200</v>
      </c>
      <c r="G107" s="451">
        <v>1.9E-6</v>
      </c>
      <c r="H107" s="439" t="s">
        <v>200</v>
      </c>
      <c r="I107" s="451">
        <v>1.3999999999999999E-6</v>
      </c>
      <c r="J107" s="439" t="s">
        <v>200</v>
      </c>
      <c r="K107" s="171"/>
      <c r="L107" s="171"/>
      <c r="M107" s="171"/>
      <c r="N107" s="171"/>
      <c r="O107" s="171"/>
      <c r="P107" s="171"/>
      <c r="Q107" s="171"/>
      <c r="R107" s="171"/>
      <c r="S107" s="171"/>
      <c r="T107" s="171"/>
      <c r="U107" s="171"/>
      <c r="V107" s="171"/>
      <c r="W107" s="171"/>
      <c r="X107" s="171"/>
      <c r="Y107" s="171"/>
      <c r="Z107" s="426"/>
      <c r="AA107" s="426"/>
      <c r="AB107" s="426"/>
      <c r="AC107" s="426"/>
      <c r="AD107" s="426"/>
      <c r="AE107" s="426"/>
      <c r="AF107" s="426"/>
      <c r="AG107" s="426"/>
      <c r="AH107" s="426"/>
      <c r="AI107" s="426"/>
      <c r="AJ107" s="426"/>
      <c r="AK107" s="171"/>
      <c r="AL107" s="171"/>
      <c r="AM107" s="448"/>
      <c r="AN107" s="448"/>
      <c r="AO107" s="448"/>
      <c r="AP107" s="448"/>
      <c r="AQ107" s="448"/>
      <c r="AR107" s="448"/>
      <c r="AS107" s="448"/>
      <c r="AT107" s="448"/>
      <c r="AU107" s="448"/>
      <c r="AV107" s="448"/>
      <c r="AW107" s="448"/>
      <c r="AX107" s="448"/>
      <c r="AY107" s="448"/>
      <c r="AZ107" s="448"/>
      <c r="BA107" s="448"/>
      <c r="BB107" s="448"/>
      <c r="BC107" s="448"/>
      <c r="BD107" s="448"/>
      <c r="BE107" s="448"/>
      <c r="BF107" s="448"/>
      <c r="BG107" s="448"/>
      <c r="BH107" s="448"/>
      <c r="BI107" s="448"/>
      <c r="BJ107" s="448"/>
      <c r="BK107" s="448"/>
      <c r="BL107" s="448"/>
      <c r="BM107" s="448"/>
      <c r="BN107" s="448"/>
      <c r="BO107" s="448"/>
      <c r="BP107" s="448"/>
      <c r="BQ107" s="448"/>
      <c r="BR107" s="448"/>
      <c r="BS107" s="448"/>
      <c r="BT107" s="448"/>
      <c r="BU107" s="448"/>
      <c r="BV107" s="426"/>
      <c r="BW107" s="426"/>
      <c r="BX107" s="426"/>
      <c r="BY107" s="426"/>
      <c r="BZ107" s="431"/>
      <c r="CA107" s="171"/>
      <c r="CB107" s="426"/>
      <c r="CC107" s="426"/>
      <c r="CD107" s="426"/>
      <c r="CE107" s="426"/>
      <c r="CF107" s="426"/>
      <c r="CG107" s="426"/>
    </row>
    <row r="108" spans="1:87" outlineLevel="1" x14ac:dyDescent="0.25">
      <c r="A108" s="431"/>
      <c r="B108" s="441" t="s">
        <v>234</v>
      </c>
      <c r="C108" s="437" t="s">
        <v>1598</v>
      </c>
      <c r="D108" s="437" t="s">
        <v>213</v>
      </c>
      <c r="E108" s="451">
        <f>0*1000</f>
        <v>0</v>
      </c>
      <c r="F108" s="439" t="s">
        <v>208</v>
      </c>
      <c r="G108" s="451">
        <v>1.3698889852995631E-6</v>
      </c>
      <c r="H108" s="437" t="s">
        <v>208</v>
      </c>
      <c r="I108" s="451">
        <v>4.1096669558986883E-7</v>
      </c>
      <c r="J108" s="437" t="s">
        <v>208</v>
      </c>
      <c r="K108" s="171"/>
      <c r="L108" s="171"/>
      <c r="M108" s="171"/>
      <c r="N108" s="171"/>
      <c r="O108" s="171"/>
      <c r="P108" s="171"/>
      <c r="Q108" s="171"/>
      <c r="R108" s="171"/>
      <c r="S108" s="171"/>
      <c r="T108" s="171"/>
      <c r="U108" s="171"/>
      <c r="V108" s="171"/>
      <c r="W108" s="171"/>
      <c r="X108" s="171"/>
      <c r="Y108" s="171"/>
      <c r="Z108" s="426"/>
      <c r="AA108" s="426"/>
      <c r="AB108" s="426"/>
      <c r="AC108" s="426"/>
      <c r="AD108" s="426"/>
      <c r="AE108" s="426"/>
      <c r="AF108" s="426"/>
      <c r="AG108" s="426"/>
      <c r="AH108" s="426"/>
      <c r="AI108" s="426"/>
      <c r="AJ108" s="426"/>
      <c r="AK108" s="171"/>
      <c r="AL108" s="171"/>
      <c r="AM108" s="448"/>
      <c r="AN108" s="448"/>
      <c r="AO108" s="448"/>
      <c r="AP108" s="448"/>
      <c r="AQ108" s="448"/>
      <c r="AR108" s="448"/>
      <c r="AS108" s="448"/>
      <c r="AT108" s="448"/>
      <c r="AU108" s="448"/>
      <c r="AV108" s="448"/>
      <c r="AW108" s="448"/>
      <c r="AX108" s="448"/>
      <c r="AY108" s="448"/>
      <c r="AZ108" s="448"/>
      <c r="BA108" s="448"/>
      <c r="BB108" s="448"/>
      <c r="BC108" s="448"/>
      <c r="BD108" s="448"/>
      <c r="BE108" s="448"/>
      <c r="BF108" s="448"/>
      <c r="BG108" s="448"/>
      <c r="BH108" s="448"/>
      <c r="BI108" s="448"/>
      <c r="BJ108" s="448"/>
      <c r="BK108" s="448"/>
      <c r="BL108" s="448"/>
      <c r="BM108" s="448"/>
      <c r="BN108" s="448"/>
      <c r="BO108" s="448"/>
      <c r="BP108" s="448"/>
      <c r="BQ108" s="448"/>
      <c r="BR108" s="448"/>
      <c r="BS108" s="448"/>
      <c r="BT108" s="448"/>
      <c r="BU108" s="448"/>
      <c r="BV108" s="426"/>
      <c r="BW108" s="426"/>
      <c r="BX108" s="426"/>
      <c r="BY108" s="426"/>
      <c r="BZ108" s="431"/>
      <c r="CA108" s="171"/>
      <c r="CB108" s="426"/>
      <c r="CC108" s="426"/>
      <c r="CD108" s="426"/>
      <c r="CE108" s="426"/>
      <c r="CF108" s="426"/>
      <c r="CG108" s="426"/>
    </row>
    <row r="109" spans="1:87" ht="15.75" customHeight="1" outlineLevel="1" x14ac:dyDescent="0.25">
      <c r="A109" s="431"/>
      <c r="B109" s="431"/>
      <c r="C109" s="452"/>
      <c r="D109" s="453"/>
      <c r="E109" s="453"/>
      <c r="F109" s="453"/>
      <c r="G109" s="171"/>
      <c r="H109" s="171"/>
      <c r="I109" s="171"/>
      <c r="J109" s="171"/>
      <c r="K109" s="171"/>
      <c r="L109" s="171"/>
      <c r="M109" s="171"/>
      <c r="N109" s="171"/>
      <c r="O109" s="171"/>
      <c r="P109" s="171"/>
      <c r="Q109" s="171"/>
      <c r="R109" s="171"/>
      <c r="S109" s="171"/>
      <c r="T109" s="171"/>
      <c r="U109" s="171"/>
      <c r="V109" s="171"/>
      <c r="W109" s="171"/>
      <c r="X109" s="171"/>
      <c r="Y109" s="171"/>
      <c r="Z109" s="171"/>
      <c r="AA109" s="426"/>
      <c r="AB109" s="426"/>
      <c r="AC109" s="426"/>
      <c r="AD109" s="426"/>
      <c r="AE109" s="426"/>
      <c r="AF109" s="426"/>
      <c r="AG109" s="426"/>
      <c r="AH109" s="426"/>
      <c r="AI109" s="426"/>
      <c r="AJ109" s="426"/>
      <c r="AK109" s="426"/>
      <c r="AL109" s="171"/>
      <c r="AM109" s="171"/>
      <c r="AN109" s="448"/>
      <c r="AO109" s="448"/>
      <c r="AP109" s="448"/>
      <c r="AQ109" s="448"/>
      <c r="AR109" s="448"/>
      <c r="AS109" s="448"/>
      <c r="AT109" s="448"/>
      <c r="AU109" s="448"/>
      <c r="AV109" s="448"/>
      <c r="AW109" s="448"/>
      <c r="AX109" s="448"/>
      <c r="AY109" s="448"/>
      <c r="AZ109" s="448"/>
      <c r="BA109" s="448"/>
      <c r="BB109" s="448"/>
      <c r="BC109" s="448"/>
      <c r="BD109" s="448"/>
      <c r="BE109" s="448"/>
      <c r="BF109" s="448"/>
      <c r="BG109" s="448"/>
      <c r="BH109" s="448"/>
      <c r="BI109" s="448"/>
      <c r="BJ109" s="448"/>
      <c r="BK109" s="448"/>
      <c r="BL109" s="448"/>
      <c r="BM109" s="448"/>
      <c r="BN109" s="448"/>
      <c r="BO109" s="448"/>
      <c r="BP109" s="448"/>
      <c r="BQ109" s="448"/>
      <c r="BR109" s="448"/>
      <c r="BS109" s="448"/>
      <c r="BT109" s="448"/>
      <c r="BU109" s="448"/>
      <c r="BV109" s="448"/>
      <c r="BW109" s="426"/>
      <c r="BX109" s="426"/>
      <c r="BY109" s="426"/>
      <c r="BZ109" s="426"/>
      <c r="CA109" s="431"/>
      <c r="CB109" s="171"/>
      <c r="CC109" s="426"/>
      <c r="CD109" s="426"/>
      <c r="CE109" s="426"/>
      <c r="CF109" s="426"/>
      <c r="CG109" s="426"/>
      <c r="CH109" s="426"/>
    </row>
    <row r="110" spans="1:87" ht="15.75" customHeight="1" outlineLevel="1" x14ac:dyDescent="0.25">
      <c r="A110" s="431"/>
      <c r="B110" s="171"/>
      <c r="C110" s="454"/>
      <c r="D110" s="453"/>
      <c r="E110" s="453"/>
      <c r="F110" s="453"/>
      <c r="G110" s="171"/>
      <c r="H110" s="171"/>
      <c r="I110" s="171"/>
      <c r="J110" s="171"/>
      <c r="K110" s="171"/>
      <c r="L110" s="171"/>
      <c r="M110" s="171"/>
      <c r="N110" s="171"/>
      <c r="O110" s="171"/>
      <c r="P110" s="171"/>
      <c r="Q110" s="171"/>
      <c r="R110" s="171"/>
      <c r="S110" s="171"/>
      <c r="T110" s="171"/>
      <c r="U110" s="171"/>
      <c r="V110" s="171"/>
      <c r="W110" s="171"/>
      <c r="X110" s="171"/>
      <c r="Y110" s="171"/>
      <c r="Z110" s="171"/>
      <c r="AA110" s="426"/>
      <c r="AB110" s="426"/>
      <c r="AC110" s="426"/>
      <c r="AD110" s="426"/>
      <c r="AE110" s="426"/>
      <c r="AF110" s="426"/>
      <c r="AG110" s="426"/>
      <c r="AH110" s="426"/>
      <c r="AI110" s="426"/>
      <c r="AJ110" s="426"/>
      <c r="AK110" s="426"/>
      <c r="AL110" s="171"/>
      <c r="AM110" s="171"/>
      <c r="AN110" s="448"/>
      <c r="AO110" s="448"/>
      <c r="AP110" s="448"/>
      <c r="AQ110" s="448"/>
      <c r="AR110" s="448"/>
      <c r="AS110" s="448"/>
      <c r="AT110" s="448"/>
      <c r="AU110" s="448"/>
      <c r="AV110" s="448"/>
      <c r="AW110" s="448"/>
      <c r="AX110" s="448"/>
      <c r="AY110" s="448"/>
      <c r="AZ110" s="448"/>
      <c r="BA110" s="448"/>
      <c r="BB110" s="448"/>
      <c r="BC110" s="448"/>
      <c r="BD110" s="448"/>
      <c r="BE110" s="448"/>
      <c r="BF110" s="448"/>
      <c r="BG110" s="448"/>
      <c r="BH110" s="448"/>
      <c r="BI110" s="448"/>
      <c r="BJ110" s="448"/>
      <c r="BK110" s="448"/>
      <c r="BL110" s="448"/>
      <c r="BM110" s="448"/>
      <c r="BN110" s="448"/>
      <c r="BO110" s="448"/>
      <c r="BP110" s="448"/>
      <c r="BQ110" s="448"/>
      <c r="BR110" s="448"/>
      <c r="BS110" s="448"/>
      <c r="BT110" s="448"/>
      <c r="BU110" s="448"/>
      <c r="BV110" s="448"/>
      <c r="BW110" s="426"/>
      <c r="BX110" s="426"/>
      <c r="BY110" s="426"/>
      <c r="BZ110" s="426"/>
      <c r="CA110" s="431"/>
      <c r="CB110" s="171"/>
      <c r="CC110" s="426"/>
      <c r="CD110" s="426"/>
      <c r="CE110" s="426"/>
      <c r="CF110" s="426"/>
      <c r="CG110" s="426"/>
      <c r="CH110" s="426"/>
    </row>
    <row r="111" spans="1:87" ht="18.75" outlineLevel="1" x14ac:dyDescent="0.3">
      <c r="A111" s="431"/>
      <c r="B111" s="422" t="s">
        <v>235</v>
      </c>
      <c r="C111" s="166"/>
      <c r="D111" s="167"/>
      <c r="E111" s="167"/>
      <c r="F111" s="167"/>
      <c r="G111" s="167"/>
      <c r="H111" s="167"/>
      <c r="I111" s="167"/>
      <c r="J111" s="167"/>
      <c r="K111" s="167"/>
      <c r="L111" s="171"/>
      <c r="M111" s="171"/>
      <c r="N111" s="171"/>
      <c r="O111" s="171"/>
      <c r="P111" s="171"/>
      <c r="Q111" s="171"/>
      <c r="R111" s="171"/>
      <c r="S111" s="171"/>
      <c r="T111" s="171"/>
      <c r="U111" s="171"/>
      <c r="V111" s="171"/>
      <c r="W111" s="171"/>
      <c r="X111" s="171"/>
      <c r="Y111" s="171"/>
      <c r="Z111" s="171"/>
      <c r="AA111" s="426"/>
      <c r="AB111" s="426"/>
      <c r="AC111" s="426"/>
      <c r="AD111" s="426"/>
      <c r="AE111" s="426"/>
      <c r="AF111" s="426"/>
      <c r="AG111" s="426"/>
      <c r="AH111" s="426"/>
      <c r="AI111" s="426"/>
      <c r="AJ111" s="426"/>
      <c r="AK111" s="426"/>
      <c r="AL111" s="171"/>
      <c r="AM111" s="171"/>
      <c r="AN111" s="448"/>
      <c r="AO111" s="448"/>
      <c r="AP111" s="448"/>
      <c r="AQ111" s="448"/>
      <c r="AR111" s="448"/>
      <c r="AS111" s="448"/>
      <c r="AT111" s="448"/>
      <c r="AU111" s="448"/>
      <c r="AV111" s="448"/>
      <c r="AW111" s="448"/>
      <c r="AX111" s="448"/>
      <c r="AY111" s="448"/>
      <c r="AZ111" s="448"/>
      <c r="BA111" s="448"/>
      <c r="BB111" s="448"/>
      <c r="BC111" s="448"/>
      <c r="BD111" s="448"/>
      <c r="BE111" s="448"/>
      <c r="BF111" s="448"/>
      <c r="BG111" s="448"/>
      <c r="BH111" s="448"/>
      <c r="BI111" s="448"/>
      <c r="BJ111" s="448"/>
      <c r="BK111" s="448"/>
      <c r="BL111" s="448"/>
      <c r="BM111" s="448"/>
      <c r="BN111" s="448"/>
      <c r="BO111" s="448"/>
      <c r="BP111" s="448"/>
      <c r="BQ111" s="448"/>
      <c r="BR111" s="448"/>
      <c r="BS111" s="448"/>
      <c r="BT111" s="448"/>
      <c r="BU111" s="448"/>
      <c r="BV111" s="448"/>
      <c r="BW111" s="426"/>
      <c r="BX111" s="426"/>
      <c r="BY111" s="426"/>
      <c r="BZ111" s="426"/>
      <c r="CA111" s="431"/>
      <c r="CB111" s="171"/>
      <c r="CC111" s="426"/>
      <c r="CD111" s="426"/>
      <c r="CE111" s="426"/>
      <c r="CF111" s="426"/>
      <c r="CG111" s="426"/>
      <c r="CH111" s="426"/>
    </row>
    <row r="112" spans="1:87" ht="15.75" customHeight="1" outlineLevel="1" x14ac:dyDescent="0.25">
      <c r="A112" s="431"/>
      <c r="B112" s="449"/>
      <c r="C112" s="166"/>
      <c r="D112" s="167"/>
      <c r="E112" s="167"/>
      <c r="F112" s="167"/>
      <c r="G112" s="167"/>
      <c r="H112" s="167"/>
      <c r="I112" s="167"/>
      <c r="J112" s="167"/>
      <c r="K112" s="167"/>
      <c r="L112" s="171"/>
      <c r="M112" s="171"/>
      <c r="N112" s="171"/>
      <c r="O112" s="171"/>
      <c r="P112" s="171"/>
      <c r="Q112" s="171"/>
      <c r="R112" s="171"/>
      <c r="S112" s="171"/>
      <c r="T112" s="171"/>
      <c r="U112" s="171"/>
      <c r="V112" s="171"/>
      <c r="W112" s="171"/>
      <c r="X112" s="171"/>
      <c r="Y112" s="171"/>
      <c r="Z112" s="171"/>
      <c r="AA112" s="426"/>
      <c r="AB112" s="426"/>
      <c r="AC112" s="426"/>
      <c r="AD112" s="426"/>
      <c r="AE112" s="426"/>
      <c r="AF112" s="426"/>
      <c r="AG112" s="426"/>
      <c r="AH112" s="426"/>
      <c r="AI112" s="426"/>
      <c r="AJ112" s="426"/>
      <c r="AK112" s="426"/>
      <c r="AL112" s="171"/>
      <c r="AM112" s="171"/>
      <c r="AN112" s="448"/>
      <c r="AO112" s="448"/>
      <c r="AP112" s="448"/>
      <c r="AQ112" s="448"/>
      <c r="AR112" s="448"/>
      <c r="AS112" s="448"/>
      <c r="AT112" s="448"/>
      <c r="AU112" s="448"/>
      <c r="AV112" s="448"/>
      <c r="AW112" s="448"/>
      <c r="AX112" s="448"/>
      <c r="AY112" s="448"/>
      <c r="AZ112" s="448"/>
      <c r="BA112" s="448"/>
      <c r="BB112" s="448"/>
      <c r="BC112" s="448"/>
      <c r="BD112" s="448"/>
      <c r="BE112" s="448"/>
      <c r="BF112" s="448"/>
      <c r="BG112" s="448"/>
      <c r="BH112" s="448"/>
      <c r="BI112" s="448"/>
      <c r="BJ112" s="448"/>
      <c r="BK112" s="448"/>
      <c r="BL112" s="448"/>
      <c r="BM112" s="448"/>
      <c r="BN112" s="448"/>
      <c r="BO112" s="448"/>
      <c r="BP112" s="448"/>
      <c r="BQ112" s="448"/>
      <c r="BR112" s="448"/>
      <c r="BS112" s="448"/>
      <c r="BT112" s="448"/>
      <c r="BU112" s="448"/>
      <c r="BV112" s="448"/>
      <c r="BW112" s="426"/>
      <c r="BX112" s="426"/>
      <c r="BY112" s="426"/>
      <c r="BZ112" s="426"/>
      <c r="CA112" s="431"/>
      <c r="CB112" s="171"/>
      <c r="CC112" s="426"/>
      <c r="CD112" s="426"/>
      <c r="CE112" s="426"/>
      <c r="CF112" s="426"/>
      <c r="CG112" s="426"/>
      <c r="CH112" s="426"/>
    </row>
    <row r="113" spans="1:86" outlineLevel="1" x14ac:dyDescent="0.25">
      <c r="A113" s="431"/>
      <c r="B113" s="427" t="s">
        <v>492</v>
      </c>
      <c r="C113" s="166"/>
      <c r="D113" s="428"/>
      <c r="E113" s="429"/>
      <c r="F113" s="429"/>
      <c r="G113" s="429"/>
      <c r="H113" s="429"/>
      <c r="I113" s="429"/>
      <c r="J113" s="429"/>
      <c r="K113" s="429"/>
      <c r="L113" s="171"/>
      <c r="M113" s="171"/>
      <c r="N113" s="171"/>
      <c r="O113" s="171"/>
      <c r="P113" s="171"/>
      <c r="Q113" s="171"/>
      <c r="R113" s="171"/>
      <c r="S113" s="171"/>
      <c r="T113" s="171"/>
      <c r="U113" s="171"/>
      <c r="V113" s="171"/>
      <c r="W113" s="171"/>
      <c r="X113" s="171"/>
      <c r="Y113" s="171"/>
      <c r="Z113" s="171"/>
      <c r="AA113" s="426"/>
      <c r="AB113" s="426"/>
      <c r="AC113" s="426"/>
      <c r="AD113" s="426"/>
      <c r="AE113" s="426"/>
      <c r="AF113" s="426"/>
      <c r="AG113" s="426"/>
      <c r="AH113" s="426"/>
      <c r="AI113" s="426"/>
      <c r="AJ113" s="426"/>
      <c r="AK113" s="426"/>
      <c r="AL113" s="171"/>
      <c r="AM113" s="171"/>
      <c r="AN113" s="448"/>
      <c r="AO113" s="448"/>
      <c r="AP113" s="448"/>
      <c r="AQ113" s="448"/>
      <c r="AR113" s="448"/>
      <c r="AS113" s="448"/>
      <c r="AT113" s="448"/>
      <c r="AU113" s="448"/>
      <c r="AV113" s="448"/>
      <c r="AW113" s="448"/>
      <c r="AX113" s="448"/>
      <c r="AY113" s="448"/>
      <c r="AZ113" s="448"/>
      <c r="BA113" s="448"/>
      <c r="BB113" s="448"/>
      <c r="BC113" s="448"/>
      <c r="BD113" s="448"/>
      <c r="BE113" s="448"/>
      <c r="BF113" s="448"/>
      <c r="BG113" s="448"/>
      <c r="BH113" s="448"/>
      <c r="BI113" s="448"/>
      <c r="BJ113" s="448"/>
      <c r="BK113" s="448"/>
      <c r="BL113" s="448"/>
      <c r="BM113" s="448"/>
      <c r="BN113" s="448"/>
      <c r="BO113" s="448"/>
      <c r="BP113" s="448"/>
      <c r="BQ113" s="448"/>
      <c r="BR113" s="448"/>
      <c r="BS113" s="448"/>
      <c r="BT113" s="448"/>
      <c r="BU113" s="448"/>
      <c r="BV113" s="448"/>
      <c r="BW113" s="426"/>
      <c r="BX113" s="426"/>
      <c r="BY113" s="426"/>
      <c r="BZ113" s="426"/>
      <c r="CA113" s="431"/>
      <c r="CB113" s="171"/>
      <c r="CC113" s="426"/>
      <c r="CD113" s="426"/>
      <c r="CE113" s="426"/>
      <c r="CF113" s="426"/>
      <c r="CG113" s="426"/>
      <c r="CH113" s="426"/>
    </row>
    <row r="114" spans="1:86" ht="15.75" customHeight="1" outlineLevel="1" x14ac:dyDescent="0.25">
      <c r="A114" s="431"/>
      <c r="B114" s="1336" t="s">
        <v>191</v>
      </c>
      <c r="C114" s="1333" t="s">
        <v>192</v>
      </c>
      <c r="D114" s="1333" t="s">
        <v>193</v>
      </c>
      <c r="E114" s="1326" t="s">
        <v>214</v>
      </c>
      <c r="F114" s="1327"/>
      <c r="G114" s="1327"/>
      <c r="H114" s="1327"/>
      <c r="I114" s="1327"/>
      <c r="J114" s="1328"/>
      <c r="K114" s="171"/>
      <c r="L114" s="171"/>
      <c r="M114" s="171"/>
      <c r="N114" s="171"/>
      <c r="O114" s="171"/>
      <c r="P114" s="171"/>
      <c r="Q114" s="171"/>
      <c r="R114" s="171"/>
      <c r="S114" s="171"/>
      <c r="T114" s="171"/>
      <c r="U114" s="171"/>
      <c r="V114" s="171"/>
      <c r="W114" s="171"/>
      <c r="X114" s="171"/>
      <c r="Y114" s="171"/>
      <c r="Z114" s="426"/>
      <c r="AA114" s="426"/>
      <c r="AB114" s="426"/>
      <c r="AC114" s="426"/>
      <c r="AD114" s="426"/>
      <c r="AE114" s="426"/>
      <c r="AF114" s="426"/>
      <c r="AG114" s="426"/>
      <c r="AH114" s="426"/>
      <c r="AI114" s="426"/>
      <c r="AJ114" s="426"/>
      <c r="AK114" s="171"/>
      <c r="AL114" s="171"/>
      <c r="AM114" s="448"/>
      <c r="AN114" s="448"/>
      <c r="AO114" s="448"/>
      <c r="AP114" s="448"/>
      <c r="AQ114" s="448"/>
      <c r="AR114" s="448"/>
      <c r="AS114" s="448"/>
      <c r="AT114" s="448"/>
      <c r="AU114" s="448"/>
      <c r="AV114" s="448"/>
      <c r="AW114" s="448"/>
      <c r="AX114" s="448"/>
      <c r="AY114" s="448"/>
      <c r="AZ114" s="448"/>
      <c r="BA114" s="448"/>
      <c r="BB114" s="448"/>
      <c r="BC114" s="448"/>
      <c r="BD114" s="448"/>
      <c r="BE114" s="448"/>
      <c r="BF114" s="448"/>
      <c r="BG114" s="448"/>
      <c r="BH114" s="448"/>
      <c r="BI114" s="448"/>
      <c r="BJ114" s="448"/>
      <c r="BK114" s="448"/>
      <c r="BL114" s="448"/>
      <c r="BM114" s="448"/>
      <c r="BN114" s="448"/>
      <c r="BO114" s="448"/>
      <c r="BP114" s="448"/>
      <c r="BQ114" s="448"/>
      <c r="BR114" s="448"/>
      <c r="BS114" s="448"/>
      <c r="BT114" s="448"/>
      <c r="BU114" s="448"/>
      <c r="BV114" s="426"/>
      <c r="BW114" s="426"/>
      <c r="BX114" s="426"/>
      <c r="BY114" s="426"/>
      <c r="BZ114" s="431"/>
      <c r="CA114" s="171"/>
      <c r="CB114" s="426"/>
      <c r="CC114" s="426"/>
      <c r="CD114" s="426"/>
      <c r="CE114" s="426"/>
      <c r="CF114" s="426"/>
      <c r="CG114" s="426"/>
    </row>
    <row r="115" spans="1:86" ht="15.75" customHeight="1" outlineLevel="1" x14ac:dyDescent="0.25">
      <c r="A115" s="431"/>
      <c r="B115" s="1337"/>
      <c r="C115" s="1334"/>
      <c r="D115" s="1334"/>
      <c r="E115" s="1326" t="s">
        <v>1045</v>
      </c>
      <c r="F115" s="1328"/>
      <c r="G115" s="1326" t="s">
        <v>1046</v>
      </c>
      <c r="H115" s="1328"/>
      <c r="I115" s="1326" t="s">
        <v>1047</v>
      </c>
      <c r="J115" s="1328"/>
      <c r="K115" s="171"/>
      <c r="L115" s="171"/>
      <c r="M115" s="171"/>
      <c r="N115" s="171"/>
      <c r="O115" s="171"/>
      <c r="P115" s="171"/>
      <c r="Q115" s="171"/>
      <c r="R115" s="171"/>
      <c r="S115" s="171"/>
      <c r="T115" s="171"/>
      <c r="U115" s="171"/>
      <c r="V115" s="171"/>
      <c r="W115" s="171"/>
      <c r="X115" s="171"/>
      <c r="Y115" s="171"/>
      <c r="Z115" s="426"/>
      <c r="AA115" s="426"/>
      <c r="AB115" s="426"/>
      <c r="AC115" s="426"/>
      <c r="AD115" s="426"/>
      <c r="AE115" s="426"/>
      <c r="AF115" s="426"/>
      <c r="AG115" s="426"/>
      <c r="AH115" s="426"/>
      <c r="AI115" s="426"/>
      <c r="AJ115" s="426"/>
      <c r="AK115" s="171"/>
      <c r="AL115" s="171"/>
      <c r="AM115" s="448"/>
      <c r="AN115" s="448"/>
      <c r="AO115" s="448"/>
      <c r="AP115" s="448"/>
      <c r="AQ115" s="448"/>
      <c r="AR115" s="448"/>
      <c r="AS115" s="448"/>
      <c r="AT115" s="448"/>
      <c r="AU115" s="448"/>
      <c r="AV115" s="448"/>
      <c r="AW115" s="448"/>
      <c r="AX115" s="448"/>
      <c r="AY115" s="448"/>
      <c r="AZ115" s="448"/>
      <c r="BA115" s="448"/>
      <c r="BB115" s="448"/>
      <c r="BC115" s="448"/>
      <c r="BD115" s="448"/>
      <c r="BE115" s="448"/>
      <c r="BF115" s="448"/>
      <c r="BG115" s="448"/>
      <c r="BH115" s="448"/>
      <c r="BI115" s="448"/>
      <c r="BJ115" s="448"/>
      <c r="BK115" s="448"/>
      <c r="BL115" s="448"/>
      <c r="BM115" s="448"/>
      <c r="BN115" s="448"/>
      <c r="BO115" s="448"/>
      <c r="BP115" s="448"/>
      <c r="BQ115" s="448"/>
      <c r="BR115" s="448"/>
      <c r="BS115" s="448"/>
      <c r="BT115" s="448"/>
      <c r="BU115" s="448"/>
      <c r="BV115" s="426"/>
      <c r="BW115" s="426"/>
      <c r="BX115" s="426"/>
      <c r="BY115" s="426"/>
      <c r="BZ115" s="431"/>
      <c r="CA115" s="171"/>
      <c r="CB115" s="426"/>
      <c r="CC115" s="426"/>
      <c r="CD115" s="426"/>
      <c r="CE115" s="426"/>
      <c r="CF115" s="426"/>
      <c r="CG115" s="426"/>
    </row>
    <row r="116" spans="1:86" ht="15.75" customHeight="1" outlineLevel="1" x14ac:dyDescent="0.25">
      <c r="A116" s="431"/>
      <c r="B116" s="1338"/>
      <c r="C116" s="1335"/>
      <c r="D116" s="1335"/>
      <c r="E116" s="433" t="s">
        <v>198</v>
      </c>
      <c r="F116" s="433" t="s">
        <v>199</v>
      </c>
      <c r="G116" s="433" t="s">
        <v>198</v>
      </c>
      <c r="H116" s="433" t="s">
        <v>199</v>
      </c>
      <c r="I116" s="433" t="s">
        <v>198</v>
      </c>
      <c r="J116" s="433" t="s">
        <v>199</v>
      </c>
      <c r="K116" s="171"/>
      <c r="L116" s="171"/>
      <c r="M116" s="171"/>
      <c r="N116" s="171"/>
      <c r="O116" s="171"/>
      <c r="P116" s="171"/>
      <c r="Q116" s="171"/>
      <c r="R116" s="171"/>
      <c r="S116" s="171"/>
      <c r="T116" s="171"/>
      <c r="U116" s="171"/>
      <c r="V116" s="171"/>
      <c r="W116" s="171"/>
      <c r="X116" s="171"/>
      <c r="Y116" s="171"/>
      <c r="Z116" s="426"/>
      <c r="AA116" s="426"/>
      <c r="AB116" s="426"/>
      <c r="AC116" s="426"/>
      <c r="AD116" s="426"/>
      <c r="AE116" s="426"/>
      <c r="AF116" s="426"/>
      <c r="AG116" s="426"/>
      <c r="AH116" s="426"/>
      <c r="AI116" s="426"/>
      <c r="AJ116" s="426"/>
      <c r="AK116" s="171"/>
      <c r="AL116" s="171"/>
      <c r="AM116" s="448"/>
      <c r="AN116" s="448"/>
      <c r="AO116" s="448"/>
      <c r="AP116" s="448"/>
      <c r="AQ116" s="448"/>
      <c r="AR116" s="448"/>
      <c r="AS116" s="448"/>
      <c r="AT116" s="448"/>
      <c r="AU116" s="448"/>
      <c r="AV116" s="448"/>
      <c r="AW116" s="448"/>
      <c r="AX116" s="448"/>
      <c r="AY116" s="448"/>
      <c r="AZ116" s="448"/>
      <c r="BA116" s="448"/>
      <c r="BB116" s="448"/>
      <c r="BC116" s="448"/>
      <c r="BD116" s="448"/>
      <c r="BE116" s="448"/>
      <c r="BF116" s="448"/>
      <c r="BG116" s="448"/>
      <c r="BH116" s="448"/>
      <c r="BI116" s="448"/>
      <c r="BJ116" s="448"/>
      <c r="BK116" s="448"/>
      <c r="BL116" s="448"/>
      <c r="BM116" s="448"/>
      <c r="BN116" s="448"/>
      <c r="BO116" s="448"/>
      <c r="BP116" s="448"/>
      <c r="BQ116" s="448"/>
      <c r="BR116" s="448"/>
      <c r="BS116" s="448"/>
      <c r="BT116" s="448"/>
      <c r="BU116" s="448"/>
      <c r="BV116" s="426"/>
      <c r="BW116" s="426"/>
      <c r="BX116" s="426"/>
      <c r="BY116" s="426"/>
      <c r="BZ116" s="431"/>
      <c r="CA116" s="171"/>
      <c r="CB116" s="426"/>
      <c r="CC116" s="426"/>
      <c r="CD116" s="426"/>
      <c r="CE116" s="426"/>
      <c r="CF116" s="426"/>
      <c r="CG116" s="426"/>
    </row>
    <row r="117" spans="1:86" outlineLevel="1" x14ac:dyDescent="0.25">
      <c r="A117" s="431"/>
      <c r="B117" s="441" t="s">
        <v>215</v>
      </c>
      <c r="C117" s="439" t="s">
        <v>216</v>
      </c>
      <c r="D117" s="439" t="s">
        <v>217</v>
      </c>
      <c r="E117" s="450">
        <f>0.00011516*1000</f>
        <v>0.11516</v>
      </c>
      <c r="F117" s="439" t="s">
        <v>200</v>
      </c>
      <c r="G117" s="455"/>
      <c r="H117" s="456"/>
      <c r="I117" s="455"/>
      <c r="J117" s="456"/>
      <c r="K117" s="171"/>
      <c r="L117" s="171"/>
      <c r="M117" s="171"/>
      <c r="N117" s="171"/>
      <c r="O117" s="171"/>
      <c r="P117" s="171"/>
      <c r="Q117" s="171"/>
      <c r="R117" s="171"/>
      <c r="S117" s="171"/>
      <c r="T117" s="171"/>
      <c r="U117" s="171"/>
      <c r="V117" s="171"/>
      <c r="W117" s="171"/>
      <c r="X117" s="171"/>
      <c r="Y117" s="171"/>
      <c r="Z117" s="426"/>
      <c r="AA117" s="426"/>
      <c r="AB117" s="426"/>
      <c r="AC117" s="426"/>
      <c r="AD117" s="426"/>
      <c r="AE117" s="426"/>
      <c r="AF117" s="426"/>
      <c r="AG117" s="426"/>
      <c r="AH117" s="426"/>
      <c r="AI117" s="426"/>
      <c r="AJ117" s="426"/>
      <c r="AK117" s="171"/>
      <c r="AL117" s="171"/>
      <c r="AM117" s="448"/>
      <c r="AN117" s="448"/>
      <c r="AO117" s="448"/>
      <c r="AP117" s="448"/>
      <c r="AQ117" s="448"/>
      <c r="AR117" s="448"/>
      <c r="AS117" s="448"/>
      <c r="AT117" s="448"/>
      <c r="AU117" s="448"/>
      <c r="AV117" s="448"/>
      <c r="AW117" s="448"/>
      <c r="AX117" s="448"/>
      <c r="AY117" s="448"/>
      <c r="AZ117" s="448"/>
      <c r="BA117" s="448"/>
      <c r="BB117" s="448"/>
      <c r="BC117" s="448"/>
      <c r="BD117" s="448"/>
      <c r="BE117" s="448"/>
      <c r="BF117" s="448"/>
      <c r="BG117" s="448"/>
      <c r="BH117" s="448"/>
      <c r="BI117" s="448"/>
      <c r="BJ117" s="448"/>
      <c r="BK117" s="448"/>
      <c r="BL117" s="448"/>
      <c r="BM117" s="448"/>
      <c r="BN117" s="448"/>
      <c r="BO117" s="448"/>
      <c r="BP117" s="448"/>
      <c r="BQ117" s="448"/>
      <c r="BR117" s="448"/>
      <c r="BS117" s="448"/>
      <c r="BT117" s="448"/>
      <c r="BU117" s="448"/>
      <c r="BV117" s="426"/>
      <c r="BW117" s="426"/>
      <c r="BX117" s="426"/>
      <c r="BY117" s="426"/>
      <c r="BZ117" s="431"/>
      <c r="CA117" s="171"/>
      <c r="CB117" s="426"/>
      <c r="CC117" s="426"/>
      <c r="CD117" s="426"/>
      <c r="CE117" s="426"/>
      <c r="CF117" s="426"/>
      <c r="CG117" s="426"/>
    </row>
    <row r="118" spans="1:86" outlineLevel="1" x14ac:dyDescent="0.25">
      <c r="A118" s="431"/>
      <c r="B118" s="1339" t="s">
        <v>218</v>
      </c>
      <c r="C118" s="439" t="s">
        <v>216</v>
      </c>
      <c r="D118" s="439" t="s">
        <v>219</v>
      </c>
      <c r="E118" s="450">
        <f>0.0000495*1000</f>
        <v>4.9499999999999995E-2</v>
      </c>
      <c r="F118" s="439" t="s">
        <v>208</v>
      </c>
      <c r="G118" s="450">
        <v>2.8082724198641043E-6</v>
      </c>
      <c r="H118" s="439" t="s">
        <v>208</v>
      </c>
      <c r="I118" s="450">
        <v>9.5892228970969408E-7</v>
      </c>
      <c r="J118" s="439" t="s">
        <v>208</v>
      </c>
      <c r="K118" s="171"/>
      <c r="L118" s="171"/>
      <c r="M118" s="171"/>
      <c r="N118" s="171"/>
      <c r="O118" s="171"/>
      <c r="P118" s="171"/>
      <c r="Q118" s="171"/>
      <c r="R118" s="171"/>
      <c r="S118" s="171"/>
      <c r="T118" s="171"/>
      <c r="U118" s="171"/>
      <c r="V118" s="171"/>
      <c r="W118" s="171"/>
      <c r="X118" s="171"/>
      <c r="Y118" s="171"/>
      <c r="Z118" s="426"/>
      <c r="AA118" s="426"/>
      <c r="AB118" s="426"/>
      <c r="AC118" s="426"/>
      <c r="AD118" s="426"/>
      <c r="AE118" s="426"/>
      <c r="AF118" s="426"/>
      <c r="AG118" s="426"/>
      <c r="AH118" s="426"/>
      <c r="AI118" s="426"/>
      <c r="AJ118" s="426"/>
      <c r="AK118" s="171"/>
      <c r="AL118" s="171"/>
      <c r="AM118" s="448"/>
      <c r="AN118" s="448"/>
      <c r="AO118" s="448"/>
      <c r="AP118" s="448"/>
      <c r="AQ118" s="448"/>
      <c r="AR118" s="448"/>
      <c r="AS118" s="448"/>
      <c r="AT118" s="448"/>
      <c r="AU118" s="448"/>
      <c r="AV118" s="448"/>
      <c r="AW118" s="448"/>
      <c r="AX118" s="448"/>
      <c r="AY118" s="448"/>
      <c r="AZ118" s="448"/>
      <c r="BA118" s="448"/>
      <c r="BB118" s="448"/>
      <c r="BC118" s="448"/>
      <c r="BD118" s="448"/>
      <c r="BE118" s="448"/>
      <c r="BF118" s="448"/>
      <c r="BG118" s="448"/>
      <c r="BH118" s="448"/>
      <c r="BI118" s="448"/>
      <c r="BJ118" s="448"/>
      <c r="BK118" s="448"/>
      <c r="BL118" s="448"/>
      <c r="BM118" s="448"/>
      <c r="BN118" s="448"/>
      <c r="BO118" s="448"/>
      <c r="BP118" s="448"/>
      <c r="BQ118" s="448"/>
      <c r="BR118" s="448"/>
      <c r="BS118" s="448"/>
      <c r="BT118" s="448"/>
      <c r="BU118" s="448"/>
      <c r="BV118" s="426"/>
      <c r="BW118" s="426"/>
      <c r="BX118" s="426"/>
      <c r="BY118" s="426"/>
      <c r="BZ118" s="431"/>
      <c r="CA118" s="171"/>
      <c r="CB118" s="426"/>
      <c r="CC118" s="426"/>
      <c r="CD118" s="426"/>
      <c r="CE118" s="426"/>
      <c r="CF118" s="426"/>
      <c r="CG118" s="426"/>
    </row>
    <row r="119" spans="1:86" outlineLevel="1" x14ac:dyDescent="0.25">
      <c r="A119" s="431"/>
      <c r="B119" s="1340"/>
      <c r="C119" s="437" t="s">
        <v>220</v>
      </c>
      <c r="D119" s="437" t="s">
        <v>627</v>
      </c>
      <c r="E119" s="451">
        <f>0.0000333*1000</f>
        <v>3.3300000000000003E-2</v>
      </c>
      <c r="F119" s="439" t="s">
        <v>208</v>
      </c>
      <c r="G119" s="451">
        <v>2.8082724198641043E-6</v>
      </c>
      <c r="H119" s="439" t="s">
        <v>208</v>
      </c>
      <c r="I119" s="451">
        <v>9.5892228970969408E-7</v>
      </c>
      <c r="J119" s="439" t="s">
        <v>208</v>
      </c>
      <c r="K119" s="171"/>
      <c r="L119" s="171"/>
      <c r="M119" s="171"/>
      <c r="N119" s="171"/>
      <c r="O119" s="171"/>
      <c r="P119" s="171"/>
      <c r="Q119" s="171"/>
      <c r="R119" s="171"/>
      <c r="S119" s="171"/>
      <c r="T119" s="171"/>
      <c r="U119" s="171"/>
      <c r="V119" s="171"/>
      <c r="W119" s="171"/>
      <c r="X119" s="171"/>
      <c r="Y119" s="171"/>
      <c r="Z119" s="426"/>
      <c r="AA119" s="426"/>
      <c r="AB119" s="426"/>
      <c r="AC119" s="426"/>
      <c r="AD119" s="426"/>
      <c r="AE119" s="426"/>
      <c r="AF119" s="426"/>
      <c r="AG119" s="426"/>
      <c r="AH119" s="426"/>
      <c r="AI119" s="426"/>
      <c r="AJ119" s="426"/>
      <c r="AK119" s="171"/>
      <c r="AL119" s="171"/>
      <c r="AM119" s="448"/>
      <c r="AN119" s="448"/>
      <c r="AO119" s="448"/>
      <c r="AP119" s="448"/>
      <c r="AQ119" s="448"/>
      <c r="AR119" s="448"/>
      <c r="AS119" s="448"/>
      <c r="AT119" s="448"/>
      <c r="AU119" s="448"/>
      <c r="AV119" s="448"/>
      <c r="AW119" s="448"/>
      <c r="AX119" s="448"/>
      <c r="AY119" s="448"/>
      <c r="AZ119" s="448"/>
      <c r="BA119" s="448"/>
      <c r="BB119" s="448"/>
      <c r="BC119" s="448"/>
      <c r="BD119" s="448"/>
      <c r="BE119" s="448"/>
      <c r="BF119" s="448"/>
      <c r="BG119" s="448"/>
      <c r="BH119" s="448"/>
      <c r="BI119" s="448"/>
      <c r="BJ119" s="448"/>
      <c r="BK119" s="448"/>
      <c r="BL119" s="448"/>
      <c r="BM119" s="448"/>
      <c r="BN119" s="448"/>
      <c r="BO119" s="448"/>
      <c r="BP119" s="448"/>
      <c r="BQ119" s="448"/>
      <c r="BR119" s="448"/>
      <c r="BS119" s="448"/>
      <c r="BT119" s="448"/>
      <c r="BU119" s="448"/>
      <c r="BV119" s="426"/>
      <c r="BW119" s="426"/>
      <c r="BX119" s="426"/>
      <c r="BY119" s="426"/>
      <c r="BZ119" s="431"/>
      <c r="CA119" s="171"/>
      <c r="CB119" s="426"/>
      <c r="CC119" s="426"/>
      <c r="CD119" s="426"/>
      <c r="CE119" s="426"/>
      <c r="CF119" s="426"/>
      <c r="CG119" s="426"/>
    </row>
    <row r="120" spans="1:86" outlineLevel="1" x14ac:dyDescent="0.25">
      <c r="A120" s="431"/>
      <c r="B120" s="1340"/>
      <c r="C120" s="437" t="s">
        <v>221</v>
      </c>
      <c r="D120" s="437" t="s">
        <v>626</v>
      </c>
      <c r="E120" s="451">
        <f>0.0000091*1000</f>
        <v>9.0999999999999987E-3</v>
      </c>
      <c r="F120" s="439" t="s">
        <v>208</v>
      </c>
      <c r="G120" s="451">
        <v>2.8082724198641043E-6</v>
      </c>
      <c r="H120" s="439" t="s">
        <v>208</v>
      </c>
      <c r="I120" s="451">
        <v>9.5892228970969408E-7</v>
      </c>
      <c r="J120" s="439" t="s">
        <v>208</v>
      </c>
      <c r="K120" s="171"/>
      <c r="L120" s="171"/>
      <c r="M120" s="171"/>
      <c r="N120" s="171"/>
      <c r="O120" s="171"/>
      <c r="P120" s="171"/>
      <c r="Q120" s="171"/>
      <c r="R120" s="171"/>
      <c r="S120" s="171"/>
      <c r="T120" s="171"/>
      <c r="U120" s="171"/>
      <c r="V120" s="171"/>
      <c r="W120" s="171"/>
      <c r="X120" s="171"/>
      <c r="Y120" s="171"/>
      <c r="Z120" s="426"/>
      <c r="AA120" s="426"/>
      <c r="AB120" s="426"/>
      <c r="AC120" s="426"/>
      <c r="AD120" s="426"/>
      <c r="AE120" s="426"/>
      <c r="AF120" s="426"/>
      <c r="AG120" s="426"/>
      <c r="AH120" s="426"/>
      <c r="AI120" s="426"/>
      <c r="AJ120" s="426"/>
      <c r="AK120" s="171"/>
      <c r="AL120" s="171"/>
      <c r="AM120" s="448"/>
      <c r="AN120" s="448"/>
      <c r="AO120" s="448"/>
      <c r="AP120" s="448"/>
      <c r="AQ120" s="448"/>
      <c r="AR120" s="448"/>
      <c r="AS120" s="448"/>
      <c r="AT120" s="448"/>
      <c r="AU120" s="448"/>
      <c r="AV120" s="448"/>
      <c r="AW120" s="448"/>
      <c r="AX120" s="448"/>
      <c r="AY120" s="448"/>
      <c r="AZ120" s="448"/>
      <c r="BA120" s="448"/>
      <c r="BB120" s="448"/>
      <c r="BC120" s="448"/>
      <c r="BD120" s="448"/>
      <c r="BE120" s="448"/>
      <c r="BF120" s="448"/>
      <c r="BG120" s="448"/>
      <c r="BH120" s="448"/>
      <c r="BI120" s="448"/>
      <c r="BJ120" s="448"/>
      <c r="BK120" s="448"/>
      <c r="BL120" s="448"/>
      <c r="BM120" s="448"/>
      <c r="BN120" s="448"/>
      <c r="BO120" s="448"/>
      <c r="BP120" s="448"/>
      <c r="BQ120" s="448"/>
      <c r="BR120" s="448"/>
      <c r="BS120" s="448"/>
      <c r="BT120" s="448"/>
      <c r="BU120" s="448"/>
      <c r="BV120" s="426"/>
      <c r="BW120" s="426"/>
      <c r="BX120" s="426"/>
      <c r="BY120" s="426"/>
      <c r="BZ120" s="431"/>
      <c r="CA120" s="171"/>
      <c r="CB120" s="426"/>
      <c r="CC120" s="426"/>
      <c r="CD120" s="426"/>
      <c r="CE120" s="426"/>
      <c r="CF120" s="426"/>
      <c r="CG120" s="426"/>
    </row>
    <row r="121" spans="1:86" outlineLevel="1" x14ac:dyDescent="0.25">
      <c r="A121" s="431"/>
      <c r="B121" s="1341"/>
      <c r="C121" s="437" t="s">
        <v>222</v>
      </c>
      <c r="D121" s="437" t="s">
        <v>628</v>
      </c>
      <c r="E121" s="451">
        <f>0.0000059*1000</f>
        <v>5.8999999999999999E-3</v>
      </c>
      <c r="F121" s="439" t="s">
        <v>208</v>
      </c>
      <c r="G121" s="451">
        <v>2.8082724198641043E-6</v>
      </c>
      <c r="H121" s="437" t="s">
        <v>208</v>
      </c>
      <c r="I121" s="451">
        <v>9.5892228970969408E-7</v>
      </c>
      <c r="J121" s="437" t="s">
        <v>208</v>
      </c>
      <c r="K121" s="171"/>
      <c r="L121" s="171"/>
      <c r="M121" s="171"/>
      <c r="N121" s="171"/>
      <c r="O121" s="171"/>
      <c r="P121" s="171"/>
      <c r="Q121" s="171"/>
      <c r="R121" s="171"/>
      <c r="S121" s="171"/>
      <c r="T121" s="171"/>
      <c r="U121" s="171"/>
      <c r="V121" s="171"/>
      <c r="W121" s="171"/>
      <c r="X121" s="171"/>
      <c r="Y121" s="171"/>
      <c r="Z121" s="426"/>
      <c r="AA121" s="426"/>
      <c r="AB121" s="426"/>
      <c r="AC121" s="426"/>
      <c r="AD121" s="426"/>
      <c r="AE121" s="426"/>
      <c r="AF121" s="426"/>
      <c r="AG121" s="426"/>
      <c r="AH121" s="426"/>
      <c r="AI121" s="426"/>
      <c r="AJ121" s="426"/>
      <c r="AK121" s="171"/>
      <c r="AL121" s="171"/>
      <c r="AM121" s="448"/>
      <c r="AN121" s="448"/>
      <c r="AO121" s="448"/>
      <c r="AP121" s="448"/>
      <c r="AQ121" s="448"/>
      <c r="AR121" s="448"/>
      <c r="AS121" s="448"/>
      <c r="AT121" s="448"/>
      <c r="AU121" s="448"/>
      <c r="AV121" s="448"/>
      <c r="AW121" s="448"/>
      <c r="AX121" s="448"/>
      <c r="AY121" s="448"/>
      <c r="AZ121" s="448"/>
      <c r="BA121" s="448"/>
      <c r="BB121" s="448"/>
      <c r="BC121" s="448"/>
      <c r="BD121" s="448"/>
      <c r="BE121" s="448"/>
      <c r="BF121" s="448"/>
      <c r="BG121" s="448"/>
      <c r="BH121" s="448"/>
      <c r="BI121" s="448"/>
      <c r="BJ121" s="448"/>
      <c r="BK121" s="448"/>
      <c r="BL121" s="448"/>
      <c r="BM121" s="448"/>
      <c r="BN121" s="448"/>
      <c r="BO121" s="448"/>
      <c r="BP121" s="448"/>
      <c r="BQ121" s="448"/>
      <c r="BR121" s="448"/>
      <c r="BS121" s="448"/>
      <c r="BT121" s="448"/>
      <c r="BU121" s="448"/>
      <c r="BV121" s="426"/>
      <c r="BW121" s="426"/>
      <c r="BX121" s="426"/>
      <c r="BY121" s="426"/>
      <c r="BZ121" s="431"/>
      <c r="CA121" s="171"/>
      <c r="CB121" s="426"/>
      <c r="CC121" s="426"/>
      <c r="CD121" s="426"/>
      <c r="CE121" s="426"/>
      <c r="CF121" s="426"/>
      <c r="CG121" s="426"/>
    </row>
    <row r="122" spans="1:86" ht="15.75" customHeight="1" outlineLevel="1" x14ac:dyDescent="0.25">
      <c r="A122" s="431"/>
      <c r="B122" s="431"/>
      <c r="C122" s="452"/>
      <c r="D122" s="453"/>
      <c r="E122" s="453"/>
      <c r="F122" s="453"/>
      <c r="G122" s="171"/>
      <c r="H122" s="171"/>
      <c r="I122" s="171"/>
      <c r="J122" s="171"/>
      <c r="K122" s="171"/>
      <c r="L122" s="171"/>
      <c r="M122" s="171"/>
      <c r="N122" s="171"/>
      <c r="O122" s="171"/>
      <c r="P122" s="171"/>
      <c r="Q122" s="171"/>
      <c r="R122" s="171"/>
      <c r="S122" s="171"/>
      <c r="T122" s="171"/>
      <c r="U122" s="171"/>
      <c r="V122" s="171"/>
      <c r="W122" s="171"/>
      <c r="X122" s="171"/>
      <c r="Y122" s="171"/>
      <c r="Z122" s="171"/>
      <c r="AA122" s="426"/>
      <c r="AB122" s="426"/>
      <c r="AC122" s="426"/>
      <c r="AD122" s="426"/>
      <c r="AE122" s="426"/>
      <c r="AF122" s="426"/>
      <c r="AG122" s="426"/>
      <c r="AH122" s="426"/>
      <c r="AI122" s="426"/>
      <c r="AJ122" s="426"/>
      <c r="AK122" s="426"/>
      <c r="AL122" s="171"/>
      <c r="AM122" s="171"/>
      <c r="AN122" s="448"/>
      <c r="AO122" s="448"/>
      <c r="AP122" s="448"/>
      <c r="AQ122" s="448"/>
      <c r="AR122" s="448"/>
      <c r="AS122" s="448"/>
      <c r="AT122" s="448"/>
      <c r="AU122" s="448"/>
      <c r="AV122" s="448"/>
      <c r="AW122" s="448"/>
      <c r="AX122" s="448"/>
      <c r="AY122" s="448"/>
      <c r="AZ122" s="448"/>
      <c r="BA122" s="448"/>
      <c r="BB122" s="448"/>
      <c r="BC122" s="448"/>
      <c r="BD122" s="448"/>
      <c r="BE122" s="448"/>
      <c r="BF122" s="448"/>
      <c r="BG122" s="448"/>
      <c r="BH122" s="448"/>
      <c r="BI122" s="448"/>
      <c r="BJ122" s="448"/>
      <c r="BK122" s="448"/>
      <c r="BL122" s="448"/>
      <c r="BM122" s="448"/>
      <c r="BN122" s="448"/>
      <c r="BO122" s="448"/>
      <c r="BP122" s="448"/>
      <c r="BQ122" s="448"/>
      <c r="BR122" s="448"/>
      <c r="BS122" s="448"/>
      <c r="BT122" s="448"/>
      <c r="BU122" s="448"/>
      <c r="BV122" s="448"/>
      <c r="BW122" s="426"/>
      <c r="BX122" s="426"/>
      <c r="BY122" s="426"/>
      <c r="BZ122" s="426"/>
      <c r="CA122" s="431"/>
      <c r="CB122" s="171"/>
      <c r="CC122" s="426"/>
      <c r="CD122" s="426"/>
      <c r="CE122" s="426"/>
      <c r="CF122" s="426"/>
      <c r="CG122" s="426"/>
      <c r="CH122" s="426"/>
    </row>
    <row r="123" spans="1:86" ht="15.75" customHeight="1" outlineLevel="1" x14ac:dyDescent="0.25">
      <c r="A123" s="431"/>
      <c r="B123" s="171"/>
      <c r="C123" s="454"/>
      <c r="D123" s="453"/>
      <c r="E123" s="453"/>
      <c r="F123" s="453"/>
      <c r="G123" s="171"/>
      <c r="H123" s="171"/>
      <c r="I123" s="171"/>
      <c r="J123" s="171"/>
      <c r="K123" s="171"/>
      <c r="L123" s="171"/>
      <c r="M123" s="171"/>
      <c r="N123" s="171"/>
      <c r="O123" s="171"/>
      <c r="P123" s="171"/>
      <c r="Q123" s="171"/>
      <c r="R123" s="171"/>
      <c r="S123" s="171"/>
      <c r="T123" s="171"/>
      <c r="U123" s="171"/>
      <c r="V123" s="171"/>
      <c r="W123" s="171"/>
      <c r="X123" s="171"/>
      <c r="Y123" s="171"/>
      <c r="Z123" s="171"/>
      <c r="AA123" s="426"/>
      <c r="AB123" s="426"/>
      <c r="AC123" s="426"/>
      <c r="AD123" s="426"/>
      <c r="AE123" s="426"/>
      <c r="AF123" s="426"/>
      <c r="AG123" s="426"/>
      <c r="AH123" s="426"/>
      <c r="AI123" s="426"/>
      <c r="AJ123" s="426"/>
      <c r="AK123" s="426"/>
      <c r="AL123" s="171"/>
      <c r="AM123" s="171"/>
      <c r="AN123" s="448"/>
      <c r="AO123" s="448"/>
      <c r="AP123" s="448"/>
      <c r="AQ123" s="448"/>
      <c r="AR123" s="448"/>
      <c r="AS123" s="448"/>
      <c r="AT123" s="448"/>
      <c r="AU123" s="448"/>
      <c r="AV123" s="448"/>
      <c r="AW123" s="448"/>
      <c r="AX123" s="448"/>
      <c r="AY123" s="448"/>
      <c r="AZ123" s="448"/>
      <c r="BA123" s="448"/>
      <c r="BB123" s="448"/>
      <c r="BC123" s="448"/>
      <c r="BD123" s="448"/>
      <c r="BE123" s="448"/>
      <c r="BF123" s="448"/>
      <c r="BG123" s="448"/>
      <c r="BH123" s="448"/>
      <c r="BI123" s="448"/>
      <c r="BJ123" s="448"/>
      <c r="BK123" s="448"/>
      <c r="BL123" s="448"/>
      <c r="BM123" s="448"/>
      <c r="BN123" s="448"/>
      <c r="BO123" s="448"/>
      <c r="BP123" s="448"/>
      <c r="BQ123" s="448"/>
      <c r="BR123" s="448"/>
      <c r="BS123" s="448"/>
      <c r="BT123" s="448"/>
      <c r="BU123" s="448"/>
      <c r="BV123" s="448"/>
      <c r="BW123" s="426"/>
      <c r="BX123" s="426"/>
      <c r="BY123" s="426"/>
      <c r="BZ123" s="426"/>
      <c r="CA123" s="431"/>
      <c r="CB123" s="171"/>
      <c r="CC123" s="426"/>
      <c r="CD123" s="426"/>
      <c r="CE123" s="426"/>
      <c r="CF123" s="426"/>
      <c r="CG123" s="426"/>
      <c r="CH123" s="426"/>
    </row>
    <row r="124" spans="1:86" ht="18.75" outlineLevel="1" x14ac:dyDescent="0.3">
      <c r="A124" s="431"/>
      <c r="B124" s="457" t="s">
        <v>236</v>
      </c>
      <c r="C124" s="166"/>
      <c r="D124" s="167"/>
      <c r="E124" s="167"/>
      <c r="F124" s="167"/>
      <c r="G124" s="167"/>
      <c r="H124" s="167"/>
      <c r="I124" s="167"/>
      <c r="J124" s="167"/>
      <c r="K124" s="167"/>
      <c r="L124" s="171"/>
      <c r="M124" s="171"/>
      <c r="N124" s="171"/>
      <c r="O124" s="171"/>
      <c r="P124" s="171"/>
      <c r="Q124" s="171"/>
      <c r="R124" s="171"/>
      <c r="S124" s="171"/>
      <c r="T124" s="171"/>
      <c r="U124" s="171"/>
      <c r="V124" s="171"/>
      <c r="W124" s="171"/>
      <c r="X124" s="171"/>
      <c r="Y124" s="171"/>
      <c r="Z124" s="171"/>
      <c r="AA124" s="426"/>
      <c r="AB124" s="426"/>
      <c r="AC124" s="426"/>
      <c r="AD124" s="426"/>
      <c r="AE124" s="426"/>
      <c r="AF124" s="426"/>
      <c r="AG124" s="426"/>
      <c r="AH124" s="426"/>
      <c r="AI124" s="426"/>
      <c r="AJ124" s="426"/>
      <c r="AK124" s="426"/>
      <c r="AL124" s="171"/>
      <c r="AM124" s="171"/>
      <c r="AN124" s="448"/>
      <c r="AO124" s="448"/>
      <c r="AP124" s="448"/>
      <c r="AQ124" s="448"/>
      <c r="AR124" s="448"/>
      <c r="AS124" s="448"/>
      <c r="AT124" s="448"/>
      <c r="AU124" s="448"/>
      <c r="AV124" s="448"/>
      <c r="AW124" s="448"/>
      <c r="AX124" s="448"/>
      <c r="AY124" s="448"/>
      <c r="AZ124" s="448"/>
      <c r="BA124" s="448"/>
      <c r="BB124" s="448"/>
      <c r="BC124" s="448"/>
      <c r="BD124" s="448"/>
      <c r="BE124" s="448"/>
      <c r="BF124" s="448"/>
      <c r="BG124" s="448"/>
      <c r="BH124" s="448"/>
      <c r="BI124" s="448"/>
      <c r="BJ124" s="448"/>
      <c r="BK124" s="448"/>
      <c r="BL124" s="448"/>
      <c r="BM124" s="448"/>
      <c r="BN124" s="448"/>
      <c r="BO124" s="448"/>
      <c r="BP124" s="448"/>
      <c r="BQ124" s="448"/>
      <c r="BR124" s="448"/>
      <c r="BS124" s="448"/>
      <c r="BT124" s="448"/>
      <c r="BU124" s="448"/>
      <c r="BV124" s="448"/>
      <c r="BW124" s="426"/>
      <c r="BX124" s="426"/>
      <c r="BY124" s="426"/>
      <c r="BZ124" s="426"/>
      <c r="CA124" s="431"/>
      <c r="CB124" s="171"/>
      <c r="CC124" s="426"/>
      <c r="CD124" s="426"/>
      <c r="CE124" s="426"/>
      <c r="CF124" s="426"/>
      <c r="CG124" s="426"/>
      <c r="CH124" s="426"/>
    </row>
    <row r="125" spans="1:86" ht="15.75" customHeight="1" outlineLevel="1" x14ac:dyDescent="0.25">
      <c r="A125" s="431"/>
      <c r="B125" s="458"/>
      <c r="C125" s="166"/>
      <c r="D125" s="167"/>
      <c r="E125" s="167"/>
      <c r="F125" s="167"/>
      <c r="G125" s="167"/>
      <c r="H125" s="167"/>
      <c r="I125" s="167"/>
      <c r="J125" s="167"/>
      <c r="K125" s="167"/>
      <c r="L125" s="171"/>
      <c r="M125" s="171"/>
      <c r="N125" s="171"/>
      <c r="O125" s="171"/>
      <c r="P125" s="171"/>
      <c r="Q125" s="171"/>
      <c r="R125" s="171"/>
      <c r="S125" s="171"/>
      <c r="T125" s="171"/>
      <c r="U125" s="171"/>
      <c r="V125" s="171"/>
      <c r="W125" s="171"/>
      <c r="X125" s="171"/>
      <c r="Y125" s="171"/>
      <c r="Z125" s="171"/>
      <c r="AA125" s="426"/>
      <c r="AB125" s="426"/>
      <c r="AC125" s="426"/>
      <c r="AD125" s="426"/>
      <c r="AE125" s="426"/>
      <c r="AF125" s="426"/>
      <c r="AG125" s="426"/>
      <c r="AH125" s="426"/>
      <c r="AI125" s="426"/>
      <c r="AJ125" s="426"/>
      <c r="AK125" s="426"/>
      <c r="AL125" s="171"/>
      <c r="AM125" s="171"/>
      <c r="AN125" s="448"/>
      <c r="AO125" s="448"/>
      <c r="AP125" s="448"/>
      <c r="AQ125" s="448"/>
      <c r="AR125" s="448"/>
      <c r="AS125" s="448"/>
      <c r="AT125" s="448"/>
      <c r="AU125" s="448"/>
      <c r="AV125" s="448"/>
      <c r="AW125" s="448"/>
      <c r="AX125" s="448"/>
      <c r="AY125" s="448"/>
      <c r="AZ125" s="448"/>
      <c r="BA125" s="448"/>
      <c r="BB125" s="448"/>
      <c r="BC125" s="448"/>
      <c r="BD125" s="448"/>
      <c r="BE125" s="448"/>
      <c r="BF125" s="448"/>
      <c r="BG125" s="448"/>
      <c r="BH125" s="448"/>
      <c r="BI125" s="448"/>
      <c r="BJ125" s="448"/>
      <c r="BK125" s="448"/>
      <c r="BL125" s="448"/>
      <c r="BM125" s="448"/>
      <c r="BN125" s="448"/>
      <c r="BO125" s="448"/>
      <c r="BP125" s="448"/>
      <c r="BQ125" s="448"/>
      <c r="BR125" s="448"/>
      <c r="BS125" s="448"/>
      <c r="BT125" s="448"/>
      <c r="BU125" s="448"/>
      <c r="BV125" s="448"/>
      <c r="BW125" s="426"/>
      <c r="BX125" s="426"/>
      <c r="BY125" s="426"/>
      <c r="BZ125" s="426"/>
      <c r="CA125" s="431"/>
      <c r="CB125" s="171"/>
      <c r="CC125" s="426"/>
      <c r="CD125" s="426"/>
      <c r="CE125" s="426"/>
      <c r="CF125" s="426"/>
      <c r="CG125" s="426"/>
      <c r="CH125" s="426"/>
    </row>
    <row r="126" spans="1:86" outlineLevel="1" x14ac:dyDescent="0.25">
      <c r="A126" s="431"/>
      <c r="B126" s="459" t="s">
        <v>500</v>
      </c>
      <c r="C126" s="166"/>
      <c r="D126" s="428"/>
      <c r="E126" s="429"/>
      <c r="F126" s="429"/>
      <c r="G126" s="429"/>
      <c r="H126" s="429"/>
      <c r="I126" s="429"/>
      <c r="J126" s="429"/>
      <c r="K126" s="429"/>
      <c r="L126" s="171"/>
      <c r="M126" s="171"/>
      <c r="N126" s="171"/>
      <c r="O126" s="171"/>
      <c r="P126" s="171"/>
      <c r="Q126" s="171"/>
      <c r="R126" s="171"/>
      <c r="S126" s="171"/>
      <c r="T126" s="171"/>
      <c r="U126" s="171"/>
      <c r="V126" s="171"/>
      <c r="W126" s="171"/>
      <c r="X126" s="171"/>
      <c r="Y126" s="171"/>
      <c r="Z126" s="171"/>
      <c r="AA126" s="426"/>
      <c r="AB126" s="426"/>
      <c r="AC126" s="426"/>
      <c r="AD126" s="426"/>
      <c r="AE126" s="426"/>
      <c r="AF126" s="426"/>
      <c r="AG126" s="426"/>
      <c r="AH126" s="426"/>
      <c r="AI126" s="426"/>
      <c r="AJ126" s="426"/>
      <c r="AK126" s="426"/>
      <c r="AL126" s="171"/>
      <c r="AM126" s="171"/>
      <c r="AN126" s="448"/>
      <c r="AO126" s="448"/>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8"/>
      <c r="BQ126" s="448"/>
      <c r="BR126" s="448"/>
      <c r="BS126" s="448"/>
      <c r="BT126" s="448"/>
      <c r="BU126" s="448"/>
      <c r="BV126" s="448"/>
      <c r="BW126" s="426"/>
      <c r="BX126" s="426"/>
      <c r="BY126" s="426"/>
      <c r="BZ126" s="426"/>
      <c r="CA126" s="431"/>
      <c r="CB126" s="171"/>
      <c r="CC126" s="426"/>
      <c r="CD126" s="426"/>
      <c r="CE126" s="426"/>
      <c r="CF126" s="426"/>
      <c r="CG126" s="426"/>
      <c r="CH126" s="426"/>
    </row>
    <row r="127" spans="1:86" ht="15.75" customHeight="1" outlineLevel="1" x14ac:dyDescent="0.25">
      <c r="A127" s="431"/>
      <c r="B127" s="1336" t="s">
        <v>191</v>
      </c>
      <c r="C127" s="1333" t="s">
        <v>192</v>
      </c>
      <c r="D127" s="1333" t="s">
        <v>193</v>
      </c>
      <c r="E127" s="1326" t="s">
        <v>214</v>
      </c>
      <c r="F127" s="1327"/>
      <c r="G127" s="1327"/>
      <c r="H127" s="1327"/>
      <c r="I127" s="1327"/>
      <c r="J127" s="1328"/>
      <c r="K127" s="171"/>
      <c r="L127" s="171"/>
      <c r="M127" s="171"/>
      <c r="N127" s="171"/>
      <c r="O127" s="171"/>
      <c r="P127" s="171"/>
      <c r="Q127" s="171"/>
      <c r="R127" s="171"/>
      <c r="S127" s="171"/>
      <c r="T127" s="171"/>
      <c r="U127" s="171"/>
      <c r="V127" s="171"/>
      <c r="W127" s="171"/>
      <c r="X127" s="171"/>
      <c r="Y127" s="171"/>
      <c r="Z127" s="426"/>
      <c r="AA127" s="426"/>
      <c r="AB127" s="426"/>
      <c r="AC127" s="426"/>
      <c r="AD127" s="426"/>
      <c r="AE127" s="426"/>
      <c r="AF127" s="426"/>
      <c r="AG127" s="426"/>
      <c r="AH127" s="426"/>
      <c r="AI127" s="426"/>
      <c r="AJ127" s="426"/>
      <c r="AK127" s="171"/>
      <c r="AL127" s="171"/>
      <c r="AM127" s="448"/>
      <c r="AN127" s="448"/>
      <c r="AO127" s="448"/>
      <c r="AP127" s="448"/>
      <c r="AQ127" s="448"/>
      <c r="AR127" s="448"/>
      <c r="AS127" s="448"/>
      <c r="AT127" s="448"/>
      <c r="AU127" s="448"/>
      <c r="AV127" s="448"/>
      <c r="AW127" s="448"/>
      <c r="AX127" s="448"/>
      <c r="AY127" s="448"/>
      <c r="AZ127" s="448"/>
      <c r="BA127" s="448"/>
      <c r="BB127" s="448"/>
      <c r="BC127" s="448"/>
      <c r="BD127" s="448"/>
      <c r="BE127" s="448"/>
      <c r="BF127" s="448"/>
      <c r="BG127" s="448"/>
      <c r="BH127" s="448"/>
      <c r="BI127" s="448"/>
      <c r="BJ127" s="448"/>
      <c r="BK127" s="448"/>
      <c r="BL127" s="448"/>
      <c r="BM127" s="448"/>
      <c r="BN127" s="448"/>
      <c r="BO127" s="448"/>
      <c r="BP127" s="448"/>
      <c r="BQ127" s="448"/>
      <c r="BR127" s="448"/>
      <c r="BS127" s="448"/>
      <c r="BT127" s="448"/>
      <c r="BU127" s="448"/>
      <c r="BV127" s="426"/>
      <c r="BW127" s="426"/>
      <c r="BX127" s="426"/>
      <c r="BY127" s="426"/>
      <c r="BZ127" s="431"/>
      <c r="CA127" s="171"/>
      <c r="CB127" s="426"/>
      <c r="CC127" s="426"/>
      <c r="CD127" s="426"/>
      <c r="CE127" s="426"/>
      <c r="CF127" s="426"/>
      <c r="CG127" s="426"/>
    </row>
    <row r="128" spans="1:86" ht="15.75" customHeight="1" outlineLevel="1" x14ac:dyDescent="0.25">
      <c r="A128" s="431"/>
      <c r="B128" s="1337"/>
      <c r="C128" s="1334"/>
      <c r="D128" s="1334"/>
      <c r="E128" s="1326" t="s">
        <v>1045</v>
      </c>
      <c r="F128" s="1328"/>
      <c r="G128" s="1326" t="s">
        <v>1046</v>
      </c>
      <c r="H128" s="1328"/>
      <c r="I128" s="1326" t="s">
        <v>1047</v>
      </c>
      <c r="J128" s="1328"/>
      <c r="K128" s="171"/>
      <c r="L128" s="171"/>
      <c r="M128" s="171"/>
      <c r="N128" s="171"/>
      <c r="O128" s="171"/>
      <c r="P128" s="171"/>
      <c r="Q128" s="171"/>
      <c r="R128" s="171"/>
      <c r="S128" s="171"/>
      <c r="T128" s="171"/>
      <c r="U128" s="171"/>
      <c r="V128" s="171"/>
      <c r="W128" s="171"/>
      <c r="X128" s="171"/>
      <c r="Y128" s="171"/>
      <c r="Z128" s="426"/>
      <c r="AA128" s="426"/>
      <c r="AB128" s="426"/>
      <c r="AC128" s="426"/>
      <c r="AD128" s="426"/>
      <c r="AE128" s="426"/>
      <c r="AF128" s="426"/>
      <c r="AG128" s="426"/>
      <c r="AH128" s="426"/>
      <c r="AI128" s="426"/>
      <c r="AJ128" s="426"/>
      <c r="AK128" s="171"/>
      <c r="AL128" s="171"/>
      <c r="AM128" s="448"/>
      <c r="AN128" s="448"/>
      <c r="AO128" s="448"/>
      <c r="AP128" s="448"/>
      <c r="AQ128" s="448"/>
      <c r="AR128" s="448"/>
      <c r="AS128" s="448"/>
      <c r="AT128" s="448"/>
      <c r="AU128" s="448"/>
      <c r="AV128" s="448"/>
      <c r="AW128" s="448"/>
      <c r="AX128" s="448"/>
      <c r="AY128" s="448"/>
      <c r="AZ128" s="448"/>
      <c r="BA128" s="448"/>
      <c r="BB128" s="448"/>
      <c r="BC128" s="448"/>
      <c r="BD128" s="448"/>
      <c r="BE128" s="448"/>
      <c r="BF128" s="448"/>
      <c r="BG128" s="448"/>
      <c r="BH128" s="448"/>
      <c r="BI128" s="448"/>
      <c r="BJ128" s="448"/>
      <c r="BK128" s="448"/>
      <c r="BL128" s="448"/>
      <c r="BM128" s="448"/>
      <c r="BN128" s="448"/>
      <c r="BO128" s="448"/>
      <c r="BP128" s="448"/>
      <c r="BQ128" s="448"/>
      <c r="BR128" s="448"/>
      <c r="BS128" s="448"/>
      <c r="BT128" s="448"/>
      <c r="BU128" s="448"/>
      <c r="BV128" s="426"/>
      <c r="BW128" s="426"/>
      <c r="BX128" s="426"/>
      <c r="BY128" s="426"/>
      <c r="BZ128" s="431"/>
      <c r="CA128" s="171"/>
      <c r="CB128" s="426"/>
      <c r="CC128" s="426"/>
      <c r="CD128" s="426"/>
      <c r="CE128" s="426"/>
      <c r="CF128" s="426"/>
      <c r="CG128" s="426"/>
    </row>
    <row r="129" spans="1:86" ht="15.75" customHeight="1" outlineLevel="1" x14ac:dyDescent="0.25">
      <c r="A129" s="431"/>
      <c r="B129" s="1338"/>
      <c r="C129" s="1335"/>
      <c r="D129" s="1335"/>
      <c r="E129" s="433" t="s">
        <v>198</v>
      </c>
      <c r="F129" s="433" t="s">
        <v>199</v>
      </c>
      <c r="G129" s="433" t="s">
        <v>198</v>
      </c>
      <c r="H129" s="433" t="s">
        <v>199</v>
      </c>
      <c r="I129" s="433" t="s">
        <v>198</v>
      </c>
      <c r="J129" s="433" t="s">
        <v>199</v>
      </c>
      <c r="K129" s="171"/>
      <c r="L129" s="171"/>
      <c r="M129" s="171"/>
      <c r="N129" s="171"/>
      <c r="O129" s="171"/>
      <c r="P129" s="171"/>
      <c r="Q129" s="171"/>
      <c r="R129" s="171"/>
      <c r="S129" s="171"/>
      <c r="T129" s="171"/>
      <c r="U129" s="171"/>
      <c r="V129" s="171"/>
      <c r="W129" s="171"/>
      <c r="X129" s="171"/>
      <c r="Y129" s="171"/>
      <c r="Z129" s="426"/>
      <c r="AA129" s="426"/>
      <c r="AB129" s="426"/>
      <c r="AC129" s="426"/>
      <c r="AD129" s="426"/>
      <c r="AE129" s="426"/>
      <c r="AF129" s="426"/>
      <c r="AG129" s="426"/>
      <c r="AH129" s="426"/>
      <c r="AI129" s="426"/>
      <c r="AJ129" s="426"/>
      <c r="AK129" s="171"/>
      <c r="AL129" s="171"/>
      <c r="AM129" s="448"/>
      <c r="AN129" s="448"/>
      <c r="AO129" s="448"/>
      <c r="AP129" s="448"/>
      <c r="AQ129" s="448"/>
      <c r="AR129" s="448"/>
      <c r="AS129" s="448"/>
      <c r="AT129" s="448"/>
      <c r="AU129" s="448"/>
      <c r="AV129" s="448"/>
      <c r="AW129" s="448"/>
      <c r="AX129" s="448"/>
      <c r="AY129" s="448"/>
      <c r="AZ129" s="448"/>
      <c r="BA129" s="448"/>
      <c r="BB129" s="448"/>
      <c r="BC129" s="448"/>
      <c r="BD129" s="448"/>
      <c r="BE129" s="448"/>
      <c r="BF129" s="448"/>
      <c r="BG129" s="448"/>
      <c r="BH129" s="448"/>
      <c r="BI129" s="448"/>
      <c r="BJ129" s="448"/>
      <c r="BK129" s="448"/>
      <c r="BL129" s="448"/>
      <c r="BM129" s="448"/>
      <c r="BN129" s="448"/>
      <c r="BO129" s="448"/>
      <c r="BP129" s="448"/>
      <c r="BQ129" s="448"/>
      <c r="BR129" s="448"/>
      <c r="BS129" s="448"/>
      <c r="BT129" s="448"/>
      <c r="BU129" s="448"/>
      <c r="BV129" s="426"/>
      <c r="BW129" s="426"/>
      <c r="BX129" s="426"/>
      <c r="BY129" s="426"/>
      <c r="BZ129" s="431"/>
      <c r="CA129" s="171"/>
      <c r="CB129" s="426"/>
      <c r="CC129" s="426"/>
      <c r="CD129" s="426"/>
      <c r="CE129" s="426"/>
      <c r="CF129" s="426"/>
      <c r="CG129" s="426"/>
    </row>
    <row r="130" spans="1:86" outlineLevel="1" x14ac:dyDescent="0.25">
      <c r="A130" s="431"/>
      <c r="B130" s="1339" t="s">
        <v>215</v>
      </c>
      <c r="C130" s="439" t="s">
        <v>625</v>
      </c>
      <c r="D130" s="439" t="str">
        <f t="shared" ref="D130:D135" si="7">C130</f>
        <v>Voo doméstico (passageiros)</v>
      </c>
      <c r="E130" s="450">
        <f>0.00017147*1000</f>
        <v>0.17147000000000001</v>
      </c>
      <c r="F130" s="439" t="s">
        <v>200</v>
      </c>
      <c r="G130" s="455"/>
      <c r="H130" s="456"/>
      <c r="I130" s="455"/>
      <c r="J130" s="456"/>
      <c r="K130" s="171"/>
      <c r="L130" s="171"/>
      <c r="M130" s="171"/>
      <c r="N130" s="171"/>
      <c r="O130" s="171"/>
      <c r="P130" s="171"/>
      <c r="Q130" s="171"/>
      <c r="R130" s="171"/>
      <c r="S130" s="171"/>
      <c r="T130" s="171"/>
      <c r="U130" s="171"/>
      <c r="V130" s="171"/>
      <c r="W130" s="171"/>
      <c r="X130" s="171"/>
      <c r="Y130" s="171"/>
      <c r="Z130" s="426"/>
      <c r="AA130" s="426"/>
      <c r="AB130" s="426"/>
      <c r="AC130" s="426"/>
      <c r="AD130" s="426"/>
      <c r="AE130" s="426"/>
      <c r="AF130" s="426"/>
      <c r="AG130" s="426"/>
      <c r="AH130" s="426"/>
      <c r="AI130" s="426"/>
      <c r="AJ130" s="426"/>
      <c r="AK130" s="171"/>
      <c r="AL130" s="171"/>
      <c r="AM130" s="448"/>
      <c r="AN130" s="448"/>
      <c r="AO130" s="448"/>
      <c r="AP130" s="448"/>
      <c r="AQ130" s="448"/>
      <c r="AR130" s="448"/>
      <c r="AS130" s="448"/>
      <c r="AT130" s="448"/>
      <c r="AU130" s="448"/>
      <c r="AV130" s="448"/>
      <c r="AW130" s="448"/>
      <c r="AX130" s="448"/>
      <c r="AY130" s="448"/>
      <c r="AZ130" s="448"/>
      <c r="BA130" s="448"/>
      <c r="BB130" s="448"/>
      <c r="BC130" s="448"/>
      <c r="BD130" s="448"/>
      <c r="BE130" s="448"/>
      <c r="BF130" s="448"/>
      <c r="BG130" s="448"/>
      <c r="BH130" s="448"/>
      <c r="BI130" s="448"/>
      <c r="BJ130" s="448"/>
      <c r="BK130" s="448"/>
      <c r="BL130" s="448"/>
      <c r="BM130" s="448"/>
      <c r="BN130" s="448"/>
      <c r="BO130" s="448"/>
      <c r="BP130" s="448"/>
      <c r="BQ130" s="448"/>
      <c r="BR130" s="448"/>
      <c r="BS130" s="448"/>
      <c r="BT130" s="448"/>
      <c r="BU130" s="448"/>
      <c r="BV130" s="426"/>
      <c r="BW130" s="426"/>
      <c r="BX130" s="426"/>
      <c r="BY130" s="426"/>
      <c r="BZ130" s="431"/>
      <c r="CA130" s="171"/>
      <c r="CB130" s="426"/>
      <c r="CC130" s="426"/>
      <c r="CD130" s="426"/>
      <c r="CE130" s="426"/>
      <c r="CF130" s="426"/>
      <c r="CG130" s="426"/>
    </row>
    <row r="131" spans="1:86" outlineLevel="1" x14ac:dyDescent="0.25">
      <c r="A131" s="431"/>
      <c r="B131" s="1340"/>
      <c r="C131" s="264" t="s">
        <v>624</v>
      </c>
      <c r="D131" s="264" t="str">
        <f t="shared" si="7"/>
        <v>Voo curto (passageiros)</v>
      </c>
      <c r="E131" s="450">
        <f>0.000097*1000</f>
        <v>9.7000000000000003E-2</v>
      </c>
      <c r="F131" s="439" t="s">
        <v>200</v>
      </c>
      <c r="G131" s="450"/>
      <c r="H131" s="439"/>
      <c r="I131" s="450"/>
      <c r="J131" s="439"/>
      <c r="K131" s="171"/>
      <c r="L131" s="171"/>
      <c r="M131" s="171"/>
      <c r="N131" s="171"/>
      <c r="O131" s="171"/>
      <c r="P131" s="171"/>
      <c r="Q131" s="171"/>
      <c r="R131" s="171"/>
      <c r="S131" s="171"/>
      <c r="T131" s="171"/>
      <c r="U131" s="171"/>
      <c r="V131" s="171"/>
      <c r="W131" s="171"/>
      <c r="X131" s="171"/>
      <c r="Y131" s="171"/>
      <c r="Z131" s="426"/>
      <c r="AA131" s="426"/>
      <c r="AB131" s="426"/>
      <c r="AC131" s="426"/>
      <c r="AD131" s="426"/>
      <c r="AE131" s="426"/>
      <c r="AF131" s="426"/>
      <c r="AG131" s="426"/>
      <c r="AH131" s="426"/>
      <c r="AI131" s="426"/>
      <c r="AJ131" s="426"/>
      <c r="AK131" s="171"/>
      <c r="AL131" s="171"/>
      <c r="AM131" s="448"/>
      <c r="AN131" s="448"/>
      <c r="AO131" s="448"/>
      <c r="AP131" s="448"/>
      <c r="AQ131" s="448"/>
      <c r="AR131" s="448"/>
      <c r="AS131" s="448"/>
      <c r="AT131" s="448"/>
      <c r="AU131" s="448"/>
      <c r="AV131" s="448"/>
      <c r="AW131" s="448"/>
      <c r="AX131" s="448"/>
      <c r="AY131" s="448"/>
      <c r="AZ131" s="448"/>
      <c r="BA131" s="448"/>
      <c r="BB131" s="448"/>
      <c r="BC131" s="448"/>
      <c r="BD131" s="448"/>
      <c r="BE131" s="448"/>
      <c r="BF131" s="448"/>
      <c r="BG131" s="448"/>
      <c r="BH131" s="448"/>
      <c r="BI131" s="448"/>
      <c r="BJ131" s="448"/>
      <c r="BK131" s="448"/>
      <c r="BL131" s="448"/>
      <c r="BM131" s="448"/>
      <c r="BN131" s="448"/>
      <c r="BO131" s="448"/>
      <c r="BP131" s="448"/>
      <c r="BQ131" s="448"/>
      <c r="BR131" s="448"/>
      <c r="BS131" s="448"/>
      <c r="BT131" s="448"/>
      <c r="BU131" s="448"/>
      <c r="BV131" s="426"/>
      <c r="BW131" s="426"/>
      <c r="BX131" s="426"/>
      <c r="BY131" s="426"/>
      <c r="BZ131" s="431"/>
      <c r="CA131" s="171"/>
      <c r="CB131" s="426"/>
      <c r="CC131" s="426"/>
      <c r="CD131" s="426"/>
      <c r="CE131" s="426"/>
      <c r="CF131" s="426"/>
      <c r="CG131" s="426"/>
    </row>
    <row r="132" spans="1:86" outlineLevel="1" x14ac:dyDescent="0.25">
      <c r="A132" s="431"/>
      <c r="B132" s="1341"/>
      <c r="C132" s="283" t="s">
        <v>623</v>
      </c>
      <c r="D132" s="283" t="str">
        <f t="shared" si="7"/>
        <v>Voo longo (passageiros)</v>
      </c>
      <c r="E132" s="451">
        <f>0.00011319*1000</f>
        <v>0.11319</v>
      </c>
      <c r="F132" s="439" t="s">
        <v>200</v>
      </c>
      <c r="G132" s="451"/>
      <c r="H132" s="437"/>
      <c r="I132" s="451"/>
      <c r="J132" s="437"/>
      <c r="K132" s="171"/>
      <c r="L132" s="171"/>
      <c r="M132" s="171"/>
      <c r="N132" s="171"/>
      <c r="O132" s="171"/>
      <c r="P132" s="171"/>
      <c r="Q132" s="171"/>
      <c r="R132" s="171"/>
      <c r="S132" s="171"/>
      <c r="T132" s="171"/>
      <c r="U132" s="171"/>
      <c r="V132" s="171"/>
      <c r="W132" s="171"/>
      <c r="X132" s="171"/>
      <c r="Y132" s="171"/>
      <c r="Z132" s="426"/>
      <c r="AA132" s="426"/>
      <c r="AB132" s="426"/>
      <c r="AC132" s="426"/>
      <c r="AD132" s="426"/>
      <c r="AE132" s="426"/>
      <c r="AF132" s="426"/>
      <c r="AG132" s="426"/>
      <c r="AH132" s="426"/>
      <c r="AI132" s="426"/>
      <c r="AJ132" s="426"/>
      <c r="AK132" s="171"/>
      <c r="AL132" s="171"/>
      <c r="AM132" s="448"/>
      <c r="AN132" s="448"/>
      <c r="AO132" s="448"/>
      <c r="AP132" s="448"/>
      <c r="AQ132" s="448"/>
      <c r="AR132" s="448"/>
      <c r="AS132" s="448"/>
      <c r="AT132" s="448"/>
      <c r="AU132" s="448"/>
      <c r="AV132" s="448"/>
      <c r="AW132" s="448"/>
      <c r="AX132" s="448"/>
      <c r="AY132" s="448"/>
      <c r="AZ132" s="448"/>
      <c r="BA132" s="448"/>
      <c r="BB132" s="448"/>
      <c r="BC132" s="448"/>
      <c r="BD132" s="448"/>
      <c r="BE132" s="448"/>
      <c r="BF132" s="448"/>
      <c r="BG132" s="448"/>
      <c r="BH132" s="448"/>
      <c r="BI132" s="448"/>
      <c r="BJ132" s="448"/>
      <c r="BK132" s="448"/>
      <c r="BL132" s="448"/>
      <c r="BM132" s="448"/>
      <c r="BN132" s="448"/>
      <c r="BO132" s="448"/>
      <c r="BP132" s="448"/>
      <c r="BQ132" s="448"/>
      <c r="BR132" s="448"/>
      <c r="BS132" s="448"/>
      <c r="BT132" s="448"/>
      <c r="BU132" s="448"/>
      <c r="BV132" s="426"/>
      <c r="BW132" s="426"/>
      <c r="BX132" s="426"/>
      <c r="BY132" s="426"/>
      <c r="BZ132" s="431"/>
      <c r="CA132" s="171"/>
      <c r="CB132" s="426"/>
      <c r="CC132" s="426"/>
      <c r="CD132" s="426"/>
      <c r="CE132" s="426"/>
      <c r="CF132" s="426"/>
      <c r="CG132" s="426"/>
    </row>
    <row r="133" spans="1:86" outlineLevel="1" x14ac:dyDescent="0.25">
      <c r="A133" s="431"/>
      <c r="B133" s="1339" t="s">
        <v>223</v>
      </c>
      <c r="C133" s="437" t="s">
        <v>622</v>
      </c>
      <c r="D133" s="437" t="str">
        <f t="shared" si="7"/>
        <v>Voo doméstico (carga)</v>
      </c>
      <c r="E133" s="451">
        <f>0.00196073*1000</f>
        <v>1.9607299999999999</v>
      </c>
      <c r="F133" s="439" t="s">
        <v>208</v>
      </c>
      <c r="G133" s="451">
        <v>2.8562185343495887E-5</v>
      </c>
      <c r="H133" s="437" t="s">
        <v>208</v>
      </c>
      <c r="I133" s="451">
        <v>3.2808841197924531E-5</v>
      </c>
      <c r="J133" s="437" t="s">
        <v>208</v>
      </c>
      <c r="K133" s="171"/>
      <c r="L133" s="171"/>
      <c r="M133" s="171"/>
      <c r="N133" s="171"/>
      <c r="O133" s="171"/>
      <c r="P133" s="171"/>
      <c r="Q133" s="171"/>
      <c r="R133" s="171"/>
      <c r="S133" s="171"/>
      <c r="T133" s="171"/>
      <c r="U133" s="171"/>
      <c r="V133" s="171"/>
      <c r="W133" s="171"/>
      <c r="X133" s="171"/>
      <c r="Y133" s="171"/>
      <c r="Z133" s="426"/>
      <c r="AA133" s="426"/>
      <c r="AB133" s="426"/>
      <c r="AC133" s="426"/>
      <c r="AD133" s="426"/>
      <c r="AE133" s="426"/>
      <c r="AF133" s="426"/>
      <c r="AG133" s="426"/>
      <c r="AH133" s="426"/>
      <c r="AI133" s="426"/>
      <c r="AJ133" s="426"/>
      <c r="AK133" s="171"/>
      <c r="AL133" s="171"/>
      <c r="AM133" s="448"/>
      <c r="AN133" s="448"/>
      <c r="AO133" s="448"/>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8"/>
      <c r="BM133" s="448"/>
      <c r="BN133" s="448"/>
      <c r="BO133" s="448"/>
      <c r="BP133" s="448"/>
      <c r="BQ133" s="448"/>
      <c r="BR133" s="448"/>
      <c r="BS133" s="448"/>
      <c r="BT133" s="448"/>
      <c r="BU133" s="448"/>
      <c r="BV133" s="426"/>
      <c r="BW133" s="426"/>
      <c r="BX133" s="426"/>
      <c r="BY133" s="426"/>
      <c r="BZ133" s="431"/>
      <c r="CA133" s="171"/>
      <c r="CB133" s="426"/>
      <c r="CC133" s="426"/>
      <c r="CD133" s="426"/>
      <c r="CE133" s="426"/>
      <c r="CF133" s="426"/>
      <c r="CG133" s="426"/>
    </row>
    <row r="134" spans="1:86" ht="21.4" customHeight="1" outlineLevel="1" x14ac:dyDescent="0.25">
      <c r="A134" s="431"/>
      <c r="B134" s="1340"/>
      <c r="C134" s="439" t="s">
        <v>224</v>
      </c>
      <c r="D134" s="439" t="str">
        <f t="shared" si="7"/>
        <v>Voo curto (carga)</v>
      </c>
      <c r="E134" s="450">
        <f>0.00147389*1000</f>
        <v>1.4738900000000001</v>
      </c>
      <c r="F134" s="439" t="s">
        <v>208</v>
      </c>
      <c r="G134" s="450">
        <v>2.8562185343495887E-5</v>
      </c>
      <c r="H134" s="439" t="s">
        <v>208</v>
      </c>
      <c r="I134" s="450">
        <v>3.2808841197924531E-5</v>
      </c>
      <c r="J134" s="439" t="s">
        <v>208</v>
      </c>
      <c r="K134" s="171"/>
      <c r="L134" s="171"/>
      <c r="M134" s="171"/>
      <c r="N134" s="171"/>
      <c r="O134" s="171"/>
      <c r="P134" s="171"/>
      <c r="Q134" s="171"/>
      <c r="R134" s="171"/>
      <c r="S134" s="171"/>
      <c r="T134" s="171"/>
      <c r="U134" s="171"/>
      <c r="V134" s="171"/>
      <c r="W134" s="171"/>
      <c r="X134" s="171"/>
      <c r="Y134" s="171"/>
      <c r="Z134" s="426"/>
      <c r="AA134" s="426"/>
      <c r="AB134" s="426"/>
      <c r="AC134" s="426"/>
      <c r="AD134" s="426"/>
      <c r="AE134" s="426"/>
      <c r="AF134" s="426"/>
      <c r="AG134" s="426"/>
      <c r="AH134" s="426"/>
      <c r="AI134" s="426"/>
      <c r="AJ134" s="426"/>
      <c r="AK134" s="171"/>
      <c r="AL134" s="171"/>
      <c r="AM134" s="448"/>
      <c r="AN134" s="448"/>
      <c r="AO134" s="448"/>
      <c r="AP134" s="448"/>
      <c r="AQ134" s="448"/>
      <c r="AR134" s="448"/>
      <c r="AS134" s="448"/>
      <c r="AT134" s="448"/>
      <c r="AU134" s="448"/>
      <c r="AV134" s="448"/>
      <c r="AW134" s="448"/>
      <c r="AX134" s="448"/>
      <c r="AY134" s="448"/>
      <c r="AZ134" s="448"/>
      <c r="BA134" s="448"/>
      <c r="BB134" s="448"/>
      <c r="BC134" s="448"/>
      <c r="BD134" s="448"/>
      <c r="BE134" s="448"/>
      <c r="BF134" s="448"/>
      <c r="BG134" s="448"/>
      <c r="BH134" s="448"/>
      <c r="BI134" s="448"/>
      <c r="BJ134" s="448"/>
      <c r="BK134" s="448"/>
      <c r="BL134" s="448"/>
      <c r="BM134" s="448"/>
      <c r="BN134" s="448"/>
      <c r="BO134" s="448"/>
      <c r="BP134" s="448"/>
      <c r="BQ134" s="448"/>
      <c r="BR134" s="448"/>
      <c r="BS134" s="448"/>
      <c r="BT134" s="448"/>
      <c r="BU134" s="448"/>
      <c r="BV134" s="426"/>
      <c r="BW134" s="426"/>
      <c r="BX134" s="426"/>
      <c r="BY134" s="426"/>
      <c r="BZ134" s="431"/>
      <c r="CA134" s="171"/>
      <c r="CB134" s="426"/>
      <c r="CC134" s="426"/>
      <c r="CD134" s="426"/>
      <c r="CE134" s="426"/>
      <c r="CF134" s="426"/>
      <c r="CG134" s="426"/>
    </row>
    <row r="135" spans="1:86" outlineLevel="1" x14ac:dyDescent="0.25">
      <c r="A135" s="431"/>
      <c r="B135" s="1341"/>
      <c r="C135" s="437" t="s">
        <v>225</v>
      </c>
      <c r="D135" s="437" t="str">
        <f t="shared" si="7"/>
        <v>Voo longo (carga)</v>
      </c>
      <c r="E135" s="451">
        <f>0.00061324*1000</f>
        <v>0.61324000000000001</v>
      </c>
      <c r="F135" s="439" t="s">
        <v>208</v>
      </c>
      <c r="G135" s="451">
        <v>2.8562185343495887E-5</v>
      </c>
      <c r="H135" s="439" t="s">
        <v>208</v>
      </c>
      <c r="I135" s="451">
        <v>3.2808841197924531E-5</v>
      </c>
      <c r="J135" s="439" t="s">
        <v>208</v>
      </c>
      <c r="K135" s="171"/>
      <c r="L135" s="171"/>
      <c r="M135" s="171"/>
      <c r="N135" s="171"/>
      <c r="O135" s="171"/>
      <c r="P135" s="171"/>
      <c r="Q135" s="171"/>
      <c r="R135" s="171"/>
      <c r="S135" s="171"/>
      <c r="T135" s="171"/>
      <c r="U135" s="171"/>
      <c r="V135" s="171"/>
      <c r="W135" s="171"/>
      <c r="X135" s="171"/>
      <c r="Y135" s="171"/>
      <c r="Z135" s="426"/>
      <c r="AA135" s="426"/>
      <c r="AB135" s="426"/>
      <c r="AC135" s="426"/>
      <c r="AD135" s="426"/>
      <c r="AE135" s="426"/>
      <c r="AF135" s="426"/>
      <c r="AG135" s="426"/>
      <c r="AH135" s="426"/>
      <c r="AI135" s="426"/>
      <c r="AJ135" s="426"/>
      <c r="AK135" s="171"/>
      <c r="AL135" s="171"/>
      <c r="AM135" s="448"/>
      <c r="AN135" s="448"/>
      <c r="AO135" s="448"/>
      <c r="AP135" s="448"/>
      <c r="AQ135" s="448"/>
      <c r="AR135" s="448"/>
      <c r="AS135" s="448"/>
      <c r="AT135" s="448"/>
      <c r="AU135" s="448"/>
      <c r="AV135" s="448"/>
      <c r="AW135" s="448"/>
      <c r="AX135" s="448"/>
      <c r="AY135" s="448"/>
      <c r="AZ135" s="448"/>
      <c r="BA135" s="448"/>
      <c r="BB135" s="448"/>
      <c r="BC135" s="448"/>
      <c r="BD135" s="448"/>
      <c r="BE135" s="448"/>
      <c r="BF135" s="448"/>
      <c r="BG135" s="448"/>
      <c r="BH135" s="448"/>
      <c r="BI135" s="448"/>
      <c r="BJ135" s="448"/>
      <c r="BK135" s="448"/>
      <c r="BL135" s="448"/>
      <c r="BM135" s="448"/>
      <c r="BN135" s="448"/>
      <c r="BO135" s="448"/>
      <c r="BP135" s="448"/>
      <c r="BQ135" s="448"/>
      <c r="BR135" s="448"/>
      <c r="BS135" s="448"/>
      <c r="BT135" s="448"/>
      <c r="BU135" s="448"/>
      <c r="BV135" s="426"/>
      <c r="BW135" s="426"/>
      <c r="BX135" s="426"/>
      <c r="BY135" s="426"/>
      <c r="BZ135" s="431"/>
      <c r="CA135" s="171"/>
      <c r="CB135" s="426"/>
      <c r="CC135" s="426"/>
      <c r="CD135" s="426"/>
      <c r="CE135" s="426"/>
      <c r="CF135" s="426"/>
      <c r="CG135" s="426"/>
    </row>
    <row r="136" spans="1:86" ht="15.6" customHeight="1" outlineLevel="1" x14ac:dyDescent="0.25">
      <c r="A136" s="431"/>
      <c r="B136" s="431"/>
      <c r="C136" s="452"/>
      <c r="D136" s="453"/>
      <c r="E136" s="453"/>
      <c r="F136" s="453"/>
      <c r="G136" s="171"/>
      <c r="H136" s="171"/>
      <c r="I136" s="171"/>
      <c r="J136" s="171"/>
      <c r="K136" s="171"/>
      <c r="L136" s="171"/>
      <c r="M136" s="171"/>
      <c r="N136" s="171"/>
      <c r="O136" s="171"/>
      <c r="P136" s="171"/>
      <c r="Q136" s="171"/>
      <c r="R136" s="171"/>
      <c r="S136" s="171"/>
      <c r="T136" s="171"/>
      <c r="U136" s="171"/>
      <c r="V136" s="171"/>
      <c r="W136" s="171"/>
      <c r="X136" s="171"/>
      <c r="Y136" s="171"/>
      <c r="Z136" s="171"/>
      <c r="AA136" s="426"/>
      <c r="AB136" s="426"/>
      <c r="AC136" s="426"/>
      <c r="AD136" s="426"/>
      <c r="AE136" s="426"/>
      <c r="AF136" s="426"/>
      <c r="AG136" s="426"/>
      <c r="AH136" s="426"/>
      <c r="AI136" s="426"/>
      <c r="AJ136" s="426"/>
      <c r="AK136" s="426"/>
      <c r="AL136" s="171"/>
      <c r="AM136" s="171"/>
      <c r="AN136" s="448"/>
      <c r="AO136" s="448"/>
      <c r="AP136" s="448"/>
      <c r="AQ136" s="448"/>
      <c r="AR136" s="448"/>
      <c r="AS136" s="448"/>
      <c r="AT136" s="448"/>
      <c r="AU136" s="448"/>
      <c r="AV136" s="448"/>
      <c r="AW136" s="448"/>
      <c r="AX136" s="448"/>
      <c r="AY136" s="448"/>
      <c r="AZ136" s="448"/>
      <c r="BA136" s="448"/>
      <c r="BB136" s="448"/>
      <c r="BC136" s="448"/>
      <c r="BD136" s="448"/>
      <c r="BE136" s="448"/>
      <c r="BF136" s="448"/>
      <c r="BG136" s="448"/>
      <c r="BH136" s="448"/>
      <c r="BI136" s="448"/>
      <c r="BJ136" s="448"/>
      <c r="BK136" s="448"/>
      <c r="BL136" s="448"/>
      <c r="BM136" s="448"/>
      <c r="BN136" s="448"/>
      <c r="BO136" s="448"/>
      <c r="BP136" s="448"/>
      <c r="BQ136" s="448"/>
      <c r="BR136" s="448"/>
      <c r="BS136" s="448"/>
      <c r="BT136" s="448"/>
      <c r="BU136" s="448"/>
      <c r="BV136" s="448"/>
      <c r="BW136" s="426"/>
      <c r="BX136" s="426"/>
      <c r="BY136" s="426"/>
      <c r="BZ136" s="426"/>
      <c r="CA136" s="431"/>
      <c r="CB136" s="171"/>
      <c r="CC136" s="426"/>
      <c r="CD136" s="426"/>
      <c r="CE136" s="426"/>
      <c r="CF136" s="426"/>
      <c r="CG136" s="426"/>
      <c r="CH136" s="426"/>
    </row>
    <row r="137" spans="1:86" ht="15.6" customHeight="1" outlineLevel="1" x14ac:dyDescent="0.25">
      <c r="A137" s="431"/>
      <c r="B137" s="431"/>
      <c r="C137" s="452"/>
      <c r="D137" s="453"/>
      <c r="E137" s="453"/>
      <c r="F137" s="453"/>
      <c r="G137" s="171"/>
      <c r="H137" s="171"/>
      <c r="I137" s="171"/>
      <c r="J137" s="171"/>
      <c r="K137" s="171"/>
      <c r="L137" s="171"/>
      <c r="M137" s="171"/>
      <c r="N137" s="171"/>
      <c r="O137" s="171"/>
      <c r="P137" s="171"/>
      <c r="Q137" s="171"/>
      <c r="R137" s="171"/>
      <c r="S137" s="171"/>
      <c r="T137" s="171"/>
      <c r="U137" s="171"/>
      <c r="V137" s="171"/>
      <c r="W137" s="171"/>
      <c r="X137" s="171"/>
      <c r="Y137" s="171"/>
      <c r="Z137" s="171"/>
      <c r="AA137" s="426"/>
      <c r="AB137" s="426"/>
      <c r="AC137" s="426"/>
      <c r="AD137" s="426"/>
      <c r="AE137" s="426"/>
      <c r="AF137" s="426"/>
      <c r="AG137" s="426"/>
      <c r="AH137" s="426"/>
      <c r="AI137" s="426"/>
      <c r="AJ137" s="426"/>
      <c r="AK137" s="426"/>
      <c r="AL137" s="171"/>
      <c r="AM137" s="171"/>
      <c r="AN137" s="448"/>
      <c r="AO137" s="448"/>
      <c r="AP137" s="448"/>
      <c r="AQ137" s="448"/>
      <c r="AR137" s="448"/>
      <c r="AS137" s="448"/>
      <c r="AT137" s="448"/>
      <c r="AU137" s="448"/>
      <c r="AV137" s="448"/>
      <c r="AW137" s="448"/>
      <c r="AX137" s="448"/>
      <c r="AY137" s="448"/>
      <c r="AZ137" s="448"/>
      <c r="BA137" s="448"/>
      <c r="BB137" s="448"/>
      <c r="BC137" s="448"/>
      <c r="BD137" s="448"/>
      <c r="BE137" s="448"/>
      <c r="BF137" s="448"/>
      <c r="BG137" s="448"/>
      <c r="BH137" s="448"/>
      <c r="BI137" s="448"/>
      <c r="BJ137" s="448"/>
      <c r="BK137" s="448"/>
      <c r="BL137" s="448"/>
      <c r="BM137" s="448"/>
      <c r="BN137" s="448"/>
      <c r="BO137" s="448"/>
      <c r="BP137" s="448"/>
      <c r="BQ137" s="448"/>
      <c r="BR137" s="448"/>
      <c r="BS137" s="448"/>
      <c r="BT137" s="448"/>
      <c r="BU137" s="448"/>
      <c r="BV137" s="448"/>
      <c r="BW137" s="426"/>
      <c r="BX137" s="430"/>
      <c r="BY137" s="430"/>
      <c r="BZ137" s="430"/>
      <c r="CA137" s="434"/>
      <c r="CB137" s="171"/>
      <c r="CC137" s="426"/>
      <c r="CD137" s="426"/>
      <c r="CE137" s="426"/>
      <c r="CF137" s="426"/>
      <c r="CG137" s="426"/>
      <c r="CH137" s="426"/>
    </row>
    <row r="138" spans="1:86" ht="19.149999999999999" customHeight="1" outlineLevel="1" x14ac:dyDescent="0.25">
      <c r="A138" s="431"/>
      <c r="B138" s="431"/>
      <c r="C138" s="452"/>
      <c r="D138" s="453"/>
      <c r="E138" s="453"/>
      <c r="F138" s="453"/>
      <c r="G138" s="171"/>
      <c r="H138" s="171"/>
      <c r="I138" s="171"/>
      <c r="J138" s="171"/>
      <c r="K138" s="171"/>
      <c r="L138" s="171"/>
      <c r="M138" s="171"/>
      <c r="N138" s="171"/>
      <c r="O138" s="171"/>
      <c r="P138" s="171"/>
      <c r="Q138" s="171"/>
      <c r="R138" s="171"/>
      <c r="S138" s="171"/>
      <c r="T138" s="171"/>
      <c r="U138" s="171"/>
      <c r="V138" s="171"/>
      <c r="W138" s="171"/>
      <c r="X138" s="171"/>
      <c r="Y138" s="171"/>
      <c r="Z138" s="171"/>
      <c r="AA138" s="426"/>
      <c r="AB138" s="426"/>
      <c r="AC138" s="426"/>
      <c r="AD138" s="426"/>
      <c r="AE138" s="426"/>
      <c r="AF138" s="426"/>
      <c r="AG138" s="426"/>
      <c r="AH138" s="426"/>
      <c r="AI138" s="426"/>
      <c r="AJ138" s="426"/>
      <c r="AK138" s="426"/>
      <c r="AL138" s="171"/>
      <c r="AM138" s="171"/>
      <c r="AN138" s="448"/>
      <c r="AO138" s="448"/>
      <c r="AP138" s="448"/>
      <c r="AQ138" s="448"/>
      <c r="AR138" s="448"/>
      <c r="AS138" s="448"/>
      <c r="AT138" s="448"/>
      <c r="AU138" s="448"/>
      <c r="AV138" s="448"/>
      <c r="AW138" s="448"/>
      <c r="AX138" s="448"/>
      <c r="AY138" s="448"/>
      <c r="AZ138" s="448"/>
      <c r="BA138" s="448"/>
      <c r="BB138" s="448"/>
      <c r="BC138" s="448"/>
      <c r="BD138" s="448"/>
      <c r="BE138" s="448"/>
      <c r="BF138" s="448"/>
      <c r="BG138" s="448"/>
      <c r="BH138" s="448"/>
      <c r="BI138" s="448"/>
      <c r="BJ138" s="448"/>
      <c r="BK138" s="448"/>
      <c r="BL138" s="448"/>
      <c r="BM138" s="448"/>
      <c r="BN138" s="448"/>
      <c r="BO138" s="448"/>
      <c r="BP138" s="448"/>
      <c r="BQ138" s="448"/>
      <c r="BR138" s="448"/>
      <c r="BS138" s="448"/>
      <c r="BT138" s="448"/>
      <c r="BU138" s="448"/>
      <c r="BV138" s="448"/>
      <c r="BW138" s="426"/>
      <c r="BX138" s="430"/>
      <c r="BY138" s="430"/>
      <c r="BZ138" s="430"/>
      <c r="CA138" s="434"/>
      <c r="CB138" s="171"/>
      <c r="CC138" s="426"/>
      <c r="CD138" s="426"/>
      <c r="CE138" s="426"/>
      <c r="CF138" s="426"/>
      <c r="CG138" s="426"/>
      <c r="CH138" s="426"/>
    </row>
    <row r="139" spans="1:86" ht="18.75" outlineLevel="1" x14ac:dyDescent="0.3">
      <c r="A139" s="431"/>
      <c r="B139" s="457" t="s">
        <v>630</v>
      </c>
      <c r="C139" s="166"/>
      <c r="D139" s="167"/>
      <c r="E139" s="167"/>
      <c r="F139" s="167"/>
      <c r="G139" s="167"/>
      <c r="H139" s="167"/>
      <c r="I139" s="167"/>
      <c r="J139" s="167"/>
      <c r="K139" s="167"/>
      <c r="L139" s="171"/>
      <c r="M139" s="171"/>
      <c r="N139" s="171"/>
      <c r="O139" s="171"/>
      <c r="P139" s="171"/>
      <c r="Q139" s="171"/>
      <c r="R139" s="171"/>
      <c r="S139" s="171"/>
      <c r="T139" s="171"/>
      <c r="U139" s="171"/>
      <c r="V139" s="171"/>
      <c r="W139" s="171"/>
      <c r="X139" s="171"/>
      <c r="Y139" s="171"/>
      <c r="Z139" s="171"/>
      <c r="AA139" s="426"/>
      <c r="AB139" s="426"/>
      <c r="AC139" s="426"/>
      <c r="AD139" s="426"/>
      <c r="AE139" s="426"/>
      <c r="AF139" s="426"/>
      <c r="AG139" s="426"/>
      <c r="AH139" s="426"/>
      <c r="AI139" s="426"/>
      <c r="AJ139" s="426"/>
      <c r="AK139" s="426"/>
      <c r="AL139" s="171"/>
      <c r="AM139" s="171"/>
      <c r="AN139" s="448"/>
      <c r="AO139" s="448"/>
      <c r="AP139" s="448"/>
      <c r="AQ139" s="448"/>
      <c r="AR139" s="448"/>
      <c r="AS139" s="448"/>
      <c r="AT139" s="448"/>
      <c r="AU139" s="448"/>
      <c r="AV139" s="448"/>
      <c r="AW139" s="448"/>
      <c r="AX139" s="448"/>
      <c r="AY139" s="448"/>
      <c r="AZ139" s="448"/>
      <c r="BA139" s="448"/>
      <c r="BB139" s="448"/>
      <c r="BC139" s="448"/>
      <c r="BD139" s="448"/>
      <c r="BE139" s="448"/>
      <c r="BF139" s="448"/>
      <c r="BG139" s="448"/>
      <c r="BH139" s="448"/>
      <c r="BI139" s="448"/>
      <c r="BJ139" s="448"/>
      <c r="BK139" s="448"/>
      <c r="BL139" s="448"/>
      <c r="BM139" s="448"/>
      <c r="BN139" s="448"/>
      <c r="BO139" s="448"/>
      <c r="BP139" s="448"/>
      <c r="BQ139" s="448"/>
      <c r="BR139" s="448"/>
      <c r="BS139" s="448"/>
      <c r="BT139" s="448"/>
      <c r="BU139" s="448"/>
      <c r="BV139" s="448"/>
      <c r="BW139" s="426"/>
      <c r="BX139" s="430"/>
      <c r="BY139" s="430"/>
      <c r="BZ139" s="430"/>
      <c r="CA139" s="434"/>
      <c r="CB139" s="171"/>
      <c r="CC139" s="426"/>
      <c r="CD139" s="426"/>
      <c r="CE139" s="426"/>
      <c r="CF139" s="426"/>
      <c r="CG139" s="426"/>
      <c r="CH139" s="426"/>
    </row>
    <row r="140" spans="1:86" ht="15.6" customHeight="1" outlineLevel="1" x14ac:dyDescent="0.25">
      <c r="A140" s="431"/>
      <c r="B140" s="458"/>
      <c r="C140" s="166"/>
      <c r="D140" s="167"/>
      <c r="E140" s="167"/>
      <c r="F140" s="167"/>
      <c r="G140" s="167"/>
      <c r="H140" s="167"/>
      <c r="I140" s="167"/>
      <c r="J140" s="167"/>
      <c r="K140" s="167"/>
      <c r="L140" s="171"/>
      <c r="M140" s="171"/>
      <c r="N140" s="171"/>
      <c r="O140" s="171"/>
      <c r="P140" s="171"/>
      <c r="Q140" s="171"/>
      <c r="R140" s="171"/>
      <c r="S140" s="171"/>
      <c r="T140" s="171"/>
      <c r="U140" s="171"/>
      <c r="V140" s="171"/>
      <c r="W140" s="171"/>
      <c r="X140" s="171"/>
      <c r="Y140" s="171"/>
      <c r="Z140" s="171"/>
      <c r="AA140" s="426"/>
      <c r="AB140" s="426"/>
      <c r="AC140" s="426"/>
      <c r="AD140" s="426"/>
      <c r="AE140" s="426"/>
      <c r="AF140" s="426"/>
      <c r="AG140" s="426"/>
      <c r="AH140" s="426"/>
      <c r="AI140" s="426"/>
      <c r="AJ140" s="426"/>
      <c r="AK140" s="426"/>
      <c r="AL140" s="171"/>
      <c r="AM140" s="171"/>
      <c r="AN140" s="448"/>
      <c r="AO140" s="448"/>
      <c r="AP140" s="448"/>
      <c r="AQ140" s="448"/>
      <c r="AR140" s="448"/>
      <c r="AS140" s="448"/>
      <c r="AT140" s="448"/>
      <c r="AU140" s="448"/>
      <c r="AV140" s="448"/>
      <c r="AW140" s="448"/>
      <c r="AX140" s="448"/>
      <c r="AY140" s="448"/>
      <c r="AZ140" s="448"/>
      <c r="BA140" s="448"/>
      <c r="BB140" s="448"/>
      <c r="BC140" s="448"/>
      <c r="BD140" s="448"/>
      <c r="BE140" s="448"/>
      <c r="BF140" s="448"/>
      <c r="BG140" s="448"/>
      <c r="BH140" s="448"/>
      <c r="BI140" s="448"/>
      <c r="BJ140" s="448"/>
      <c r="BK140" s="448"/>
      <c r="BL140" s="448"/>
      <c r="BM140" s="448"/>
      <c r="BN140" s="448"/>
      <c r="BO140" s="448"/>
      <c r="BP140" s="448"/>
      <c r="BQ140" s="448"/>
      <c r="BR140" s="448"/>
      <c r="BS140" s="448"/>
      <c r="BT140" s="448"/>
      <c r="BU140" s="448"/>
      <c r="BV140" s="448"/>
      <c r="BW140" s="426"/>
      <c r="BX140" s="430"/>
      <c r="BY140" s="430"/>
      <c r="BZ140" s="430"/>
      <c r="CA140" s="434"/>
      <c r="CB140" s="171"/>
      <c r="CC140" s="426"/>
      <c r="CD140" s="426"/>
      <c r="CE140" s="426"/>
      <c r="CF140" s="426"/>
      <c r="CG140" s="426"/>
      <c r="CH140" s="426"/>
    </row>
    <row r="141" spans="1:86" ht="15.6" customHeight="1" outlineLevel="1" x14ac:dyDescent="0.25">
      <c r="A141" s="431"/>
      <c r="B141" s="459" t="s">
        <v>847</v>
      </c>
      <c r="C141" s="166"/>
      <c r="D141" s="428"/>
      <c r="E141" s="429"/>
      <c r="F141" s="429"/>
      <c r="G141" s="429"/>
      <c r="H141" s="429"/>
      <c r="I141" s="429"/>
      <c r="J141" s="429"/>
      <c r="K141" s="429"/>
      <c r="L141" s="171"/>
      <c r="M141" s="171"/>
      <c r="N141" s="171"/>
      <c r="O141" s="171"/>
      <c r="P141" s="171"/>
      <c r="Q141" s="171"/>
      <c r="R141" s="171"/>
      <c r="S141" s="171"/>
      <c r="T141" s="171"/>
      <c r="U141" s="171"/>
      <c r="V141" s="171"/>
      <c r="W141" s="171"/>
      <c r="X141" s="171"/>
      <c r="Y141" s="171"/>
      <c r="Z141" s="171"/>
      <c r="AA141" s="426"/>
      <c r="AB141" s="426"/>
      <c r="AC141" s="426"/>
      <c r="AD141" s="426"/>
      <c r="AE141" s="426"/>
      <c r="AF141" s="426"/>
      <c r="AG141" s="426"/>
      <c r="AH141" s="426"/>
      <c r="AI141" s="426"/>
      <c r="AJ141" s="426"/>
      <c r="AK141" s="426"/>
      <c r="AL141" s="171"/>
      <c r="AM141" s="171"/>
      <c r="AN141" s="448"/>
      <c r="AO141" s="448"/>
      <c r="AP141" s="448"/>
      <c r="AQ141" s="448"/>
      <c r="AR141" s="448"/>
      <c r="AS141" s="448"/>
      <c r="AT141" s="448"/>
      <c r="AU141" s="448"/>
      <c r="AV141" s="448"/>
      <c r="AW141" s="448"/>
      <c r="AX141" s="448"/>
      <c r="AY141" s="448"/>
      <c r="AZ141" s="448"/>
      <c r="BA141" s="448"/>
      <c r="BB141" s="448"/>
      <c r="BC141" s="448"/>
      <c r="BD141" s="448"/>
      <c r="BE141" s="448"/>
      <c r="BF141" s="448"/>
      <c r="BG141" s="448"/>
      <c r="BH141" s="448"/>
      <c r="BI141" s="448"/>
      <c r="BJ141" s="448"/>
      <c r="BK141" s="448"/>
      <c r="BL141" s="448"/>
      <c r="BM141" s="448"/>
      <c r="BN141" s="448"/>
      <c r="BO141" s="448"/>
      <c r="BP141" s="448"/>
      <c r="BQ141" s="448"/>
      <c r="BR141" s="448"/>
      <c r="BS141" s="448"/>
      <c r="BT141" s="448"/>
      <c r="BU141" s="448"/>
      <c r="BV141" s="448"/>
      <c r="BW141" s="426"/>
      <c r="BX141" s="430"/>
      <c r="BY141" s="430"/>
      <c r="BZ141" s="430"/>
      <c r="CA141" s="434"/>
      <c r="CB141" s="171"/>
      <c r="CC141" s="426"/>
      <c r="CD141" s="426"/>
      <c r="CE141" s="426"/>
      <c r="CF141" s="426"/>
      <c r="CG141" s="426"/>
      <c r="CH141" s="426"/>
    </row>
    <row r="142" spans="1:86" ht="15.6" customHeight="1" outlineLevel="1" x14ac:dyDescent="0.25">
      <c r="A142" s="431"/>
      <c r="B142" s="1336" t="s">
        <v>629</v>
      </c>
      <c r="C142" s="1333" t="s">
        <v>193</v>
      </c>
      <c r="D142" s="1333" t="s">
        <v>38</v>
      </c>
      <c r="E142" s="1333" t="s">
        <v>29</v>
      </c>
      <c r="F142" s="1326" t="s">
        <v>214</v>
      </c>
      <c r="G142" s="1327"/>
      <c r="H142" s="1327"/>
      <c r="I142" s="1327"/>
      <c r="J142" s="1327"/>
      <c r="K142" s="1328"/>
      <c r="S142" s="171"/>
      <c r="T142" s="171"/>
      <c r="U142" s="171"/>
      <c r="V142" s="171"/>
      <c r="W142" s="171"/>
      <c r="X142" s="171"/>
      <c r="Y142" s="171"/>
      <c r="Z142" s="426"/>
      <c r="AA142" s="426"/>
      <c r="AB142" s="426"/>
      <c r="AC142" s="426"/>
      <c r="AD142" s="426"/>
      <c r="AE142" s="426"/>
      <c r="AF142" s="426"/>
      <c r="AG142" s="426"/>
      <c r="AH142" s="426"/>
      <c r="AI142" s="426"/>
      <c r="AJ142" s="426"/>
      <c r="AK142" s="171"/>
      <c r="AL142" s="171"/>
      <c r="AM142" s="448"/>
      <c r="AN142" s="448"/>
      <c r="AO142" s="448"/>
      <c r="AP142" s="448"/>
      <c r="AQ142" s="448"/>
      <c r="AR142" s="448"/>
      <c r="AS142" s="448"/>
      <c r="AT142" s="448"/>
      <c r="AU142" s="448"/>
      <c r="AV142" s="448"/>
      <c r="AW142" s="448"/>
      <c r="AX142" s="448"/>
      <c r="AY142" s="448"/>
      <c r="AZ142" s="448"/>
      <c r="BA142" s="448"/>
      <c r="BB142" s="448"/>
      <c r="BC142" s="448"/>
      <c r="BD142" s="448"/>
      <c r="BE142" s="448"/>
      <c r="BF142" s="448"/>
      <c r="BG142" s="448"/>
      <c r="BH142" s="448"/>
      <c r="BI142" s="448"/>
      <c r="BJ142" s="448"/>
      <c r="BK142" s="448"/>
      <c r="BL142" s="448"/>
      <c r="BM142" s="448"/>
      <c r="BN142" s="448"/>
      <c r="BO142" s="448"/>
      <c r="BP142" s="448"/>
      <c r="BQ142" s="448"/>
      <c r="BR142" s="448"/>
      <c r="BS142" s="448"/>
      <c r="BT142" s="448"/>
      <c r="BU142" s="448"/>
      <c r="BV142" s="426"/>
      <c r="BW142" s="430"/>
      <c r="BX142" s="430"/>
      <c r="BY142" s="430"/>
      <c r="BZ142" s="434"/>
      <c r="CA142" s="171"/>
      <c r="CB142" s="426"/>
      <c r="CC142" s="426"/>
      <c r="CD142" s="426"/>
      <c r="CE142" s="426"/>
      <c r="CF142" s="426"/>
      <c r="CG142" s="426"/>
    </row>
    <row r="143" spans="1:86" ht="15.6" customHeight="1" outlineLevel="1" x14ac:dyDescent="0.25">
      <c r="A143" s="431"/>
      <c r="B143" s="1337"/>
      <c r="C143" s="1334"/>
      <c r="D143" s="1334"/>
      <c r="E143" s="1334"/>
      <c r="F143" s="1326" t="s">
        <v>1045</v>
      </c>
      <c r="G143" s="1328"/>
      <c r="H143" s="1326" t="s">
        <v>1046</v>
      </c>
      <c r="I143" s="1328"/>
      <c r="J143" s="1326" t="s">
        <v>1047</v>
      </c>
      <c r="K143" s="1328"/>
      <c r="S143" s="171"/>
      <c r="T143" s="171"/>
      <c r="U143" s="171"/>
      <c r="V143" s="171"/>
      <c r="W143" s="171"/>
      <c r="X143" s="171"/>
      <c r="Y143" s="171"/>
      <c r="Z143" s="426"/>
      <c r="AA143" s="426"/>
      <c r="AB143" s="426"/>
      <c r="AC143" s="426"/>
      <c r="AD143" s="426"/>
      <c r="AE143" s="426"/>
      <c r="AF143" s="426"/>
      <c r="AG143" s="426"/>
      <c r="AH143" s="426"/>
      <c r="AI143" s="426"/>
      <c r="AJ143" s="426"/>
      <c r="AK143" s="171"/>
      <c r="AL143" s="171"/>
      <c r="AM143" s="448"/>
      <c r="AN143" s="448"/>
      <c r="AO143" s="448"/>
      <c r="AP143" s="448"/>
      <c r="AQ143" s="448"/>
      <c r="AR143" s="448"/>
      <c r="AS143" s="448"/>
      <c r="AT143" s="448"/>
      <c r="AU143" s="448"/>
      <c r="AV143" s="448"/>
      <c r="AW143" s="448"/>
      <c r="AX143" s="448"/>
      <c r="AY143" s="448"/>
      <c r="AZ143" s="448"/>
      <c r="BA143" s="448"/>
      <c r="BB143" s="448"/>
      <c r="BC143" s="448"/>
      <c r="BD143" s="448"/>
      <c r="BE143" s="448"/>
      <c r="BF143" s="448"/>
      <c r="BG143" s="448"/>
      <c r="BH143" s="448"/>
      <c r="BI143" s="448"/>
      <c r="BJ143" s="448"/>
      <c r="BK143" s="448"/>
      <c r="BL143" s="448"/>
      <c r="BM143" s="448"/>
      <c r="BN143" s="448"/>
      <c r="BO143" s="448"/>
      <c r="BP143" s="448"/>
      <c r="BQ143" s="448"/>
      <c r="BR143" s="448"/>
      <c r="BS143" s="448"/>
      <c r="BT143" s="448"/>
      <c r="BU143" s="448"/>
      <c r="BV143" s="426"/>
      <c r="BW143" s="430"/>
      <c r="BX143" s="430"/>
      <c r="BY143" s="430"/>
      <c r="BZ143" s="434"/>
      <c r="CA143" s="171"/>
      <c r="CB143" s="426"/>
      <c r="CC143" s="426"/>
      <c r="CD143" s="426"/>
      <c r="CE143" s="426"/>
      <c r="CF143" s="426"/>
      <c r="CG143" s="426"/>
    </row>
    <row r="144" spans="1:86" outlineLevel="1" x14ac:dyDescent="0.25">
      <c r="A144" s="431"/>
      <c r="B144" s="1338"/>
      <c r="C144" s="1335"/>
      <c r="D144" s="1335"/>
      <c r="E144" s="1335"/>
      <c r="F144" s="433" t="s">
        <v>198</v>
      </c>
      <c r="G144" s="433" t="s">
        <v>199</v>
      </c>
      <c r="H144" s="433" t="s">
        <v>198</v>
      </c>
      <c r="I144" s="433" t="s">
        <v>199</v>
      </c>
      <c r="J144" s="433" t="s">
        <v>198</v>
      </c>
      <c r="K144" s="433" t="s">
        <v>199</v>
      </c>
      <c r="S144" s="171"/>
      <c r="T144" s="171"/>
      <c r="U144" s="171"/>
      <c r="V144" s="171"/>
      <c r="W144" s="171"/>
      <c r="X144" s="171"/>
      <c r="Y144" s="171"/>
      <c r="Z144" s="426"/>
      <c r="AA144" s="426"/>
      <c r="AB144" s="426"/>
      <c r="AC144" s="426"/>
      <c r="AD144" s="426"/>
      <c r="AE144" s="426"/>
      <c r="AF144" s="426"/>
      <c r="AG144" s="426"/>
      <c r="AH144" s="426"/>
      <c r="AI144" s="426"/>
      <c r="AJ144" s="426"/>
      <c r="AK144" s="171"/>
      <c r="AL144" s="171"/>
      <c r="AM144" s="448"/>
      <c r="AN144" s="448"/>
      <c r="AO144" s="448"/>
      <c r="AP144" s="448"/>
      <c r="AQ144" s="448"/>
      <c r="AR144" s="448"/>
      <c r="AS144" s="448"/>
      <c r="AT144" s="448"/>
      <c r="AU144" s="448"/>
      <c r="AV144" s="448"/>
      <c r="AW144" s="448"/>
      <c r="AX144" s="448"/>
      <c r="AY144" s="448"/>
      <c r="AZ144" s="448"/>
      <c r="BA144" s="448"/>
      <c r="BB144" s="448"/>
      <c r="BC144" s="448"/>
      <c r="BD144" s="448"/>
      <c r="BE144" s="448"/>
      <c r="BF144" s="448"/>
      <c r="BG144" s="448"/>
      <c r="BH144" s="448"/>
      <c r="BI144" s="448"/>
      <c r="BJ144" s="448"/>
      <c r="BK144" s="448"/>
      <c r="BL144" s="448"/>
      <c r="BM144" s="448"/>
      <c r="BN144" s="448"/>
      <c r="BO144" s="448"/>
      <c r="BP144" s="448"/>
      <c r="BQ144" s="448"/>
      <c r="BR144" s="448"/>
      <c r="BS144" s="448"/>
      <c r="BT144" s="448"/>
      <c r="BU144" s="448"/>
      <c r="BV144" s="426"/>
      <c r="BW144" s="430"/>
      <c r="BX144" s="430"/>
      <c r="BY144" s="430"/>
      <c r="BZ144" s="434"/>
      <c r="CA144" s="171"/>
      <c r="CB144" s="426"/>
      <c r="CC144" s="426"/>
      <c r="CD144" s="426"/>
      <c r="CE144" s="426"/>
      <c r="CF144" s="426"/>
      <c r="CG144" s="426"/>
    </row>
    <row r="145" spans="1:86" outlineLevel="1" x14ac:dyDescent="0.25">
      <c r="A145" s="431"/>
      <c r="B145" s="1339" t="s">
        <v>632</v>
      </c>
      <c r="C145" s="439" t="str">
        <f>$B$145&amp;" - "&amp;D145</f>
        <v>Maquinaria agrícola e florestal - Gasóleo / óleo diesel (fuelóleo destilado)</v>
      </c>
      <c r="D145" s="264" t="str">
        <f>B42</f>
        <v>Gasóleo / óleo diesel (fuelóleo destilado)</v>
      </c>
      <c r="E145" s="439" t="str">
        <f t="shared" ref="E145:E156" si="8">VLOOKUP(D145,$B$24:$D$75,3,FALSE)</f>
        <v>Litros</v>
      </c>
      <c r="F145" s="563">
        <f t="shared" ref="F145:F156" si="9">VLOOKUP(D145,$B$24:$I$75,8,FALSE)</f>
        <v>2.6279834724</v>
      </c>
      <c r="G145" s="439" t="s">
        <v>634</v>
      </c>
      <c r="H145" s="562">
        <f t="shared" ref="H145:H156" si="10">VLOOKUP(D145,$B$24:$M$75,12,FALSE)*VLOOKUP(D145,$B$24:$M$75,4,FALSE)/1000000</f>
        <v>1.293948432E-11</v>
      </c>
      <c r="I145" s="439" t="s">
        <v>634</v>
      </c>
      <c r="J145" s="562">
        <f t="shared" ref="J145:J156" si="11">VLOOKUP(D145,$B$24:$Q$75,16,FALSE)*VLOOKUP(D145,$B$24:$Q$75,4,FALSE)/1000000</f>
        <v>7.7636905919999992E-13</v>
      </c>
      <c r="K145" s="439" t="str">
        <f>I145</f>
        <v>kg</v>
      </c>
      <c r="S145" s="171"/>
      <c r="T145" s="171"/>
      <c r="U145" s="171"/>
      <c r="V145" s="171"/>
      <c r="W145" s="171"/>
      <c r="X145" s="171"/>
      <c r="Y145" s="171"/>
      <c r="Z145" s="426"/>
      <c r="AA145" s="426"/>
      <c r="AB145" s="426"/>
      <c r="AC145" s="426"/>
      <c r="AD145" s="426"/>
      <c r="AE145" s="426"/>
      <c r="AF145" s="426"/>
      <c r="AG145" s="426"/>
      <c r="AH145" s="426"/>
      <c r="AI145" s="426"/>
      <c r="AJ145" s="426"/>
      <c r="AK145" s="171"/>
      <c r="AL145" s="171"/>
      <c r="AM145" s="448"/>
      <c r="AN145" s="448"/>
      <c r="AO145" s="448"/>
      <c r="AP145" s="448"/>
      <c r="AQ145" s="448"/>
      <c r="AR145" s="448"/>
      <c r="AS145" s="448"/>
      <c r="AT145" s="448"/>
      <c r="AU145" s="448"/>
      <c r="AV145" s="448"/>
      <c r="AW145" s="448"/>
      <c r="AX145" s="448"/>
      <c r="AY145" s="448"/>
      <c r="AZ145" s="448"/>
      <c r="BA145" s="448"/>
      <c r="BB145" s="448"/>
      <c r="BC145" s="448"/>
      <c r="BD145" s="448"/>
      <c r="BE145" s="448"/>
      <c r="BF145" s="448"/>
      <c r="BG145" s="448"/>
      <c r="BH145" s="448"/>
      <c r="BI145" s="448"/>
      <c r="BJ145" s="448"/>
      <c r="BK145" s="448"/>
      <c r="BL145" s="448"/>
      <c r="BM145" s="448"/>
      <c r="BN145" s="448"/>
      <c r="BO145" s="448"/>
      <c r="BP145" s="448"/>
      <c r="BQ145" s="448"/>
      <c r="BR145" s="448"/>
      <c r="BS145" s="448"/>
      <c r="BT145" s="448"/>
      <c r="BU145" s="448"/>
      <c r="BV145" s="426"/>
      <c r="BW145" s="430"/>
      <c r="BX145" s="430"/>
      <c r="BY145" s="430"/>
      <c r="BZ145" s="434"/>
      <c r="CA145" s="171"/>
      <c r="CB145" s="426"/>
      <c r="CC145" s="426"/>
      <c r="CD145" s="426"/>
      <c r="CE145" s="426"/>
      <c r="CF145" s="426"/>
      <c r="CG145" s="426"/>
    </row>
    <row r="146" spans="1:86" outlineLevel="1" x14ac:dyDescent="0.25">
      <c r="A146" s="431"/>
      <c r="B146" s="1340"/>
      <c r="C146" s="439" t="str">
        <f>$B$145&amp;" - "&amp;D146</f>
        <v>Maquinaria agrícola e florestal - Gasolina para motores</v>
      </c>
      <c r="D146" s="439" t="str">
        <f>B43</f>
        <v>Gasolina para motores</v>
      </c>
      <c r="E146" s="439" t="str">
        <f t="shared" si="8"/>
        <v>Litros</v>
      </c>
      <c r="F146" s="563">
        <f t="shared" si="9"/>
        <v>1.3992969374999997E-3</v>
      </c>
      <c r="G146" s="439" t="s">
        <v>634</v>
      </c>
      <c r="H146" s="562">
        <f t="shared" si="10"/>
        <v>6.6861620833333319E-15</v>
      </c>
      <c r="I146" s="439" t="s">
        <v>634</v>
      </c>
      <c r="J146" s="562">
        <f t="shared" si="11"/>
        <v>4.0116972499999987E-16</v>
      </c>
      <c r="K146" s="439" t="str">
        <f t="shared" ref="K146:K156" si="12">I146</f>
        <v>kg</v>
      </c>
      <c r="S146" s="171"/>
      <c r="T146" s="171"/>
      <c r="U146" s="171"/>
      <c r="V146" s="171"/>
      <c r="W146" s="171"/>
      <c r="X146" s="171"/>
      <c r="Y146" s="171"/>
      <c r="Z146" s="426"/>
      <c r="AA146" s="426"/>
      <c r="AB146" s="426"/>
      <c r="AC146" s="426"/>
      <c r="AD146" s="426"/>
      <c r="AE146" s="426"/>
      <c r="AF146" s="426"/>
      <c r="AG146" s="426"/>
      <c r="AH146" s="426"/>
      <c r="AI146" s="426"/>
      <c r="AJ146" s="426"/>
      <c r="AK146" s="171"/>
      <c r="AL146" s="171"/>
      <c r="AM146" s="448"/>
      <c r="AN146" s="448"/>
      <c r="AO146" s="448"/>
      <c r="AP146" s="448"/>
      <c r="AQ146" s="448"/>
      <c r="AR146" s="448"/>
      <c r="AS146" s="448"/>
      <c r="AT146" s="448"/>
      <c r="AU146" s="448"/>
      <c r="AV146" s="448"/>
      <c r="AW146" s="448"/>
      <c r="AX146" s="448"/>
      <c r="AY146" s="448"/>
      <c r="AZ146" s="448"/>
      <c r="BA146" s="448"/>
      <c r="BB146" s="448"/>
      <c r="BC146" s="448"/>
      <c r="BD146" s="448"/>
      <c r="BE146" s="448"/>
      <c r="BF146" s="448"/>
      <c r="BG146" s="448"/>
      <c r="BH146" s="448"/>
      <c r="BI146" s="448"/>
      <c r="BJ146" s="448"/>
      <c r="BK146" s="448"/>
      <c r="BL146" s="448"/>
      <c r="BM146" s="448"/>
      <c r="BN146" s="448"/>
      <c r="BO146" s="448"/>
      <c r="BP146" s="448"/>
      <c r="BQ146" s="448"/>
      <c r="BR146" s="448"/>
      <c r="BS146" s="448"/>
      <c r="BT146" s="448"/>
      <c r="BU146" s="448"/>
      <c r="BV146" s="426"/>
      <c r="BW146" s="430"/>
      <c r="BX146" s="430"/>
      <c r="BY146" s="430"/>
      <c r="BZ146" s="434"/>
      <c r="CA146" s="171"/>
      <c r="CB146" s="426"/>
      <c r="CC146" s="426"/>
      <c r="CD146" s="426"/>
      <c r="CE146" s="426"/>
      <c r="CF146" s="426"/>
      <c r="CG146" s="426"/>
    </row>
    <row r="147" spans="1:86" outlineLevel="1" x14ac:dyDescent="0.25">
      <c r="A147" s="431"/>
      <c r="B147" s="1340"/>
      <c r="C147" s="439" t="str">
        <f>$B$145&amp;" - "&amp;D147</f>
        <v>Maquinaria agrícola e florestal - Gás Natural</v>
      </c>
      <c r="D147" s="439" t="str">
        <f>B39</f>
        <v>Gás Natural</v>
      </c>
      <c r="E147" s="439" t="str">
        <f t="shared" si="8"/>
        <v>m3</v>
      </c>
      <c r="F147" s="563">
        <f t="shared" si="9"/>
        <v>2.1156729217799999</v>
      </c>
      <c r="G147" s="439" t="s">
        <v>634</v>
      </c>
      <c r="H147" s="562">
        <f t="shared" si="10"/>
        <v>3.7712529800000001E-5</v>
      </c>
      <c r="I147" s="439" t="s">
        <v>634</v>
      </c>
      <c r="J147" s="562">
        <f t="shared" si="11"/>
        <v>3.7712529800000003E-6</v>
      </c>
      <c r="K147" s="439" t="str">
        <f t="shared" si="12"/>
        <v>kg</v>
      </c>
      <c r="S147" s="171"/>
      <c r="T147" s="171"/>
      <c r="U147" s="171"/>
      <c r="V147" s="171"/>
      <c r="W147" s="171"/>
      <c r="X147" s="171"/>
      <c r="Y147" s="171"/>
      <c r="Z147" s="426"/>
      <c r="AA147" s="426"/>
      <c r="AB147" s="426"/>
      <c r="AC147" s="426"/>
      <c r="AD147" s="426"/>
      <c r="AE147" s="426"/>
      <c r="AF147" s="426"/>
      <c r="AG147" s="426"/>
      <c r="AH147" s="426"/>
      <c r="AI147" s="426"/>
      <c r="AJ147" s="426"/>
      <c r="AK147" s="171"/>
      <c r="AL147" s="171"/>
      <c r="AM147" s="448"/>
      <c r="AN147" s="448"/>
      <c r="AO147" s="448"/>
      <c r="AP147" s="448"/>
      <c r="AQ147" s="448"/>
      <c r="AR147" s="448"/>
      <c r="AS147" s="448"/>
      <c r="AT147" s="448"/>
      <c r="AU147" s="448"/>
      <c r="AV147" s="448"/>
      <c r="AW147" s="448"/>
      <c r="AX147" s="448"/>
      <c r="AY147" s="448"/>
      <c r="AZ147" s="448"/>
      <c r="BA147" s="448"/>
      <c r="BB147" s="448"/>
      <c r="BC147" s="448"/>
      <c r="BD147" s="448"/>
      <c r="BE147" s="448"/>
      <c r="BF147" s="448"/>
      <c r="BG147" s="448"/>
      <c r="BH147" s="448"/>
      <c r="BI147" s="448"/>
      <c r="BJ147" s="448"/>
      <c r="BK147" s="448"/>
      <c r="BL147" s="448"/>
      <c r="BM147" s="448"/>
      <c r="BN147" s="448"/>
      <c r="BO147" s="448"/>
      <c r="BP147" s="448"/>
      <c r="BQ147" s="448"/>
      <c r="BR147" s="448"/>
      <c r="BS147" s="448"/>
      <c r="BT147" s="448"/>
      <c r="BU147" s="448"/>
      <c r="BV147" s="426"/>
      <c r="BW147" s="430"/>
      <c r="BX147" s="430"/>
      <c r="BY147" s="430"/>
      <c r="BZ147" s="434"/>
      <c r="CA147" s="171"/>
      <c r="CB147" s="426"/>
      <c r="CC147" s="426"/>
      <c r="CD147" s="426"/>
      <c r="CE147" s="426"/>
      <c r="CF147" s="426"/>
      <c r="CG147" s="426"/>
    </row>
    <row r="148" spans="1:86" outlineLevel="1" x14ac:dyDescent="0.25">
      <c r="A148" s="431"/>
      <c r="B148" s="1341"/>
      <c r="C148" s="439" t="str">
        <f>$B$145&amp;" - "&amp;D148</f>
        <v>Maquinaria agrícola e florestal - Biodiesel e Biogasolina</v>
      </c>
      <c r="D148" s="439" t="str">
        <f>B66</f>
        <v>Biodiesel e Biogasolina</v>
      </c>
      <c r="E148" s="439" t="str">
        <f t="shared" si="8"/>
        <v>kg</v>
      </c>
      <c r="F148" s="563">
        <f t="shared" si="9"/>
        <v>1.9116</v>
      </c>
      <c r="G148" s="439" t="s">
        <v>634</v>
      </c>
      <c r="H148" s="562">
        <f t="shared" si="10"/>
        <v>8.6408369999999987E-9</v>
      </c>
      <c r="I148" s="439" t="s">
        <v>634</v>
      </c>
      <c r="J148" s="562">
        <f t="shared" si="11"/>
        <v>4.3739999999999996E-10</v>
      </c>
      <c r="K148" s="439" t="str">
        <f t="shared" si="12"/>
        <v>kg</v>
      </c>
      <c r="S148" s="171"/>
      <c r="T148" s="171"/>
      <c r="U148" s="171"/>
      <c r="V148" s="171"/>
      <c r="W148" s="171"/>
      <c r="X148" s="171"/>
      <c r="Y148" s="171"/>
      <c r="Z148" s="426"/>
      <c r="AA148" s="426"/>
      <c r="AB148" s="426"/>
      <c r="AC148" s="426"/>
      <c r="AD148" s="426"/>
      <c r="AE148" s="426"/>
      <c r="AF148" s="426"/>
      <c r="AG148" s="426"/>
      <c r="AH148" s="426"/>
      <c r="AI148" s="426"/>
      <c r="AJ148" s="426"/>
      <c r="AK148" s="171"/>
      <c r="AL148" s="171"/>
      <c r="AM148" s="448"/>
      <c r="AN148" s="448"/>
      <c r="AO148" s="448"/>
      <c r="AP148" s="448"/>
      <c r="AQ148" s="448"/>
      <c r="AR148" s="448"/>
      <c r="AS148" s="448"/>
      <c r="AT148" s="448"/>
      <c r="AU148" s="448"/>
      <c r="AV148" s="448"/>
      <c r="AW148" s="448"/>
      <c r="AX148" s="448"/>
      <c r="AY148" s="448"/>
      <c r="AZ148" s="448"/>
      <c r="BA148" s="448"/>
      <c r="BB148" s="448"/>
      <c r="BC148" s="448"/>
      <c r="BD148" s="448"/>
      <c r="BE148" s="448"/>
      <c r="BF148" s="448"/>
      <c r="BG148" s="448"/>
      <c r="BH148" s="448"/>
      <c r="BI148" s="448"/>
      <c r="BJ148" s="448"/>
      <c r="BK148" s="448"/>
      <c r="BL148" s="448"/>
      <c r="BM148" s="448"/>
      <c r="BN148" s="448"/>
      <c r="BO148" s="448"/>
      <c r="BP148" s="448"/>
      <c r="BQ148" s="448"/>
      <c r="BR148" s="448"/>
      <c r="BS148" s="448"/>
      <c r="BT148" s="448"/>
      <c r="BU148" s="448"/>
      <c r="BV148" s="426"/>
      <c r="BW148" s="430"/>
      <c r="BX148" s="430"/>
      <c r="BY148" s="430"/>
      <c r="BZ148" s="434"/>
      <c r="CA148" s="171"/>
      <c r="CB148" s="426"/>
      <c r="CC148" s="426"/>
      <c r="CD148" s="426"/>
      <c r="CE148" s="426"/>
      <c r="CF148" s="426"/>
      <c r="CG148" s="426"/>
    </row>
    <row r="149" spans="1:86" outlineLevel="1" x14ac:dyDescent="0.25">
      <c r="A149" s="431"/>
      <c r="B149" s="1343" t="s">
        <v>633</v>
      </c>
      <c r="C149" s="439" t="str">
        <f>$B$149&amp;" - "&amp;D149</f>
        <v>Maquinaria comercial, institucional - Gasóleo / óleo diesel (fuelóleo destilado)</v>
      </c>
      <c r="D149" s="264" t="str">
        <f t="shared" ref="D149:D156" si="13">D145</f>
        <v>Gasóleo / óleo diesel (fuelóleo destilado)</v>
      </c>
      <c r="E149" s="439" t="str">
        <f t="shared" si="8"/>
        <v>Litros</v>
      </c>
      <c r="F149" s="563">
        <f t="shared" si="9"/>
        <v>2.6279834724</v>
      </c>
      <c r="G149" s="439" t="s">
        <v>634</v>
      </c>
      <c r="H149" s="562">
        <f t="shared" si="10"/>
        <v>1.293948432E-11</v>
      </c>
      <c r="I149" s="439" t="s">
        <v>634</v>
      </c>
      <c r="J149" s="562">
        <f t="shared" si="11"/>
        <v>7.7636905919999992E-13</v>
      </c>
      <c r="K149" s="439" t="str">
        <f t="shared" si="12"/>
        <v>kg</v>
      </c>
      <c r="S149" s="171"/>
      <c r="T149" s="171"/>
      <c r="U149" s="171"/>
      <c r="V149" s="171"/>
      <c r="W149" s="171"/>
      <c r="X149" s="171"/>
      <c r="Y149" s="171"/>
      <c r="Z149" s="426"/>
      <c r="AA149" s="426"/>
      <c r="AB149" s="426"/>
      <c r="AC149" s="426"/>
      <c r="AD149" s="426"/>
      <c r="AE149" s="426"/>
      <c r="AF149" s="426"/>
      <c r="AG149" s="426"/>
      <c r="AH149" s="426"/>
      <c r="AI149" s="426"/>
      <c r="AJ149" s="426"/>
      <c r="AK149" s="171"/>
      <c r="AL149" s="171"/>
      <c r="AM149" s="448"/>
      <c r="AN149" s="448"/>
      <c r="AO149" s="448"/>
      <c r="AP149" s="448"/>
      <c r="AQ149" s="448"/>
      <c r="AR149" s="448"/>
      <c r="AS149" s="448"/>
      <c r="AT149" s="448"/>
      <c r="AU149" s="448"/>
      <c r="AV149" s="448"/>
      <c r="AW149" s="448"/>
      <c r="AX149" s="448"/>
      <c r="AY149" s="448"/>
      <c r="AZ149" s="448"/>
      <c r="BA149" s="448"/>
      <c r="BB149" s="448"/>
      <c r="BC149" s="448"/>
      <c r="BD149" s="448"/>
      <c r="BE149" s="448"/>
      <c r="BF149" s="448"/>
      <c r="BG149" s="448"/>
      <c r="BH149" s="448"/>
      <c r="BI149" s="448"/>
      <c r="BJ149" s="448"/>
      <c r="BK149" s="448"/>
      <c r="BL149" s="448"/>
      <c r="BM149" s="448"/>
      <c r="BN149" s="448"/>
      <c r="BO149" s="448"/>
      <c r="BP149" s="448"/>
      <c r="BQ149" s="448"/>
      <c r="BR149" s="448"/>
      <c r="BS149" s="448"/>
      <c r="BT149" s="448"/>
      <c r="BU149" s="448"/>
      <c r="BV149" s="426"/>
      <c r="BW149" s="430"/>
      <c r="BX149" s="430"/>
      <c r="BY149" s="430"/>
      <c r="BZ149" s="434"/>
      <c r="CA149" s="171"/>
      <c r="CB149" s="426"/>
      <c r="CC149" s="426"/>
      <c r="CD149" s="426"/>
      <c r="CE149" s="426"/>
      <c r="CF149" s="426"/>
      <c r="CG149" s="426"/>
    </row>
    <row r="150" spans="1:86" outlineLevel="1" x14ac:dyDescent="0.25">
      <c r="A150" s="431"/>
      <c r="B150" s="1344"/>
      <c r="C150" s="439" t="str">
        <f>$B$149&amp;" - "&amp;D150</f>
        <v>Maquinaria comercial, institucional - Gasolina para motores</v>
      </c>
      <c r="D150" s="264" t="str">
        <f t="shared" si="13"/>
        <v>Gasolina para motores</v>
      </c>
      <c r="E150" s="439" t="str">
        <f t="shared" si="8"/>
        <v>Litros</v>
      </c>
      <c r="F150" s="563">
        <f t="shared" si="9"/>
        <v>1.3992969374999997E-3</v>
      </c>
      <c r="G150" s="439" t="s">
        <v>634</v>
      </c>
      <c r="H150" s="562">
        <f t="shared" si="10"/>
        <v>6.6861620833333319E-15</v>
      </c>
      <c r="I150" s="439" t="s">
        <v>634</v>
      </c>
      <c r="J150" s="562">
        <f t="shared" si="11"/>
        <v>4.0116972499999987E-16</v>
      </c>
      <c r="K150" s="439" t="str">
        <f t="shared" si="12"/>
        <v>kg</v>
      </c>
      <c r="S150" s="171"/>
      <c r="T150" s="171"/>
      <c r="U150" s="171"/>
      <c r="V150" s="171"/>
      <c r="W150" s="171"/>
      <c r="X150" s="171"/>
      <c r="Y150" s="171"/>
      <c r="Z150" s="426"/>
      <c r="AA150" s="426"/>
      <c r="AB150" s="426"/>
      <c r="AC150" s="426"/>
      <c r="AD150" s="426"/>
      <c r="AE150" s="426"/>
      <c r="AF150" s="426"/>
      <c r="AG150" s="426"/>
      <c r="AH150" s="426"/>
      <c r="AI150" s="426"/>
      <c r="AJ150" s="426"/>
      <c r="AK150" s="171"/>
      <c r="AL150" s="171"/>
      <c r="AM150" s="448"/>
      <c r="AN150" s="448"/>
      <c r="AO150" s="448"/>
      <c r="AP150" s="448"/>
      <c r="AQ150" s="448"/>
      <c r="AR150" s="448"/>
      <c r="AS150" s="448"/>
      <c r="AT150" s="448"/>
      <c r="AU150" s="448"/>
      <c r="AV150" s="448"/>
      <c r="AW150" s="448"/>
      <c r="AX150" s="448"/>
      <c r="AY150" s="448"/>
      <c r="AZ150" s="448"/>
      <c r="BA150" s="448"/>
      <c r="BB150" s="448"/>
      <c r="BC150" s="448"/>
      <c r="BD150" s="448"/>
      <c r="BE150" s="448"/>
      <c r="BF150" s="448"/>
      <c r="BG150" s="448"/>
      <c r="BH150" s="448"/>
      <c r="BI150" s="448"/>
      <c r="BJ150" s="448"/>
      <c r="BK150" s="448"/>
      <c r="BL150" s="448"/>
      <c r="BM150" s="448"/>
      <c r="BN150" s="448"/>
      <c r="BO150" s="448"/>
      <c r="BP150" s="448"/>
      <c r="BQ150" s="448"/>
      <c r="BR150" s="448"/>
      <c r="BS150" s="448"/>
      <c r="BT150" s="448"/>
      <c r="BU150" s="448"/>
      <c r="BV150" s="426"/>
      <c r="BW150" s="430"/>
      <c r="BX150" s="430"/>
      <c r="BY150" s="430"/>
      <c r="BZ150" s="434"/>
      <c r="CA150" s="171"/>
      <c r="CB150" s="426"/>
      <c r="CC150" s="426"/>
      <c r="CD150" s="426"/>
      <c r="CE150" s="426"/>
      <c r="CF150" s="426"/>
      <c r="CG150" s="426"/>
    </row>
    <row r="151" spans="1:86" outlineLevel="1" x14ac:dyDescent="0.25">
      <c r="A151" s="431"/>
      <c r="B151" s="1344"/>
      <c r="C151" s="439" t="str">
        <f>$B$149&amp;" - "&amp;D151</f>
        <v>Maquinaria comercial, institucional - Gás Natural</v>
      </c>
      <c r="D151" s="264" t="str">
        <f t="shared" si="13"/>
        <v>Gás Natural</v>
      </c>
      <c r="E151" s="439" t="str">
        <f t="shared" si="8"/>
        <v>m3</v>
      </c>
      <c r="F151" s="563">
        <f t="shared" si="9"/>
        <v>2.1156729217799999</v>
      </c>
      <c r="G151" s="439" t="s">
        <v>634</v>
      </c>
      <c r="H151" s="562">
        <f t="shared" si="10"/>
        <v>3.7712529800000001E-5</v>
      </c>
      <c r="I151" s="439" t="s">
        <v>634</v>
      </c>
      <c r="J151" s="562">
        <f t="shared" si="11"/>
        <v>3.7712529800000003E-6</v>
      </c>
      <c r="K151" s="439" t="str">
        <f t="shared" si="12"/>
        <v>kg</v>
      </c>
      <c r="S151" s="171"/>
      <c r="T151" s="171"/>
      <c r="U151" s="171"/>
      <c r="V151" s="171"/>
      <c r="W151" s="171"/>
      <c r="X151" s="171"/>
      <c r="Y151" s="171"/>
      <c r="Z151" s="426"/>
      <c r="AA151" s="426"/>
      <c r="AB151" s="426"/>
      <c r="AC151" s="426"/>
      <c r="AD151" s="426"/>
      <c r="AE151" s="426"/>
      <c r="AF151" s="426"/>
      <c r="AG151" s="426"/>
      <c r="AH151" s="426"/>
      <c r="AI151" s="426"/>
      <c r="AJ151" s="426"/>
      <c r="AK151" s="171"/>
      <c r="AL151" s="171"/>
      <c r="AM151" s="448"/>
      <c r="AN151" s="448"/>
      <c r="AO151" s="448"/>
      <c r="AP151" s="448"/>
      <c r="AQ151" s="448"/>
      <c r="AR151" s="448"/>
      <c r="AS151" s="448"/>
      <c r="AT151" s="448"/>
      <c r="AU151" s="448"/>
      <c r="AV151" s="448"/>
      <c r="AW151" s="448"/>
      <c r="AX151" s="448"/>
      <c r="AY151" s="448"/>
      <c r="AZ151" s="448"/>
      <c r="BA151" s="448"/>
      <c r="BB151" s="448"/>
      <c r="BC151" s="448"/>
      <c r="BD151" s="448"/>
      <c r="BE151" s="448"/>
      <c r="BF151" s="448"/>
      <c r="BG151" s="448"/>
      <c r="BH151" s="448"/>
      <c r="BI151" s="448"/>
      <c r="BJ151" s="448"/>
      <c r="BK151" s="448"/>
      <c r="BL151" s="448"/>
      <c r="BM151" s="448"/>
      <c r="BN151" s="448"/>
      <c r="BO151" s="448"/>
      <c r="BP151" s="448"/>
      <c r="BQ151" s="448"/>
      <c r="BR151" s="448"/>
      <c r="BS151" s="448"/>
      <c r="BT151" s="448"/>
      <c r="BU151" s="448"/>
      <c r="BV151" s="426"/>
      <c r="BW151" s="430"/>
      <c r="BX151" s="430"/>
      <c r="BY151" s="430"/>
      <c r="BZ151" s="434"/>
      <c r="CA151" s="171"/>
      <c r="CB151" s="426"/>
      <c r="CC151" s="426"/>
      <c r="CD151" s="426"/>
      <c r="CE151" s="426"/>
      <c r="CF151" s="426"/>
      <c r="CG151" s="426"/>
    </row>
    <row r="152" spans="1:86" outlineLevel="1" x14ac:dyDescent="0.25">
      <c r="A152" s="431"/>
      <c r="B152" s="1345"/>
      <c r="C152" s="439" t="str">
        <f>$B$149&amp;" - "&amp;D152</f>
        <v>Maquinaria comercial, institucional - Biodiesel e Biogasolina</v>
      </c>
      <c r="D152" s="264" t="str">
        <f t="shared" si="13"/>
        <v>Biodiesel e Biogasolina</v>
      </c>
      <c r="E152" s="439" t="str">
        <f t="shared" si="8"/>
        <v>kg</v>
      </c>
      <c r="F152" s="563">
        <f t="shared" si="9"/>
        <v>1.9116</v>
      </c>
      <c r="G152" s="439" t="s">
        <v>634</v>
      </c>
      <c r="H152" s="562">
        <f t="shared" si="10"/>
        <v>8.6408369999999987E-9</v>
      </c>
      <c r="I152" s="439" t="s">
        <v>634</v>
      </c>
      <c r="J152" s="562">
        <f t="shared" si="11"/>
        <v>4.3739999999999996E-10</v>
      </c>
      <c r="K152" s="439" t="str">
        <f t="shared" si="12"/>
        <v>kg</v>
      </c>
      <c r="S152" s="171"/>
      <c r="T152" s="171"/>
      <c r="U152" s="171"/>
      <c r="V152" s="171"/>
      <c r="W152" s="171"/>
      <c r="X152" s="171"/>
      <c r="Y152" s="171"/>
      <c r="Z152" s="426"/>
      <c r="AA152" s="426"/>
      <c r="AB152" s="426"/>
      <c r="AC152" s="426"/>
      <c r="AD152" s="426"/>
      <c r="AE152" s="426"/>
      <c r="AF152" s="426"/>
      <c r="AG152" s="426"/>
      <c r="AH152" s="426"/>
      <c r="AI152" s="426"/>
      <c r="AJ152" s="426"/>
      <c r="AK152" s="171"/>
      <c r="AL152" s="171"/>
      <c r="AM152" s="448"/>
      <c r="AN152" s="448"/>
      <c r="AO152" s="448"/>
      <c r="AP152" s="448"/>
      <c r="AQ152" s="448"/>
      <c r="AR152" s="448"/>
      <c r="AS152" s="448"/>
      <c r="AT152" s="448"/>
      <c r="AU152" s="448"/>
      <c r="AV152" s="448"/>
      <c r="AW152" s="448"/>
      <c r="AX152" s="448"/>
      <c r="AY152" s="448"/>
      <c r="AZ152" s="448"/>
      <c r="BA152" s="448"/>
      <c r="BB152" s="448"/>
      <c r="BC152" s="448"/>
      <c r="BD152" s="448"/>
      <c r="BE152" s="448"/>
      <c r="BF152" s="448"/>
      <c r="BG152" s="448"/>
      <c r="BH152" s="448"/>
      <c r="BI152" s="448"/>
      <c r="BJ152" s="448"/>
      <c r="BK152" s="448"/>
      <c r="BL152" s="448"/>
      <c r="BM152" s="448"/>
      <c r="BN152" s="448"/>
      <c r="BO152" s="448"/>
      <c r="BP152" s="448"/>
      <c r="BQ152" s="448"/>
      <c r="BR152" s="448"/>
      <c r="BS152" s="448"/>
      <c r="BT152" s="448"/>
      <c r="BU152" s="448"/>
      <c r="BV152" s="426"/>
      <c r="BW152" s="430"/>
      <c r="BX152" s="430"/>
      <c r="BY152" s="430"/>
      <c r="BZ152" s="434"/>
      <c r="CA152" s="171"/>
      <c r="CB152" s="426"/>
      <c r="CC152" s="426"/>
      <c r="CD152" s="426"/>
      <c r="CE152" s="426"/>
      <c r="CF152" s="426"/>
      <c r="CG152" s="426"/>
    </row>
    <row r="153" spans="1:86" outlineLevel="1" x14ac:dyDescent="0.25">
      <c r="A153" s="431"/>
      <c r="B153" s="1343" t="s">
        <v>631</v>
      </c>
      <c r="C153" s="439" t="str">
        <f>$B$153&amp;" - "&amp;D153</f>
        <v>Maquinaria industrial - Gasóleo / óleo diesel (fuelóleo destilado)</v>
      </c>
      <c r="D153" s="264" t="str">
        <f t="shared" si="13"/>
        <v>Gasóleo / óleo diesel (fuelóleo destilado)</v>
      </c>
      <c r="E153" s="439" t="str">
        <f t="shared" si="8"/>
        <v>Litros</v>
      </c>
      <c r="F153" s="563">
        <f t="shared" si="9"/>
        <v>2.6279834724</v>
      </c>
      <c r="G153" s="439" t="s">
        <v>634</v>
      </c>
      <c r="H153" s="562">
        <f t="shared" si="10"/>
        <v>1.293948432E-11</v>
      </c>
      <c r="I153" s="439" t="s">
        <v>634</v>
      </c>
      <c r="J153" s="562">
        <f t="shared" si="11"/>
        <v>7.7636905919999992E-13</v>
      </c>
      <c r="K153" s="439" t="str">
        <f t="shared" si="12"/>
        <v>kg</v>
      </c>
      <c r="S153" s="171"/>
      <c r="T153" s="171"/>
      <c r="U153" s="171"/>
      <c r="V153" s="171"/>
      <c r="W153" s="171"/>
      <c r="X153" s="171"/>
      <c r="Y153" s="171"/>
      <c r="Z153" s="426"/>
      <c r="AA153" s="426"/>
      <c r="AB153" s="426"/>
      <c r="AC153" s="426"/>
      <c r="AD153" s="426"/>
      <c r="AE153" s="426"/>
      <c r="AF153" s="426"/>
      <c r="AG153" s="426"/>
      <c r="AH153" s="426"/>
      <c r="AI153" s="426"/>
      <c r="AJ153" s="426"/>
      <c r="AK153" s="171"/>
      <c r="AL153" s="171"/>
      <c r="AM153" s="448"/>
      <c r="AN153" s="448"/>
      <c r="AO153" s="448"/>
      <c r="AP153" s="448"/>
      <c r="AQ153" s="448"/>
      <c r="AR153" s="448"/>
      <c r="AS153" s="448"/>
      <c r="AT153" s="448"/>
      <c r="AU153" s="448"/>
      <c r="AV153" s="448"/>
      <c r="AW153" s="448"/>
      <c r="AX153" s="448"/>
      <c r="AY153" s="448"/>
      <c r="AZ153" s="448"/>
      <c r="BA153" s="448"/>
      <c r="BB153" s="448"/>
      <c r="BC153" s="448"/>
      <c r="BD153" s="448"/>
      <c r="BE153" s="448"/>
      <c r="BF153" s="448"/>
      <c r="BG153" s="448"/>
      <c r="BH153" s="448"/>
      <c r="BI153" s="448"/>
      <c r="BJ153" s="448"/>
      <c r="BK153" s="448"/>
      <c r="BL153" s="448"/>
      <c r="BM153" s="448"/>
      <c r="BN153" s="448"/>
      <c r="BO153" s="448"/>
      <c r="BP153" s="448"/>
      <c r="BQ153" s="448"/>
      <c r="BR153" s="448"/>
      <c r="BS153" s="448"/>
      <c r="BT153" s="448"/>
      <c r="BU153" s="448"/>
      <c r="BV153" s="426"/>
      <c r="BW153" s="430"/>
      <c r="BX153" s="430"/>
      <c r="BY153" s="430"/>
      <c r="BZ153" s="434"/>
      <c r="CA153" s="171"/>
      <c r="CB153" s="426"/>
      <c r="CC153" s="426"/>
      <c r="CD153" s="426"/>
      <c r="CE153" s="426"/>
      <c r="CF153" s="426"/>
      <c r="CG153" s="426"/>
    </row>
    <row r="154" spans="1:86" outlineLevel="1" x14ac:dyDescent="0.25">
      <c r="A154" s="431"/>
      <c r="B154" s="1344"/>
      <c r="C154" s="439" t="str">
        <f>$B$153&amp;" - "&amp;D154</f>
        <v>Maquinaria industrial - Gasolina para motores</v>
      </c>
      <c r="D154" s="264" t="str">
        <f t="shared" si="13"/>
        <v>Gasolina para motores</v>
      </c>
      <c r="E154" s="439" t="str">
        <f t="shared" si="8"/>
        <v>Litros</v>
      </c>
      <c r="F154" s="563">
        <f t="shared" si="9"/>
        <v>1.3992969374999997E-3</v>
      </c>
      <c r="G154" s="439" t="s">
        <v>634</v>
      </c>
      <c r="H154" s="562">
        <f t="shared" si="10"/>
        <v>6.6861620833333319E-15</v>
      </c>
      <c r="I154" s="439" t="s">
        <v>634</v>
      </c>
      <c r="J154" s="562">
        <f t="shared" si="11"/>
        <v>4.0116972499999987E-16</v>
      </c>
      <c r="K154" s="439" t="str">
        <f t="shared" si="12"/>
        <v>kg</v>
      </c>
      <c r="S154" s="171"/>
      <c r="T154" s="171"/>
      <c r="U154" s="171"/>
      <c r="V154" s="171"/>
      <c r="W154" s="171"/>
      <c r="X154" s="171"/>
      <c r="Y154" s="171"/>
      <c r="Z154" s="426"/>
      <c r="AA154" s="426"/>
      <c r="AB154" s="426"/>
      <c r="AC154" s="426"/>
      <c r="AD154" s="426"/>
      <c r="AE154" s="426"/>
      <c r="AF154" s="426"/>
      <c r="AG154" s="426"/>
      <c r="AH154" s="426"/>
      <c r="AI154" s="426"/>
      <c r="AJ154" s="426"/>
      <c r="AK154" s="171"/>
      <c r="AL154" s="171"/>
      <c r="AM154" s="448"/>
      <c r="AN154" s="448"/>
      <c r="AO154" s="448"/>
      <c r="AP154" s="448"/>
      <c r="AQ154" s="448"/>
      <c r="AR154" s="448"/>
      <c r="AS154" s="448"/>
      <c r="AT154" s="448"/>
      <c r="AU154" s="448"/>
      <c r="AV154" s="448"/>
      <c r="AW154" s="448"/>
      <c r="AX154" s="448"/>
      <c r="AY154" s="448"/>
      <c r="AZ154" s="448"/>
      <c r="BA154" s="448"/>
      <c r="BB154" s="448"/>
      <c r="BC154" s="448"/>
      <c r="BD154" s="448"/>
      <c r="BE154" s="448"/>
      <c r="BF154" s="448"/>
      <c r="BG154" s="448"/>
      <c r="BH154" s="448"/>
      <c r="BI154" s="448"/>
      <c r="BJ154" s="448"/>
      <c r="BK154" s="448"/>
      <c r="BL154" s="448"/>
      <c r="BM154" s="448"/>
      <c r="BN154" s="448"/>
      <c r="BO154" s="448"/>
      <c r="BP154" s="448"/>
      <c r="BQ154" s="448"/>
      <c r="BR154" s="448"/>
      <c r="BS154" s="448"/>
      <c r="BT154" s="448"/>
      <c r="BU154" s="448"/>
      <c r="BV154" s="426"/>
      <c r="BW154" s="430"/>
      <c r="BX154" s="430"/>
      <c r="BY154" s="430"/>
      <c r="BZ154" s="434"/>
      <c r="CA154" s="171"/>
      <c r="CB154" s="426"/>
      <c r="CC154" s="426"/>
      <c r="CD154" s="426"/>
      <c r="CE154" s="426"/>
      <c r="CF154" s="426"/>
      <c r="CG154" s="426"/>
    </row>
    <row r="155" spans="1:86" outlineLevel="1" x14ac:dyDescent="0.25">
      <c r="A155" s="431"/>
      <c r="B155" s="1344"/>
      <c r="C155" s="439" t="str">
        <f>$B$153&amp;" - "&amp;D155</f>
        <v>Maquinaria industrial - Gás Natural</v>
      </c>
      <c r="D155" s="264" t="str">
        <f t="shared" si="13"/>
        <v>Gás Natural</v>
      </c>
      <c r="E155" s="439" t="str">
        <f t="shared" si="8"/>
        <v>m3</v>
      </c>
      <c r="F155" s="563">
        <f t="shared" si="9"/>
        <v>2.1156729217799999</v>
      </c>
      <c r="G155" s="439" t="s">
        <v>634</v>
      </c>
      <c r="H155" s="562">
        <f t="shared" si="10"/>
        <v>3.7712529800000001E-5</v>
      </c>
      <c r="I155" s="439" t="s">
        <v>634</v>
      </c>
      <c r="J155" s="562">
        <f t="shared" si="11"/>
        <v>3.7712529800000003E-6</v>
      </c>
      <c r="K155" s="439" t="str">
        <f t="shared" si="12"/>
        <v>kg</v>
      </c>
      <c r="S155" s="171"/>
      <c r="T155" s="171"/>
      <c r="U155" s="171"/>
      <c r="V155" s="171"/>
      <c r="W155" s="171"/>
      <c r="X155" s="171"/>
      <c r="Y155" s="171"/>
      <c r="Z155" s="426"/>
      <c r="AA155" s="426"/>
      <c r="AB155" s="426"/>
      <c r="AC155" s="426"/>
      <c r="AD155" s="426"/>
      <c r="AE155" s="426"/>
      <c r="AF155" s="426"/>
      <c r="AG155" s="426"/>
      <c r="AH155" s="426"/>
      <c r="AI155" s="426"/>
      <c r="AJ155" s="426"/>
      <c r="AK155" s="171"/>
      <c r="AL155" s="171"/>
      <c r="AM155" s="448"/>
      <c r="AN155" s="448"/>
      <c r="AO155" s="448"/>
      <c r="AP155" s="448"/>
      <c r="AQ155" s="448"/>
      <c r="AR155" s="448"/>
      <c r="AS155" s="448"/>
      <c r="AT155" s="448"/>
      <c r="AU155" s="448"/>
      <c r="AV155" s="448"/>
      <c r="AW155" s="448"/>
      <c r="AX155" s="448"/>
      <c r="AY155" s="448"/>
      <c r="AZ155" s="448"/>
      <c r="BA155" s="448"/>
      <c r="BB155" s="448"/>
      <c r="BC155" s="448"/>
      <c r="BD155" s="448"/>
      <c r="BE155" s="448"/>
      <c r="BF155" s="448"/>
      <c r="BG155" s="448"/>
      <c r="BH155" s="448"/>
      <c r="BI155" s="448"/>
      <c r="BJ155" s="448"/>
      <c r="BK155" s="448"/>
      <c r="BL155" s="448"/>
      <c r="BM155" s="448"/>
      <c r="BN155" s="448"/>
      <c r="BO155" s="448"/>
      <c r="BP155" s="448"/>
      <c r="BQ155" s="448"/>
      <c r="BR155" s="448"/>
      <c r="BS155" s="448"/>
      <c r="BT155" s="448"/>
      <c r="BU155" s="448"/>
      <c r="BV155" s="426"/>
      <c r="BW155" s="430"/>
      <c r="BX155" s="430"/>
      <c r="BY155" s="430"/>
      <c r="BZ155" s="434"/>
      <c r="CA155" s="171"/>
      <c r="CB155" s="426"/>
      <c r="CC155" s="426"/>
      <c r="CD155" s="426"/>
      <c r="CE155" s="426"/>
      <c r="CF155" s="426"/>
      <c r="CG155" s="426"/>
    </row>
    <row r="156" spans="1:86" outlineLevel="1" x14ac:dyDescent="0.25">
      <c r="A156" s="431"/>
      <c r="B156" s="1345"/>
      <c r="C156" s="439" t="str">
        <f>$B$153&amp;" - "&amp;D156</f>
        <v>Maquinaria industrial - Biodiesel e Biogasolina</v>
      </c>
      <c r="D156" s="264" t="str">
        <f t="shared" si="13"/>
        <v>Biodiesel e Biogasolina</v>
      </c>
      <c r="E156" s="439" t="str">
        <f t="shared" si="8"/>
        <v>kg</v>
      </c>
      <c r="F156" s="563">
        <f t="shared" si="9"/>
        <v>1.9116</v>
      </c>
      <c r="G156" s="439" t="s">
        <v>634</v>
      </c>
      <c r="H156" s="562">
        <f t="shared" si="10"/>
        <v>8.6408369999999987E-9</v>
      </c>
      <c r="I156" s="439" t="s">
        <v>634</v>
      </c>
      <c r="J156" s="562">
        <f t="shared" si="11"/>
        <v>4.3739999999999996E-10</v>
      </c>
      <c r="K156" s="439" t="str">
        <f t="shared" si="12"/>
        <v>kg</v>
      </c>
      <c r="S156" s="431"/>
      <c r="T156" s="431"/>
      <c r="U156" s="431"/>
      <c r="V156" s="431"/>
      <c r="W156" s="431"/>
      <c r="X156" s="431"/>
      <c r="Y156" s="431"/>
      <c r="Z156" s="431"/>
      <c r="AA156" s="431"/>
      <c r="AB156" s="431"/>
      <c r="AC156" s="431"/>
      <c r="AD156" s="431"/>
      <c r="AE156" s="431"/>
      <c r="AF156" s="431"/>
      <c r="AG156" s="431"/>
      <c r="AH156" s="431"/>
      <c r="AI156" s="431"/>
      <c r="AJ156" s="431"/>
      <c r="AK156" s="431"/>
      <c r="AL156" s="431"/>
      <c r="AM156" s="431"/>
      <c r="AN156" s="431"/>
      <c r="AO156" s="431"/>
      <c r="AP156" s="431"/>
      <c r="AQ156" s="431"/>
      <c r="AR156" s="431"/>
      <c r="AS156" s="431"/>
      <c r="AT156" s="431"/>
      <c r="AU156" s="431"/>
      <c r="AV156" s="431"/>
      <c r="AW156" s="431"/>
      <c r="AX156" s="431"/>
      <c r="AY156" s="431"/>
      <c r="AZ156" s="431"/>
      <c r="BA156" s="431"/>
      <c r="BB156" s="431"/>
      <c r="BC156" s="431"/>
      <c r="BD156" s="431"/>
      <c r="BE156" s="431"/>
      <c r="BF156" s="431"/>
      <c r="BG156" s="431"/>
      <c r="BH156" s="431"/>
      <c r="BI156" s="431"/>
      <c r="BJ156" s="431"/>
      <c r="BK156" s="431"/>
      <c r="BL156" s="431"/>
      <c r="BM156" s="431"/>
      <c r="BN156" s="431"/>
      <c r="BO156" s="431"/>
      <c r="BP156" s="431"/>
      <c r="BQ156" s="431"/>
      <c r="BR156" s="431"/>
      <c r="BS156" s="431"/>
      <c r="BT156" s="431"/>
      <c r="BU156" s="431"/>
      <c r="BV156" s="431"/>
      <c r="BW156" s="434"/>
      <c r="BX156" s="434"/>
      <c r="BY156" s="434"/>
      <c r="BZ156" s="434"/>
      <c r="CA156" s="431"/>
      <c r="CB156" s="431"/>
      <c r="CC156" s="431"/>
      <c r="CD156" s="431"/>
      <c r="CE156" s="431"/>
      <c r="CF156" s="431"/>
      <c r="CG156" s="431"/>
    </row>
    <row r="157" spans="1:86" ht="21.4" customHeight="1" x14ac:dyDescent="0.25">
      <c r="A157" s="171"/>
      <c r="B157" s="171"/>
      <c r="C157" s="460"/>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row>
    <row r="158" spans="1:86" s="417" customFormat="1" ht="30" customHeight="1" x14ac:dyDescent="0.25">
      <c r="A158" s="742"/>
      <c r="B158" s="380" t="s">
        <v>767</v>
      </c>
      <c r="C158" s="413"/>
      <c r="D158" s="414"/>
      <c r="E158" s="414"/>
      <c r="F158" s="414"/>
      <c r="G158" s="414"/>
      <c r="H158" s="414"/>
      <c r="I158" s="414"/>
      <c r="J158" s="414"/>
      <c r="K158" s="414"/>
      <c r="L158" s="414"/>
      <c r="M158" s="414"/>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4"/>
      <c r="AY158" s="414"/>
      <c r="AZ158" s="414"/>
      <c r="BA158" s="414"/>
      <c r="BB158" s="414"/>
      <c r="BC158" s="414"/>
      <c r="BD158" s="414"/>
      <c r="BE158" s="414"/>
      <c r="BF158" s="414"/>
      <c r="BG158" s="414"/>
      <c r="BH158" s="414"/>
      <c r="BI158" s="414"/>
      <c r="BJ158" s="414"/>
      <c r="BK158" s="414"/>
      <c r="BL158" s="414"/>
      <c r="BM158" s="414"/>
      <c r="BN158" s="414"/>
      <c r="BO158" s="414"/>
      <c r="BP158" s="414"/>
      <c r="BQ158" s="414"/>
      <c r="BR158" s="414"/>
      <c r="BS158" s="414"/>
      <c r="BT158" s="414"/>
      <c r="BU158" s="414"/>
      <c r="BV158" s="414"/>
      <c r="BW158" s="414"/>
      <c r="BX158" s="415"/>
      <c r="BY158" s="415"/>
      <c r="BZ158" s="415"/>
      <c r="CA158" s="416"/>
    </row>
    <row r="159" spans="1:86" ht="21.4" customHeight="1" outlineLevel="1" x14ac:dyDescent="0.25">
      <c r="A159" s="171"/>
      <c r="B159" s="171"/>
      <c r="C159" s="460"/>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row>
    <row r="160" spans="1:86" ht="21.4" customHeight="1" outlineLevel="1" x14ac:dyDescent="0.25">
      <c r="A160" s="171"/>
      <c r="B160" s="165" t="s">
        <v>791</v>
      </c>
      <c r="C160" s="460"/>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row>
    <row r="161" spans="1:86" ht="21.4" customHeight="1" outlineLevel="1" x14ac:dyDescent="0.25">
      <c r="A161" s="171"/>
      <c r="B161" s="166" t="s">
        <v>664</v>
      </c>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row>
    <row r="162" spans="1:86" ht="25.9" customHeight="1" outlineLevel="1" x14ac:dyDescent="0.25">
      <c r="A162" s="171"/>
      <c r="B162" s="461" t="s">
        <v>239</v>
      </c>
      <c r="C162" s="462" t="s">
        <v>241</v>
      </c>
      <c r="D162" s="1324" t="s">
        <v>665</v>
      </c>
      <c r="E162" s="1325"/>
      <c r="F162" s="1321" t="s">
        <v>663</v>
      </c>
      <c r="G162" s="1321" t="s">
        <v>662</v>
      </c>
      <c r="H162" s="1321" t="s">
        <v>667</v>
      </c>
      <c r="I162" s="1321" t="s">
        <v>1048</v>
      </c>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1"/>
      <c r="CF162" s="171"/>
      <c r="CG162" s="171"/>
      <c r="CH162" s="171"/>
    </row>
    <row r="163" spans="1:86" ht="22.15" customHeight="1" outlineLevel="1" x14ac:dyDescent="0.25">
      <c r="A163" s="171"/>
      <c r="B163" s="463" t="s">
        <v>240</v>
      </c>
      <c r="C163" s="464" t="s">
        <v>666</v>
      </c>
      <c r="D163" s="465" t="s">
        <v>242</v>
      </c>
      <c r="E163" s="466" t="s">
        <v>244</v>
      </c>
      <c r="F163" s="1322"/>
      <c r="G163" s="1322"/>
      <c r="H163" s="1322"/>
      <c r="I163" s="1322"/>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1"/>
      <c r="CF163" s="171"/>
      <c r="CG163" s="171"/>
      <c r="CH163" s="171"/>
    </row>
    <row r="164" spans="1:86" ht="15" customHeight="1" outlineLevel="1" x14ac:dyDescent="0.25">
      <c r="A164" s="171"/>
      <c r="B164" s="467"/>
      <c r="C164" s="468"/>
      <c r="D164" s="469" t="s">
        <v>243</v>
      </c>
      <c r="E164" s="470" t="s">
        <v>245</v>
      </c>
      <c r="F164" s="471" t="s">
        <v>670</v>
      </c>
      <c r="G164" s="1323"/>
      <c r="H164" s="472" t="s">
        <v>634</v>
      </c>
      <c r="I164" s="1323"/>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row>
    <row r="165" spans="1:86" ht="35.450000000000003" customHeight="1" outlineLevel="1" x14ac:dyDescent="0.25">
      <c r="A165" s="171"/>
      <c r="B165" s="473" t="s">
        <v>182</v>
      </c>
      <c r="C165" s="474">
        <v>0.01</v>
      </c>
      <c r="D165" s="475">
        <v>5.0000000000000001E-3</v>
      </c>
      <c r="E165" s="476">
        <f>G165</f>
        <v>0.8</v>
      </c>
      <c r="F165" s="477">
        <f>0.7/2</f>
        <v>0.35</v>
      </c>
      <c r="G165" s="477">
        <v>0.8</v>
      </c>
      <c r="H165" s="265">
        <v>0.5</v>
      </c>
      <c r="I165" s="478">
        <v>150</v>
      </c>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row>
    <row r="166" spans="1:86" ht="35.450000000000003" customHeight="1" outlineLevel="1" x14ac:dyDescent="0.25">
      <c r="A166" s="171"/>
      <c r="B166" s="479" t="s">
        <v>183</v>
      </c>
      <c r="C166" s="474">
        <v>0.03</v>
      </c>
      <c r="D166" s="476">
        <v>0.15</v>
      </c>
      <c r="E166" s="476">
        <f t="shared" ref="E166:E173" si="14">G166</f>
        <v>0.8</v>
      </c>
      <c r="F166" s="477">
        <f>0.7/2</f>
        <v>0.35</v>
      </c>
      <c r="G166" s="477">
        <v>0.8</v>
      </c>
      <c r="H166" s="265">
        <v>6</v>
      </c>
      <c r="I166" s="478">
        <v>150</v>
      </c>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row>
    <row r="167" spans="1:86" ht="35.450000000000003" customHeight="1" outlineLevel="1" x14ac:dyDescent="0.25">
      <c r="A167" s="171"/>
      <c r="B167" s="479" t="s">
        <v>184</v>
      </c>
      <c r="C167" s="474">
        <v>0.03</v>
      </c>
      <c r="D167" s="476">
        <v>0.35</v>
      </c>
      <c r="E167" s="476">
        <f t="shared" si="14"/>
        <v>1</v>
      </c>
      <c r="F167" s="477">
        <f>0.7/2</f>
        <v>0.35</v>
      </c>
      <c r="G167" s="477">
        <v>1</v>
      </c>
      <c r="H167" s="265">
        <v>2000</v>
      </c>
      <c r="I167" s="478">
        <v>2500</v>
      </c>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row>
    <row r="168" spans="1:86" ht="35.450000000000003" customHeight="1" outlineLevel="1" x14ac:dyDescent="0.25">
      <c r="A168" s="171"/>
      <c r="B168" s="479" t="s">
        <v>185</v>
      </c>
      <c r="C168" s="474">
        <v>0.01</v>
      </c>
      <c r="D168" s="476">
        <v>0.5</v>
      </c>
      <c r="E168" s="476">
        <f t="shared" si="14"/>
        <v>0.5</v>
      </c>
      <c r="F168" s="477">
        <f>0.7/2</f>
        <v>0.35</v>
      </c>
      <c r="G168" s="477">
        <v>0.5</v>
      </c>
      <c r="H168" s="265">
        <v>8</v>
      </c>
      <c r="I168" s="478">
        <v>2500</v>
      </c>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row>
    <row r="169" spans="1:86" ht="35.450000000000003" customHeight="1" outlineLevel="1" x14ac:dyDescent="0.25">
      <c r="A169" s="171"/>
      <c r="B169" s="479" t="s">
        <v>186</v>
      </c>
      <c r="C169" s="474">
        <v>0.03</v>
      </c>
      <c r="D169" s="476">
        <v>0.25</v>
      </c>
      <c r="E169" s="476">
        <f t="shared" si="14"/>
        <v>1</v>
      </c>
      <c r="F169" s="477">
        <f>0.9/2</f>
        <v>0.45</v>
      </c>
      <c r="G169" s="477">
        <v>1</v>
      </c>
      <c r="H169" s="265">
        <v>10000</v>
      </c>
      <c r="I169" s="478">
        <v>150</v>
      </c>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row>
    <row r="170" spans="1:86" ht="35.450000000000003" customHeight="1" outlineLevel="1" x14ac:dyDescent="0.25">
      <c r="A170" s="171"/>
      <c r="B170" s="479" t="s">
        <v>885</v>
      </c>
      <c r="C170" s="474">
        <v>0.01</v>
      </c>
      <c r="D170" s="476">
        <v>0.15</v>
      </c>
      <c r="E170" s="476">
        <f t="shared" si="14"/>
        <v>1</v>
      </c>
      <c r="F170" s="477">
        <f>0.95/2</f>
        <v>0.47499999999999998</v>
      </c>
      <c r="G170" s="477">
        <v>1</v>
      </c>
      <c r="H170" s="265">
        <v>2000</v>
      </c>
      <c r="I170" s="478">
        <v>150</v>
      </c>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row>
    <row r="171" spans="1:86" ht="35.450000000000003" customHeight="1" outlineLevel="1" x14ac:dyDescent="0.25">
      <c r="A171" s="171"/>
      <c r="B171" s="479" t="s">
        <v>187</v>
      </c>
      <c r="C171" s="474">
        <v>0.01</v>
      </c>
      <c r="D171" s="476">
        <v>0.1</v>
      </c>
      <c r="E171" s="476">
        <f t="shared" si="14"/>
        <v>0.8</v>
      </c>
      <c r="F171" s="477">
        <f>0.8/2</f>
        <v>0.4</v>
      </c>
      <c r="G171" s="477">
        <v>0.8</v>
      </c>
      <c r="H171" s="265">
        <v>100</v>
      </c>
      <c r="I171" s="478">
        <v>150</v>
      </c>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171"/>
      <c r="CE171" s="171"/>
      <c r="CF171" s="171"/>
      <c r="CG171" s="171"/>
      <c r="CH171" s="171"/>
    </row>
    <row r="172" spans="1:86" ht="35.450000000000003" customHeight="1" outlineLevel="1" x14ac:dyDescent="0.25">
      <c r="A172" s="171"/>
      <c r="B172" s="480" t="s">
        <v>758</v>
      </c>
      <c r="C172" s="481">
        <v>5.0000000000000001E-3</v>
      </c>
      <c r="D172" s="476">
        <v>0.2</v>
      </c>
      <c r="E172" s="476">
        <f t="shared" si="14"/>
        <v>0.5</v>
      </c>
      <c r="F172" s="477">
        <f>0.5/2</f>
        <v>0.25</v>
      </c>
      <c r="G172" s="477">
        <v>0.5</v>
      </c>
      <c r="H172" s="265">
        <v>0.5</v>
      </c>
      <c r="I172" s="478">
        <f>E268</f>
        <v>1300</v>
      </c>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1"/>
      <c r="CF172" s="171"/>
      <c r="CG172" s="171"/>
      <c r="CH172" s="171"/>
    </row>
    <row r="173" spans="1:86" ht="35.450000000000003" customHeight="1" outlineLevel="1" x14ac:dyDescent="0.25">
      <c r="A173" s="171"/>
      <c r="B173" s="479" t="s">
        <v>188</v>
      </c>
      <c r="C173" s="481">
        <v>5.0000000000000001E-3</v>
      </c>
      <c r="D173" s="476">
        <v>0.2</v>
      </c>
      <c r="E173" s="476">
        <f t="shared" si="14"/>
        <v>0.5</v>
      </c>
      <c r="F173" s="477">
        <f>0.5/2</f>
        <v>0.25</v>
      </c>
      <c r="G173" s="477">
        <v>0.5</v>
      </c>
      <c r="H173" s="265">
        <v>1.5</v>
      </c>
      <c r="I173" s="478">
        <f>I172</f>
        <v>1300</v>
      </c>
      <c r="J173" s="171"/>
      <c r="K173" s="171"/>
      <c r="L173" s="171"/>
      <c r="M173" s="171"/>
      <c r="N173" s="171"/>
      <c r="O173" s="171"/>
      <c r="P173" s="171"/>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row>
    <row r="174" spans="1:86" ht="21.4" customHeight="1" outlineLevel="1" x14ac:dyDescent="0.25">
      <c r="A174" s="171"/>
      <c r="B174" s="166" t="s">
        <v>1049</v>
      </c>
      <c r="C174" s="460"/>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row>
    <row r="175" spans="1:86" ht="21.4" customHeight="1" outlineLevel="1" x14ac:dyDescent="0.25">
      <c r="A175" s="171"/>
      <c r="B175" s="171"/>
      <c r="C175" s="460"/>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1"/>
      <c r="BX175" s="171"/>
      <c r="BY175" s="171"/>
      <c r="BZ175" s="171"/>
      <c r="CA175" s="171"/>
      <c r="CB175" s="171"/>
      <c r="CC175" s="171"/>
      <c r="CD175" s="171"/>
      <c r="CE175" s="171"/>
      <c r="CF175" s="171"/>
      <c r="CG175" s="171"/>
      <c r="CH175" s="171"/>
    </row>
    <row r="176" spans="1:86" ht="21.4" customHeight="1" outlineLevel="1" x14ac:dyDescent="0.25">
      <c r="A176" s="171"/>
      <c r="B176" s="165" t="s">
        <v>793</v>
      </c>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c r="CB176" s="171"/>
      <c r="CC176" s="171"/>
      <c r="CD176" s="171"/>
      <c r="CE176" s="171"/>
      <c r="CF176" s="171"/>
      <c r="CG176" s="171"/>
      <c r="CH176" s="171"/>
    </row>
    <row r="177" spans="2:8" ht="16.5" outlineLevel="1" thickBot="1" x14ac:dyDescent="0.3">
      <c r="B177" s="482" t="s">
        <v>39</v>
      </c>
      <c r="C177" s="482" t="s">
        <v>792</v>
      </c>
      <c r="D177" s="482" t="s">
        <v>708</v>
      </c>
      <c r="E177" s="482" t="s">
        <v>709</v>
      </c>
      <c r="F177" s="482" t="s">
        <v>29</v>
      </c>
      <c r="G177" s="482" t="s">
        <v>193</v>
      </c>
      <c r="H177" s="482" t="s">
        <v>514</v>
      </c>
    </row>
    <row r="178" spans="2:8" ht="48" outlineLevel="1" thickTop="1" x14ac:dyDescent="0.25">
      <c r="B178" s="241" t="s">
        <v>710</v>
      </c>
      <c r="C178" s="483" t="s">
        <v>711</v>
      </c>
      <c r="D178" s="166" t="s">
        <v>712</v>
      </c>
      <c r="E178" s="484">
        <v>7.0000000000000007E-2</v>
      </c>
      <c r="F178" s="241" t="s">
        <v>325</v>
      </c>
      <c r="G178" s="736" t="s">
        <v>713</v>
      </c>
      <c r="H178" s="485" t="s">
        <v>714</v>
      </c>
    </row>
    <row r="179" spans="2:8" ht="47.25" outlineLevel="1" x14ac:dyDescent="0.25">
      <c r="B179" s="241" t="s">
        <v>710</v>
      </c>
      <c r="C179" s="483" t="s">
        <v>711</v>
      </c>
      <c r="D179" s="166" t="s">
        <v>715</v>
      </c>
      <c r="E179" s="484">
        <v>2E-3</v>
      </c>
      <c r="F179" s="241" t="s">
        <v>325</v>
      </c>
      <c r="G179" s="736" t="s">
        <v>716</v>
      </c>
      <c r="H179" s="485" t="s">
        <v>714</v>
      </c>
    </row>
    <row r="180" spans="2:8" ht="31.5" outlineLevel="1" x14ac:dyDescent="0.25">
      <c r="B180" s="241" t="s">
        <v>710</v>
      </c>
      <c r="C180" s="483" t="s">
        <v>711</v>
      </c>
      <c r="D180" s="166" t="s">
        <v>717</v>
      </c>
      <c r="E180" s="484">
        <v>0.93</v>
      </c>
      <c r="F180" s="241" t="s">
        <v>325</v>
      </c>
      <c r="G180" s="736" t="s">
        <v>718</v>
      </c>
      <c r="H180" s="485" t="s">
        <v>714</v>
      </c>
    </row>
    <row r="181" spans="2:8" outlineLevel="1" x14ac:dyDescent="0.25">
      <c r="B181" s="486" t="s">
        <v>710</v>
      </c>
      <c r="C181" s="487" t="s">
        <v>711</v>
      </c>
      <c r="D181" s="488" t="s">
        <v>719</v>
      </c>
      <c r="E181" s="486" t="s">
        <v>720</v>
      </c>
      <c r="F181" s="486" t="s">
        <v>721</v>
      </c>
      <c r="G181" s="737"/>
      <c r="H181" s="489" t="s">
        <v>714</v>
      </c>
    </row>
    <row r="182" spans="2:8" ht="47.25" outlineLevel="1" x14ac:dyDescent="0.25">
      <c r="B182" s="241" t="s">
        <v>710</v>
      </c>
      <c r="C182" s="483" t="s">
        <v>722</v>
      </c>
      <c r="D182" s="166" t="s">
        <v>712</v>
      </c>
      <c r="E182" s="484">
        <v>8.5000000000000006E-2</v>
      </c>
      <c r="F182" s="241" t="s">
        <v>325</v>
      </c>
      <c r="G182" s="736" t="s">
        <v>713</v>
      </c>
      <c r="H182" s="485" t="s">
        <v>723</v>
      </c>
    </row>
    <row r="183" spans="2:8" ht="47.25" outlineLevel="1" x14ac:dyDescent="0.25">
      <c r="B183" s="241" t="s">
        <v>710</v>
      </c>
      <c r="C183" s="483" t="s">
        <v>722</v>
      </c>
      <c r="D183" s="166" t="s">
        <v>715</v>
      </c>
      <c r="E183" s="484">
        <v>2.5999999999999999E-2</v>
      </c>
      <c r="F183" s="241" t="s">
        <v>325</v>
      </c>
      <c r="G183" s="736" t="s">
        <v>724</v>
      </c>
      <c r="H183" s="485" t="s">
        <v>723</v>
      </c>
    </row>
    <row r="184" spans="2:8" ht="31.5" outlineLevel="1" x14ac:dyDescent="0.25">
      <c r="B184" s="241" t="s">
        <v>710</v>
      </c>
      <c r="C184" s="483" t="s">
        <v>722</v>
      </c>
      <c r="D184" s="166" t="s">
        <v>717</v>
      </c>
      <c r="E184" s="484">
        <v>0.95</v>
      </c>
      <c r="F184" s="241" t="s">
        <v>325</v>
      </c>
      <c r="G184" s="736" t="s">
        <v>718</v>
      </c>
      <c r="H184" s="485" t="s">
        <v>723</v>
      </c>
    </row>
    <row r="185" spans="2:8" outlineLevel="1" x14ac:dyDescent="0.25">
      <c r="B185" s="486" t="s">
        <v>710</v>
      </c>
      <c r="C185" s="487" t="s">
        <v>722</v>
      </c>
      <c r="D185" s="488" t="s">
        <v>719</v>
      </c>
      <c r="E185" s="490" t="s">
        <v>720</v>
      </c>
      <c r="F185" s="486" t="s">
        <v>721</v>
      </c>
      <c r="G185" s="737"/>
      <c r="H185" s="489" t="s">
        <v>723</v>
      </c>
    </row>
    <row r="186" spans="2:8" ht="31.5" outlineLevel="1" x14ac:dyDescent="0.25">
      <c r="B186" s="241" t="s">
        <v>725</v>
      </c>
      <c r="C186" s="483" t="s">
        <v>726</v>
      </c>
      <c r="D186" s="166" t="s">
        <v>712</v>
      </c>
      <c r="E186" s="491">
        <v>0.04</v>
      </c>
      <c r="F186" s="241" t="s">
        <v>1028</v>
      </c>
      <c r="G186" s="736" t="s">
        <v>727</v>
      </c>
      <c r="H186" s="485" t="s">
        <v>728</v>
      </c>
    </row>
    <row r="187" spans="2:8" ht="31.5" outlineLevel="1" x14ac:dyDescent="0.25">
      <c r="B187" s="241" t="s">
        <v>710</v>
      </c>
      <c r="C187" s="483" t="s">
        <v>726</v>
      </c>
      <c r="D187" s="166" t="s">
        <v>712</v>
      </c>
      <c r="E187" s="491">
        <v>0.2</v>
      </c>
      <c r="F187" s="241" t="s">
        <v>1028</v>
      </c>
      <c r="G187" s="736" t="s">
        <v>727</v>
      </c>
      <c r="H187" s="485" t="s">
        <v>728</v>
      </c>
    </row>
    <row r="188" spans="2:8" ht="31.5" outlineLevel="1" x14ac:dyDescent="0.25">
      <c r="B188" s="241" t="s">
        <v>725</v>
      </c>
      <c r="C188" s="483" t="s">
        <v>729</v>
      </c>
      <c r="D188" s="166" t="s">
        <v>712</v>
      </c>
      <c r="E188" s="492">
        <v>0.9</v>
      </c>
      <c r="F188" s="241" t="s">
        <v>1029</v>
      </c>
      <c r="G188" s="736" t="s">
        <v>727</v>
      </c>
      <c r="H188" s="485" t="s">
        <v>728</v>
      </c>
    </row>
    <row r="189" spans="2:8" ht="31.5" outlineLevel="1" x14ac:dyDescent="0.25">
      <c r="B189" s="486" t="s">
        <v>710</v>
      </c>
      <c r="C189" s="487" t="s">
        <v>729</v>
      </c>
      <c r="D189" s="488" t="s">
        <v>712</v>
      </c>
      <c r="E189" s="493">
        <v>4</v>
      </c>
      <c r="F189" s="486" t="s">
        <v>1029</v>
      </c>
      <c r="G189" s="737" t="s">
        <v>727</v>
      </c>
      <c r="H189" s="489" t="s">
        <v>728</v>
      </c>
    </row>
    <row r="190" spans="2:8" ht="18" outlineLevel="1" x14ac:dyDescent="0.25">
      <c r="B190" s="241" t="s">
        <v>195</v>
      </c>
      <c r="C190" s="483" t="s">
        <v>730</v>
      </c>
      <c r="D190" s="166" t="s">
        <v>731</v>
      </c>
      <c r="E190" s="494">
        <v>3.98E-6</v>
      </c>
      <c r="F190" s="241" t="s">
        <v>1030</v>
      </c>
      <c r="G190" s="736"/>
      <c r="H190" s="485" t="s">
        <v>732</v>
      </c>
    </row>
    <row r="191" spans="2:8" ht="18" outlineLevel="1" x14ac:dyDescent="0.25">
      <c r="B191" s="241" t="s">
        <v>196</v>
      </c>
      <c r="C191" s="483" t="s">
        <v>730</v>
      </c>
      <c r="D191" s="166" t="s">
        <v>731</v>
      </c>
      <c r="E191" s="494">
        <v>4.5499999999999995E-4</v>
      </c>
      <c r="F191" s="241" t="s">
        <v>1031</v>
      </c>
      <c r="G191" s="736"/>
      <c r="H191" s="485" t="s">
        <v>732</v>
      </c>
    </row>
    <row r="192" spans="2:8" ht="18" outlineLevel="1" x14ac:dyDescent="0.25">
      <c r="B192" s="241" t="s">
        <v>197</v>
      </c>
      <c r="C192" s="483" t="s">
        <v>730</v>
      </c>
      <c r="D192" s="166" t="s">
        <v>731</v>
      </c>
      <c r="E192" s="494" t="s">
        <v>47</v>
      </c>
      <c r="F192" s="241" t="s">
        <v>1032</v>
      </c>
      <c r="G192" s="736"/>
      <c r="H192" s="485" t="s">
        <v>732</v>
      </c>
    </row>
    <row r="193" spans="2:8" ht="18.75" outlineLevel="1" thickBot="1" x14ac:dyDescent="0.3">
      <c r="B193" s="495" t="s">
        <v>733</v>
      </c>
      <c r="C193" s="496" t="s">
        <v>730</v>
      </c>
      <c r="D193" s="497" t="s">
        <v>731</v>
      </c>
      <c r="E193" s="498">
        <f>E190*1+E191*28</f>
        <v>1.2743979999999999E-2</v>
      </c>
      <c r="F193" s="495" t="s">
        <v>1033</v>
      </c>
      <c r="G193" s="738"/>
      <c r="H193" s="499"/>
    </row>
    <row r="194" spans="2:8" ht="18.75" outlineLevel="1" thickTop="1" x14ac:dyDescent="0.25">
      <c r="B194" s="241" t="s">
        <v>195</v>
      </c>
      <c r="C194" s="483" t="s">
        <v>730</v>
      </c>
      <c r="D194" s="166" t="s">
        <v>734</v>
      </c>
      <c r="E194" s="494">
        <v>1.1000000000000001E-7</v>
      </c>
      <c r="F194" s="241" t="s">
        <v>1030</v>
      </c>
      <c r="G194" s="736"/>
      <c r="H194" s="485" t="s">
        <v>732</v>
      </c>
    </row>
    <row r="195" spans="2:8" ht="18" outlineLevel="1" x14ac:dyDescent="0.25">
      <c r="B195" s="241" t="s">
        <v>196</v>
      </c>
      <c r="C195" s="483" t="s">
        <v>730</v>
      </c>
      <c r="D195" s="166" t="s">
        <v>734</v>
      </c>
      <c r="E195" s="494">
        <v>2.5000000000000001E-5</v>
      </c>
      <c r="F195" s="241" t="s">
        <v>1031</v>
      </c>
      <c r="G195" s="736"/>
      <c r="H195" s="485" t="s">
        <v>732</v>
      </c>
    </row>
    <row r="196" spans="2:8" ht="18" outlineLevel="1" x14ac:dyDescent="0.25">
      <c r="B196" s="241" t="s">
        <v>197</v>
      </c>
      <c r="C196" s="483" t="s">
        <v>730</v>
      </c>
      <c r="D196" s="166" t="s">
        <v>734</v>
      </c>
      <c r="E196" s="494" t="s">
        <v>47</v>
      </c>
      <c r="F196" s="241" t="s">
        <v>1032</v>
      </c>
      <c r="G196" s="736"/>
      <c r="H196" s="485" t="s">
        <v>732</v>
      </c>
    </row>
    <row r="197" spans="2:8" ht="18.75" outlineLevel="1" thickBot="1" x14ac:dyDescent="0.3">
      <c r="B197" s="495" t="s">
        <v>733</v>
      </c>
      <c r="C197" s="496" t="s">
        <v>730</v>
      </c>
      <c r="D197" s="497" t="s">
        <v>734</v>
      </c>
      <c r="E197" s="498">
        <f>E194*1+E195*28</f>
        <v>7.0010999999999999E-4</v>
      </c>
      <c r="F197" s="495" t="s">
        <v>1033</v>
      </c>
      <c r="G197" s="738"/>
      <c r="H197" s="499"/>
    </row>
    <row r="198" spans="2:8" ht="18.75" outlineLevel="1" thickTop="1" x14ac:dyDescent="0.25">
      <c r="B198" s="241" t="s">
        <v>195</v>
      </c>
      <c r="C198" s="483" t="s">
        <v>730</v>
      </c>
      <c r="D198" s="166" t="s">
        <v>735</v>
      </c>
      <c r="E198" s="494">
        <v>5.1E-5</v>
      </c>
      <c r="F198" s="241" t="s">
        <v>1030</v>
      </c>
      <c r="G198" s="736"/>
      <c r="H198" s="485" t="s">
        <v>732</v>
      </c>
    </row>
    <row r="199" spans="2:8" ht="18" outlineLevel="1" x14ac:dyDescent="0.25">
      <c r="B199" s="241" t="s">
        <v>196</v>
      </c>
      <c r="C199" s="483" t="s">
        <v>730</v>
      </c>
      <c r="D199" s="166" t="s">
        <v>735</v>
      </c>
      <c r="E199" s="494">
        <v>1.2999999999999999E-3</v>
      </c>
      <c r="F199" s="241" t="s">
        <v>1031</v>
      </c>
      <c r="G199" s="736"/>
      <c r="H199" s="485" t="s">
        <v>732</v>
      </c>
    </row>
    <row r="200" spans="2:8" ht="18" outlineLevel="1" x14ac:dyDescent="0.25">
      <c r="B200" s="241" t="s">
        <v>197</v>
      </c>
      <c r="C200" s="483" t="s">
        <v>730</v>
      </c>
      <c r="D200" s="166" t="s">
        <v>735</v>
      </c>
      <c r="E200" s="494" t="s">
        <v>47</v>
      </c>
      <c r="F200" s="241" t="s">
        <v>1032</v>
      </c>
      <c r="G200" s="736"/>
      <c r="H200" s="485" t="s">
        <v>732</v>
      </c>
    </row>
    <row r="201" spans="2:8" ht="18" outlineLevel="1" x14ac:dyDescent="0.25">
      <c r="B201" s="665" t="s">
        <v>733</v>
      </c>
      <c r="C201" s="666" t="s">
        <v>730</v>
      </c>
      <c r="D201" s="667" t="s">
        <v>735</v>
      </c>
      <c r="E201" s="668">
        <f>E198*1+E199*28</f>
        <v>3.6451000000000004E-2</v>
      </c>
      <c r="F201" s="665" t="s">
        <v>1033</v>
      </c>
      <c r="G201" s="739"/>
      <c r="H201" s="669"/>
    </row>
    <row r="202" spans="2:8" s="168" customFormat="1" ht="63" outlineLevel="1" x14ac:dyDescent="0.25">
      <c r="B202" s="1056" t="s">
        <v>195</v>
      </c>
      <c r="C202" s="1057" t="s">
        <v>1325</v>
      </c>
      <c r="D202" s="1058" t="s">
        <v>1326</v>
      </c>
      <c r="E202" s="1059">
        <v>2.19</v>
      </c>
      <c r="F202" s="1056" t="s">
        <v>1327</v>
      </c>
      <c r="G202" s="1060" t="s">
        <v>1328</v>
      </c>
      <c r="H202" s="1061" t="s">
        <v>1329</v>
      </c>
    </row>
    <row r="203" spans="2:8" s="168" customFormat="1" ht="18" outlineLevel="1" x14ac:dyDescent="0.25">
      <c r="B203" s="1062" t="s">
        <v>1314</v>
      </c>
      <c r="C203" s="1063" t="s">
        <v>1361</v>
      </c>
      <c r="D203" s="1064" t="s">
        <v>1326</v>
      </c>
      <c r="E203" s="1065">
        <f>0.9184*E258</f>
        <v>25.715199999999999</v>
      </c>
      <c r="F203" s="1062" t="s">
        <v>1684</v>
      </c>
      <c r="G203" s="1066"/>
      <c r="H203" s="1063" t="s">
        <v>1368</v>
      </c>
    </row>
    <row r="204" spans="2:8" s="168" customFormat="1" ht="18" outlineLevel="1" x14ac:dyDescent="0.25">
      <c r="B204" s="1056" t="s">
        <v>1314</v>
      </c>
      <c r="C204" s="1057" t="s">
        <v>1362</v>
      </c>
      <c r="D204" s="1058" t="s">
        <v>1326</v>
      </c>
      <c r="E204" s="1067">
        <f>0.3673*E258</f>
        <v>10.2844</v>
      </c>
      <c r="F204" s="1056" t="s">
        <v>1684</v>
      </c>
      <c r="G204" s="1060"/>
      <c r="H204" s="1057" t="s">
        <v>1368</v>
      </c>
    </row>
    <row r="205" spans="2:8" s="168" customFormat="1" ht="18" outlineLevel="1" x14ac:dyDescent="0.25">
      <c r="B205" s="1068" t="s">
        <v>1314</v>
      </c>
      <c r="C205" s="1069" t="s">
        <v>1363</v>
      </c>
      <c r="D205" s="734" t="s">
        <v>1326</v>
      </c>
      <c r="E205" s="1070">
        <f>0.001476*'Fatores de Emissão'!E258</f>
        <v>4.1328000000000004E-2</v>
      </c>
      <c r="F205" s="1068" t="s">
        <v>1685</v>
      </c>
      <c r="G205" s="907"/>
      <c r="H205" s="1069" t="s">
        <v>1368</v>
      </c>
    </row>
    <row r="206" spans="2:8" s="168" customFormat="1" ht="18" outlineLevel="1" x14ac:dyDescent="0.25">
      <c r="B206" s="1056" t="s">
        <v>1314</v>
      </c>
      <c r="C206" s="1057" t="s">
        <v>1364</v>
      </c>
      <c r="D206" s="1058" t="s">
        <v>1326</v>
      </c>
      <c r="E206" s="1059">
        <f>0.001476*'Fatores de Emissão'!E258</f>
        <v>4.1328000000000004E-2</v>
      </c>
      <c r="F206" s="1056" t="s">
        <v>1685</v>
      </c>
      <c r="G206" s="1060"/>
      <c r="H206" s="1057" t="s">
        <v>1368</v>
      </c>
    </row>
    <row r="207" spans="2:8" s="168" customFormat="1" ht="47.25" outlineLevel="1" x14ac:dyDescent="0.25">
      <c r="B207" s="1071" t="s">
        <v>1314</v>
      </c>
      <c r="C207" s="1072" t="s">
        <v>1369</v>
      </c>
      <c r="D207" s="1073" t="s">
        <v>1370</v>
      </c>
      <c r="E207" s="1074">
        <f>0.0393+(7.7+1.13)*'Fatores de Emissão'!E41</f>
        <v>394.74030000000005</v>
      </c>
      <c r="F207" s="1071" t="s">
        <v>1367</v>
      </c>
      <c r="G207" s="1075" t="s">
        <v>1371</v>
      </c>
      <c r="H207" s="1072" t="s">
        <v>1368</v>
      </c>
    </row>
    <row r="208" spans="2:8" s="168" customFormat="1" outlineLevel="1" x14ac:dyDescent="0.25">
      <c r="E208" s="663"/>
      <c r="F208" s="661"/>
      <c r="G208" s="662"/>
      <c r="H208" s="664"/>
    </row>
    <row r="209" spans="1:86" s="168" customFormat="1" outlineLevel="1" x14ac:dyDescent="0.25">
      <c r="B209" s="661"/>
      <c r="C209" s="662"/>
      <c r="E209" s="663"/>
      <c r="F209" s="661"/>
      <c r="G209" s="662"/>
      <c r="H209" s="664"/>
    </row>
    <row r="210" spans="1:86" s="168" customFormat="1" outlineLevel="1" x14ac:dyDescent="0.25">
      <c r="B210" s="661"/>
      <c r="C210" s="662"/>
      <c r="E210" s="663"/>
      <c r="F210" s="661"/>
      <c r="G210" s="662"/>
      <c r="H210" s="664"/>
    </row>
    <row r="211" spans="1:86" s="168" customFormat="1" outlineLevel="1" x14ac:dyDescent="0.25">
      <c r="B211" s="661"/>
      <c r="C211" s="662"/>
      <c r="E211" s="663"/>
      <c r="F211" s="661"/>
      <c r="G211" s="662"/>
      <c r="H211" s="664"/>
    </row>
    <row r="212" spans="1:86" s="168" customFormat="1" outlineLevel="1" x14ac:dyDescent="0.25">
      <c r="B212" s="661"/>
      <c r="C212" s="662"/>
      <c r="E212" s="663"/>
      <c r="F212" s="661"/>
      <c r="G212" s="662"/>
      <c r="H212" s="664"/>
    </row>
    <row r="215" spans="1:86" s="417" customFormat="1" ht="30" customHeight="1" x14ac:dyDescent="0.25">
      <c r="A215" s="742"/>
      <c r="B215" s="380" t="s">
        <v>794</v>
      </c>
      <c r="C215" s="413"/>
      <c r="D215" s="414"/>
      <c r="E215" s="414"/>
      <c r="F215" s="414"/>
      <c r="G215" s="414"/>
      <c r="H215" s="414"/>
      <c r="I215" s="414"/>
      <c r="J215" s="414"/>
      <c r="K215" s="414"/>
      <c r="L215" s="414"/>
      <c r="M215" s="414"/>
      <c r="N215" s="414"/>
      <c r="O215" s="414"/>
      <c r="P215" s="414"/>
      <c r="Q215" s="414"/>
      <c r="R215" s="414"/>
      <c r="S215" s="414"/>
      <c r="T215" s="414"/>
      <c r="U215" s="414"/>
      <c r="V215" s="414"/>
      <c r="W215" s="414"/>
      <c r="X215" s="414"/>
      <c r="Y215" s="414"/>
      <c r="Z215" s="414"/>
      <c r="AA215" s="414"/>
      <c r="AB215" s="414"/>
      <c r="AC215" s="414"/>
      <c r="AD215" s="414"/>
      <c r="AE215" s="414"/>
      <c r="AF215" s="414"/>
      <c r="AG215" s="414"/>
      <c r="AH215" s="414"/>
      <c r="AI215" s="414"/>
      <c r="AJ215" s="414"/>
      <c r="AK215" s="414"/>
      <c r="AL215" s="414"/>
      <c r="AM215" s="414"/>
      <c r="AN215" s="414"/>
      <c r="AO215" s="414"/>
      <c r="AP215" s="414"/>
      <c r="AQ215" s="414"/>
      <c r="AR215" s="414"/>
      <c r="AS215" s="414"/>
      <c r="AT215" s="414"/>
      <c r="AU215" s="414"/>
      <c r="AV215" s="414"/>
      <c r="AW215" s="414"/>
      <c r="AX215" s="414"/>
      <c r="AY215" s="414"/>
      <c r="AZ215" s="414"/>
      <c r="BA215" s="414"/>
      <c r="BB215" s="414"/>
      <c r="BC215" s="414"/>
      <c r="BD215" s="414"/>
      <c r="BE215" s="414"/>
      <c r="BF215" s="414"/>
      <c r="BG215" s="414"/>
      <c r="BH215" s="414"/>
      <c r="BI215" s="414"/>
      <c r="BJ215" s="414"/>
      <c r="BK215" s="414"/>
      <c r="BL215" s="414"/>
      <c r="BM215" s="414"/>
      <c r="BN215" s="414"/>
      <c r="BO215" s="414"/>
      <c r="BP215" s="414"/>
      <c r="BQ215" s="414"/>
      <c r="BR215" s="414"/>
      <c r="BS215" s="414"/>
      <c r="BT215" s="414"/>
      <c r="BU215" s="414"/>
      <c r="BV215" s="414"/>
      <c r="BW215" s="414"/>
      <c r="BX215" s="415"/>
      <c r="BY215" s="415"/>
      <c r="BZ215" s="415"/>
      <c r="CA215" s="416"/>
    </row>
    <row r="216" spans="1:86" ht="21.4" customHeight="1" outlineLevel="1" x14ac:dyDescent="0.25">
      <c r="A216" s="171"/>
      <c r="B216" s="171"/>
      <c r="C216" s="460"/>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c r="BA216" s="171"/>
      <c r="BB216" s="171"/>
      <c r="BC216" s="171"/>
      <c r="BD216" s="171"/>
      <c r="BE216" s="171"/>
      <c r="BF216" s="171"/>
      <c r="BG216" s="171"/>
      <c r="BH216" s="171"/>
      <c r="BI216" s="171"/>
      <c r="BJ216" s="171"/>
      <c r="BK216" s="171"/>
      <c r="BL216" s="171"/>
      <c r="BM216" s="171"/>
      <c r="BN216" s="171"/>
      <c r="BO216" s="171"/>
      <c r="BP216" s="171"/>
      <c r="BQ216" s="171"/>
      <c r="BR216" s="171"/>
      <c r="BS216" s="171"/>
      <c r="BT216" s="171"/>
      <c r="BU216" s="171"/>
      <c r="BV216" s="171"/>
      <c r="BW216" s="171"/>
      <c r="BX216" s="171"/>
      <c r="BY216" s="171"/>
      <c r="BZ216" s="171"/>
      <c r="CA216" s="171"/>
      <c r="CB216" s="171"/>
      <c r="CC216" s="171"/>
      <c r="CD216" s="171"/>
      <c r="CE216" s="171"/>
      <c r="CF216" s="171"/>
      <c r="CG216" s="171"/>
      <c r="CH216" s="171"/>
    </row>
    <row r="217" spans="1:86" ht="21.4" customHeight="1" outlineLevel="1" x14ac:dyDescent="0.25">
      <c r="A217" s="171"/>
      <c r="B217" s="529" t="s">
        <v>768</v>
      </c>
      <c r="C217" s="219" t="s">
        <v>769</v>
      </c>
      <c r="D217" s="529" t="s">
        <v>832</v>
      </c>
      <c r="E217" s="529" t="s">
        <v>964</v>
      </c>
      <c r="F217" s="529" t="s">
        <v>1144</v>
      </c>
      <c r="G217" s="529" t="s">
        <v>514</v>
      </c>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c r="AX217" s="171"/>
      <c r="AY217" s="171"/>
      <c r="AZ217" s="171"/>
      <c r="BA217" s="171"/>
      <c r="BB217" s="171"/>
      <c r="BC217" s="171"/>
      <c r="BD217" s="171"/>
      <c r="BE217" s="171"/>
      <c r="BF217" s="171"/>
      <c r="BG217" s="171"/>
      <c r="BH217" s="171"/>
      <c r="BI217" s="171"/>
      <c r="BJ217" s="171"/>
      <c r="BK217" s="171"/>
      <c r="BL217" s="171"/>
      <c r="BM217" s="171"/>
      <c r="BN217" s="171"/>
      <c r="BO217" s="171"/>
      <c r="BP217" s="171"/>
      <c r="BQ217" s="171"/>
      <c r="BR217" s="171"/>
      <c r="BS217" s="171"/>
      <c r="BT217" s="171"/>
      <c r="BU217" s="171"/>
      <c r="BV217" s="171"/>
      <c r="BW217" s="171"/>
      <c r="BX217" s="171"/>
      <c r="BY217" s="171"/>
      <c r="BZ217" s="171"/>
      <c r="CA217" s="171"/>
      <c r="CB217" s="171"/>
      <c r="CC217" s="171"/>
      <c r="CD217" s="171"/>
      <c r="CE217" s="171"/>
      <c r="CF217" s="171"/>
      <c r="CG217" s="171"/>
      <c r="CH217" s="171"/>
    </row>
    <row r="218" spans="1:86" ht="21.4" customHeight="1" outlineLevel="1" x14ac:dyDescent="0.25">
      <c r="A218" s="171"/>
      <c r="B218" s="530" t="s">
        <v>770</v>
      </c>
      <c r="C218" s="531">
        <v>0.51453247183284423</v>
      </c>
      <c r="D218" s="532" t="str">
        <f t="shared" ref="D218:D225" si="15">"kg CO2e / "&amp;F218</f>
        <v>kg CO2e / toneladas de clínquer</v>
      </c>
      <c r="E218" s="532" t="s">
        <v>965</v>
      </c>
      <c r="F218" s="532" t="s">
        <v>1660</v>
      </c>
      <c r="G218" s="533" t="s">
        <v>1687</v>
      </c>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171"/>
      <c r="CF218" s="171"/>
      <c r="CG218" s="171"/>
      <c r="CH218" s="171"/>
    </row>
    <row r="219" spans="1:86" ht="21.4" customHeight="1" outlineLevel="1" x14ac:dyDescent="0.25">
      <c r="A219" s="171"/>
      <c r="B219" s="530" t="s">
        <v>771</v>
      </c>
      <c r="C219" s="531">
        <v>0.68296562113745141</v>
      </c>
      <c r="D219" s="532" t="str">
        <f t="shared" si="15"/>
        <v>kg CO2e / toneladas de cal</v>
      </c>
      <c r="E219" s="532" t="s">
        <v>966</v>
      </c>
      <c r="F219" s="532" t="s">
        <v>1661</v>
      </c>
      <c r="G219" s="533" t="s">
        <v>1687</v>
      </c>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c r="AW219" s="171"/>
      <c r="AX219" s="171"/>
      <c r="AY219" s="171"/>
      <c r="AZ219" s="171"/>
      <c r="BA219" s="171"/>
      <c r="BB219" s="171"/>
      <c r="BC219" s="171"/>
      <c r="BD219" s="171"/>
      <c r="BE219" s="171"/>
      <c r="BF219" s="171"/>
      <c r="BG219" s="171"/>
      <c r="BH219" s="171"/>
      <c r="BI219" s="171"/>
      <c r="BJ219" s="171"/>
      <c r="BK219" s="171"/>
      <c r="BL219" s="171"/>
      <c r="BM219" s="171"/>
      <c r="BN219" s="171"/>
      <c r="BO219" s="171"/>
      <c r="BP219" s="171"/>
      <c r="BQ219" s="171"/>
      <c r="BR219" s="171"/>
      <c r="BS219" s="171"/>
      <c r="BT219" s="171"/>
      <c r="BU219" s="171"/>
      <c r="BV219" s="171"/>
      <c r="BW219" s="171"/>
      <c r="BX219" s="171"/>
      <c r="BY219" s="171"/>
      <c r="BZ219" s="171"/>
      <c r="CA219" s="171"/>
      <c r="CB219" s="171"/>
      <c r="CC219" s="171"/>
      <c r="CD219" s="171"/>
      <c r="CE219" s="171"/>
      <c r="CF219" s="171"/>
      <c r="CG219" s="171"/>
      <c r="CH219" s="171"/>
    </row>
    <row r="220" spans="1:86" ht="21.4" customHeight="1" outlineLevel="1" x14ac:dyDescent="0.25">
      <c r="A220" s="171"/>
      <c r="B220" s="530" t="s">
        <v>772</v>
      </c>
      <c r="C220" s="531">
        <v>8.8304228737939222E-2</v>
      </c>
      <c r="D220" s="532" t="str">
        <f t="shared" si="15"/>
        <v>kg CO2e / toneladas de vidro</v>
      </c>
      <c r="E220" s="532" t="s">
        <v>967</v>
      </c>
      <c r="F220" s="532" t="s">
        <v>1662</v>
      </c>
      <c r="G220" s="533" t="s">
        <v>1687</v>
      </c>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c r="BA220" s="171"/>
      <c r="BB220" s="171"/>
      <c r="BC220" s="171"/>
      <c r="BD220" s="171"/>
      <c r="BE220" s="171"/>
      <c r="BF220" s="171"/>
      <c r="BG220" s="171"/>
      <c r="BH220" s="171"/>
      <c r="BI220" s="171"/>
      <c r="BJ220" s="171"/>
      <c r="BK220" s="171"/>
      <c r="BL220" s="171"/>
      <c r="BM220" s="171"/>
      <c r="BN220" s="171"/>
      <c r="BO220" s="171"/>
      <c r="BP220" s="171"/>
      <c r="BQ220" s="171"/>
      <c r="BR220" s="171"/>
      <c r="BS220" s="171"/>
      <c r="BT220" s="171"/>
      <c r="BU220" s="171"/>
      <c r="BV220" s="171"/>
      <c r="BW220" s="171"/>
      <c r="BX220" s="171"/>
      <c r="BY220" s="171"/>
      <c r="BZ220" s="171"/>
      <c r="CA220" s="171"/>
      <c r="CB220" s="171"/>
      <c r="CC220" s="171"/>
      <c r="CD220" s="171"/>
      <c r="CE220" s="171"/>
      <c r="CF220" s="171"/>
      <c r="CG220" s="171"/>
      <c r="CH220" s="171"/>
    </row>
    <row r="221" spans="1:86" ht="21.4" customHeight="1" outlineLevel="1" x14ac:dyDescent="0.25">
      <c r="A221" s="171"/>
      <c r="B221" s="530" t="s">
        <v>773</v>
      </c>
      <c r="C221" s="531">
        <v>26.577798378660646</v>
      </c>
      <c r="D221" s="532" t="str">
        <f t="shared" si="15"/>
        <v>kg CO2e / toneladas de carbonatos consumidos</v>
      </c>
      <c r="E221" s="532" t="s">
        <v>1145</v>
      </c>
      <c r="F221" s="532" t="s">
        <v>1663</v>
      </c>
      <c r="G221" s="533" t="s">
        <v>1687</v>
      </c>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1"/>
      <c r="AZ221" s="171"/>
      <c r="BA221" s="171"/>
      <c r="BB221" s="171"/>
      <c r="BC221" s="171"/>
      <c r="BD221" s="171"/>
      <c r="BE221" s="171"/>
      <c r="BF221" s="171"/>
      <c r="BG221" s="171"/>
      <c r="BH221" s="171"/>
      <c r="BI221" s="171"/>
      <c r="BJ221" s="171"/>
      <c r="BK221" s="171"/>
      <c r="BL221" s="171"/>
      <c r="BM221" s="171"/>
      <c r="BN221" s="171"/>
      <c r="BO221" s="171"/>
      <c r="BP221" s="171"/>
      <c r="BQ221" s="171"/>
      <c r="BR221" s="171"/>
      <c r="BS221" s="171"/>
      <c r="BT221" s="171"/>
      <c r="BU221" s="171"/>
      <c r="BV221" s="171"/>
      <c r="BW221" s="171"/>
      <c r="BX221" s="171"/>
      <c r="BY221" s="171"/>
      <c r="BZ221" s="171"/>
      <c r="CA221" s="171"/>
      <c r="CB221" s="171"/>
      <c r="CC221" s="171"/>
      <c r="CD221" s="171"/>
      <c r="CE221" s="171"/>
      <c r="CF221" s="171"/>
      <c r="CG221" s="171"/>
      <c r="CH221" s="171"/>
    </row>
    <row r="222" spans="1:86" ht="21.4" customHeight="1" outlineLevel="1" x14ac:dyDescent="0.25">
      <c r="A222" s="171"/>
      <c r="B222" s="530" t="s">
        <v>774</v>
      </c>
      <c r="C222" s="531">
        <v>96.255443240522112</v>
      </c>
      <c r="D222" s="532" t="str">
        <f t="shared" si="15"/>
        <v>kg CO2e / toneladas de ácido nítrico</v>
      </c>
      <c r="E222" s="532" t="s">
        <v>968</v>
      </c>
      <c r="F222" s="532" t="s">
        <v>1664</v>
      </c>
      <c r="G222" s="533" t="s">
        <v>1687</v>
      </c>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c r="AX222" s="171"/>
      <c r="AY222" s="171"/>
      <c r="AZ222" s="171"/>
      <c r="BA222" s="171"/>
      <c r="BB222" s="171"/>
      <c r="BC222" s="171"/>
      <c r="BD222" s="171"/>
      <c r="BE222" s="171"/>
      <c r="BF222" s="171"/>
      <c r="BG222" s="171"/>
      <c r="BH222" s="171"/>
      <c r="BI222" s="171"/>
      <c r="BJ222" s="171"/>
      <c r="BK222" s="171"/>
      <c r="BL222" s="171"/>
      <c r="BM222" s="171"/>
      <c r="BN222" s="171"/>
      <c r="BO222" s="171"/>
      <c r="BP222" s="171"/>
      <c r="BQ222" s="171"/>
      <c r="BR222" s="171"/>
      <c r="BS222" s="171"/>
      <c r="BT222" s="171"/>
      <c r="BU222" s="171"/>
      <c r="BV222" s="171"/>
      <c r="BW222" s="171"/>
      <c r="BX222" s="171"/>
      <c r="BY222" s="171"/>
      <c r="BZ222" s="171"/>
      <c r="CA222" s="171"/>
      <c r="CB222" s="171"/>
      <c r="CC222" s="171"/>
      <c r="CD222" s="171"/>
      <c r="CE222" s="171"/>
      <c r="CF222" s="171"/>
      <c r="CG222" s="171"/>
      <c r="CH222" s="171"/>
    </row>
    <row r="223" spans="1:86" ht="21.4" customHeight="1" outlineLevel="1" x14ac:dyDescent="0.25">
      <c r="A223" s="171"/>
      <c r="B223" s="530" t="s">
        <v>775</v>
      </c>
      <c r="C223" s="531">
        <v>1.73</v>
      </c>
      <c r="D223" s="532" t="str">
        <f t="shared" si="15"/>
        <v>kg CO2e / toneladas de etileno</v>
      </c>
      <c r="E223" s="532" t="s">
        <v>969</v>
      </c>
      <c r="F223" s="532" t="s">
        <v>1665</v>
      </c>
      <c r="G223" s="533" t="s">
        <v>776</v>
      </c>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c r="AX223" s="171"/>
      <c r="AY223" s="171"/>
      <c r="AZ223" s="171"/>
      <c r="BA223" s="171"/>
      <c r="BB223" s="171"/>
      <c r="BC223" s="171"/>
      <c r="BD223" s="171"/>
      <c r="BE223" s="171"/>
      <c r="BF223" s="171"/>
      <c r="BG223" s="171"/>
      <c r="BH223" s="171"/>
      <c r="BI223" s="171"/>
      <c r="BJ223" s="171"/>
      <c r="BK223" s="171"/>
      <c r="BL223" s="171"/>
      <c r="BM223" s="171"/>
      <c r="BN223" s="171"/>
      <c r="BO223" s="171"/>
      <c r="BP223" s="171"/>
      <c r="BQ223" s="171"/>
      <c r="BR223" s="171"/>
      <c r="BS223" s="171"/>
      <c r="BT223" s="171"/>
      <c r="BU223" s="171"/>
      <c r="BV223" s="171"/>
      <c r="BW223" s="171"/>
      <c r="BX223" s="171"/>
      <c r="BY223" s="171"/>
      <c r="BZ223" s="171"/>
      <c r="CA223" s="171"/>
      <c r="CB223" s="171"/>
      <c r="CC223" s="171"/>
      <c r="CD223" s="171"/>
      <c r="CE223" s="171"/>
      <c r="CF223" s="171"/>
      <c r="CG223" s="171"/>
      <c r="CH223" s="171"/>
    </row>
    <row r="224" spans="1:86" ht="21.4" customHeight="1" outlineLevel="1" x14ac:dyDescent="0.25">
      <c r="A224" s="171"/>
      <c r="B224" s="530" t="s">
        <v>777</v>
      </c>
      <c r="C224" s="531">
        <v>3.4417139239534635E-2</v>
      </c>
      <c r="D224" s="532" t="str">
        <f t="shared" si="15"/>
        <v>kg CO2e / toneladas de aço</v>
      </c>
      <c r="E224" s="532" t="s">
        <v>970</v>
      </c>
      <c r="F224" s="532" t="s">
        <v>1666</v>
      </c>
      <c r="G224" s="533" t="s">
        <v>1687</v>
      </c>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c r="AX224" s="171"/>
      <c r="AY224" s="171"/>
      <c r="AZ224" s="171"/>
      <c r="BA224" s="171"/>
      <c r="BB224" s="171"/>
      <c r="BC224" s="171"/>
      <c r="BD224" s="171"/>
      <c r="BE224" s="171"/>
      <c r="BF224" s="171"/>
      <c r="BG224" s="171"/>
      <c r="BH224" s="171"/>
      <c r="BI224" s="171"/>
      <c r="BJ224" s="171"/>
      <c r="BK224" s="171"/>
      <c r="BL224" s="171"/>
      <c r="BM224" s="171"/>
      <c r="BN224" s="171"/>
      <c r="BO224" s="171"/>
      <c r="BP224" s="171"/>
      <c r="BQ224" s="171"/>
      <c r="BR224" s="171"/>
      <c r="BS224" s="171"/>
      <c r="BT224" s="171"/>
      <c r="BU224" s="171"/>
      <c r="BV224" s="171"/>
      <c r="BW224" s="171"/>
      <c r="BX224" s="171"/>
      <c r="BY224" s="171"/>
      <c r="BZ224" s="171"/>
      <c r="CA224" s="171"/>
      <c r="CB224" s="171"/>
      <c r="CC224" s="171"/>
      <c r="CD224" s="171"/>
      <c r="CE224" s="171"/>
      <c r="CF224" s="171"/>
      <c r="CG224" s="171"/>
      <c r="CH224" s="171"/>
    </row>
    <row r="225" spans="1:86" ht="21.4" customHeight="1" outlineLevel="1" x14ac:dyDescent="0.25">
      <c r="A225" s="171"/>
      <c r="B225" s="530" t="s">
        <v>778</v>
      </c>
      <c r="C225" s="531">
        <v>0.52</v>
      </c>
      <c r="D225" s="532" t="str">
        <f t="shared" si="15"/>
        <v>kg CO2e / toneladas de chumbo</v>
      </c>
      <c r="E225" s="532" t="s">
        <v>971</v>
      </c>
      <c r="F225" s="532" t="s">
        <v>1667</v>
      </c>
      <c r="G225" s="533" t="s">
        <v>779</v>
      </c>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c r="AN225" s="171"/>
      <c r="AO225" s="171"/>
      <c r="AP225" s="171"/>
      <c r="AQ225" s="171"/>
      <c r="AR225" s="171"/>
      <c r="AS225" s="171"/>
      <c r="AT225" s="171"/>
      <c r="AU225" s="171"/>
      <c r="AV225" s="171"/>
      <c r="AW225" s="171"/>
      <c r="AX225" s="171"/>
      <c r="AY225" s="171"/>
      <c r="AZ225" s="171"/>
      <c r="BA225" s="171"/>
      <c r="BB225" s="171"/>
      <c r="BC225" s="171"/>
      <c r="BD225" s="171"/>
      <c r="BE225" s="171"/>
      <c r="BF225" s="171"/>
      <c r="BG225" s="171"/>
      <c r="BH225" s="171"/>
      <c r="BI225" s="171"/>
      <c r="BJ225" s="171"/>
      <c r="BK225" s="171"/>
      <c r="BL225" s="171"/>
      <c r="BM225" s="171"/>
      <c r="BN225" s="171"/>
      <c r="BO225" s="171"/>
      <c r="BP225" s="171"/>
      <c r="BQ225" s="171"/>
      <c r="BR225" s="171"/>
      <c r="BS225" s="171"/>
      <c r="BT225" s="171"/>
      <c r="BU225" s="171"/>
      <c r="BV225" s="171"/>
      <c r="BW225" s="171"/>
      <c r="BX225" s="171"/>
      <c r="BY225" s="171"/>
      <c r="BZ225" s="171"/>
      <c r="CA225" s="171"/>
      <c r="CB225" s="171"/>
      <c r="CC225" s="171"/>
      <c r="CD225" s="171"/>
      <c r="CE225" s="171"/>
      <c r="CF225" s="171"/>
      <c r="CG225" s="171"/>
      <c r="CH225" s="171"/>
    </row>
    <row r="226" spans="1:86" ht="21.4" customHeight="1" outlineLevel="1" x14ac:dyDescent="0.25">
      <c r="A226" s="171"/>
      <c r="B226" s="171"/>
      <c r="C226" s="460"/>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c r="BB226" s="171"/>
      <c r="BC226" s="171"/>
      <c r="BD226" s="171"/>
      <c r="BE226" s="171"/>
      <c r="BF226" s="171"/>
      <c r="BG226" s="171"/>
      <c r="BH226" s="171"/>
      <c r="BI226" s="171"/>
      <c r="BJ226" s="171"/>
      <c r="BK226" s="171"/>
      <c r="BL226" s="171"/>
      <c r="BM226" s="171"/>
      <c r="BN226" s="171"/>
      <c r="BO226" s="171"/>
      <c r="BP226" s="171"/>
      <c r="BQ226" s="171"/>
      <c r="BR226" s="171"/>
      <c r="BS226" s="171"/>
      <c r="BT226" s="171"/>
      <c r="BU226" s="171"/>
      <c r="BV226" s="171"/>
      <c r="BW226" s="171"/>
      <c r="BX226" s="171"/>
      <c r="BY226" s="171"/>
      <c r="BZ226" s="171"/>
      <c r="CA226" s="171"/>
      <c r="CB226" s="171"/>
      <c r="CC226" s="171"/>
      <c r="CD226" s="171"/>
      <c r="CE226" s="171"/>
      <c r="CF226" s="171"/>
      <c r="CG226" s="171"/>
      <c r="CH226" s="171"/>
    </row>
    <row r="227" spans="1:86" ht="21.4" customHeight="1" x14ac:dyDescent="0.25">
      <c r="A227" s="171"/>
      <c r="B227" s="171"/>
      <c r="C227" s="460"/>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c r="AX227" s="171"/>
      <c r="AY227" s="171"/>
      <c r="AZ227" s="171"/>
      <c r="BA227" s="171"/>
      <c r="BB227" s="171"/>
      <c r="BC227" s="171"/>
      <c r="BD227" s="171"/>
      <c r="BE227" s="171"/>
      <c r="BF227" s="171"/>
      <c r="BG227" s="171"/>
      <c r="BH227" s="171"/>
      <c r="BI227" s="171"/>
      <c r="BJ227" s="171"/>
      <c r="BK227" s="171"/>
      <c r="BL227" s="171"/>
      <c r="BM227" s="171"/>
      <c r="BN227" s="171"/>
      <c r="BO227" s="171"/>
      <c r="BP227" s="171"/>
      <c r="BQ227" s="171"/>
      <c r="BR227" s="171"/>
      <c r="BS227" s="171"/>
      <c r="BT227" s="171"/>
      <c r="BU227" s="171"/>
      <c r="BV227" s="171"/>
      <c r="BW227" s="171"/>
      <c r="BX227" s="171"/>
      <c r="BY227" s="171"/>
      <c r="BZ227" s="171"/>
      <c r="CA227" s="171"/>
      <c r="CB227" s="171"/>
      <c r="CC227" s="171"/>
      <c r="CD227" s="171"/>
      <c r="CE227" s="171"/>
      <c r="CF227" s="171"/>
      <c r="CG227" s="171"/>
      <c r="CH227" s="171"/>
    </row>
    <row r="228" spans="1:86" s="417" customFormat="1" ht="30" customHeight="1" x14ac:dyDescent="0.25">
      <c r="A228" s="742"/>
      <c r="B228" s="380" t="s">
        <v>830</v>
      </c>
      <c r="C228" s="413"/>
      <c r="D228" s="414"/>
      <c r="E228" s="414"/>
      <c r="F228" s="414"/>
      <c r="G228" s="414"/>
      <c r="H228" s="414"/>
      <c r="I228" s="414"/>
      <c r="J228" s="414"/>
      <c r="K228" s="414"/>
      <c r="L228" s="414"/>
      <c r="M228" s="414"/>
      <c r="N228" s="414"/>
      <c r="O228" s="414"/>
      <c r="P228" s="414"/>
      <c r="Q228" s="414"/>
      <c r="R228" s="414"/>
      <c r="S228" s="414"/>
      <c r="T228" s="414"/>
      <c r="U228" s="414"/>
      <c r="V228" s="414"/>
      <c r="W228" s="414"/>
      <c r="X228" s="414"/>
      <c r="Y228" s="414"/>
      <c r="Z228" s="414"/>
      <c r="AA228" s="414"/>
      <c r="AB228" s="414"/>
      <c r="AC228" s="414"/>
      <c r="AD228" s="414"/>
      <c r="AE228" s="414"/>
      <c r="AF228" s="414"/>
      <c r="AG228" s="414"/>
      <c r="AH228" s="414"/>
      <c r="AI228" s="414"/>
      <c r="AJ228" s="414"/>
      <c r="AK228" s="414"/>
      <c r="AL228" s="414"/>
      <c r="AM228" s="414"/>
      <c r="AN228" s="414"/>
      <c r="AO228" s="414"/>
      <c r="AP228" s="414"/>
      <c r="AQ228" s="414"/>
      <c r="AR228" s="414"/>
      <c r="AS228" s="414"/>
      <c r="AT228" s="414"/>
      <c r="AU228" s="414"/>
      <c r="AV228" s="414"/>
      <c r="AW228" s="414"/>
      <c r="AX228" s="414"/>
      <c r="AY228" s="414"/>
      <c r="AZ228" s="414"/>
      <c r="BA228" s="414"/>
      <c r="BB228" s="414"/>
      <c r="BC228" s="414"/>
      <c r="BD228" s="414"/>
      <c r="BE228" s="414"/>
      <c r="BF228" s="414"/>
      <c r="BG228" s="414"/>
      <c r="BH228" s="414"/>
      <c r="BI228" s="414"/>
      <c r="BJ228" s="414"/>
      <c r="BK228" s="414"/>
      <c r="BL228" s="414"/>
      <c r="BM228" s="414"/>
      <c r="BN228" s="414"/>
      <c r="BO228" s="414"/>
      <c r="BP228" s="414"/>
      <c r="BQ228" s="414"/>
      <c r="BR228" s="414"/>
      <c r="BS228" s="414"/>
      <c r="BT228" s="414"/>
      <c r="BU228" s="414"/>
      <c r="BV228" s="414"/>
      <c r="BW228" s="414"/>
      <c r="BX228" s="415"/>
      <c r="BY228" s="415"/>
      <c r="BZ228" s="415"/>
      <c r="CA228" s="416"/>
    </row>
    <row r="229" spans="1:86" ht="21.4" customHeight="1" outlineLevel="1" x14ac:dyDescent="0.25">
      <c r="A229" s="171"/>
      <c r="B229" s="171"/>
      <c r="C229" s="460"/>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c r="AN229" s="171"/>
      <c r="AO229" s="171"/>
      <c r="AP229" s="171"/>
      <c r="AQ229" s="171"/>
      <c r="AR229" s="171"/>
      <c r="AS229" s="171"/>
      <c r="AT229" s="171"/>
      <c r="AU229" s="171"/>
      <c r="AV229" s="171"/>
      <c r="AW229" s="171"/>
      <c r="AX229" s="171"/>
      <c r="AY229" s="171"/>
      <c r="AZ229" s="171"/>
      <c r="BA229" s="171"/>
      <c r="BB229" s="171"/>
      <c r="BC229" s="171"/>
      <c r="BD229" s="171"/>
      <c r="BE229" s="171"/>
      <c r="BF229" s="171"/>
      <c r="BG229" s="171"/>
      <c r="BH229" s="171"/>
      <c r="BI229" s="171"/>
      <c r="BJ229" s="171"/>
      <c r="BK229" s="171"/>
      <c r="BL229" s="171"/>
      <c r="BM229" s="171"/>
      <c r="BN229" s="171"/>
      <c r="BO229" s="171"/>
      <c r="BP229" s="171"/>
      <c r="BQ229" s="171"/>
      <c r="BR229" s="171"/>
      <c r="BS229" s="171"/>
      <c r="BT229" s="171"/>
      <c r="BU229" s="171"/>
      <c r="BV229" s="171"/>
      <c r="BW229" s="171"/>
      <c r="BX229" s="171"/>
      <c r="BY229" s="171"/>
      <c r="BZ229" s="171"/>
      <c r="CA229" s="171"/>
      <c r="CB229" s="171"/>
      <c r="CC229" s="171"/>
      <c r="CD229" s="171"/>
      <c r="CE229" s="171"/>
      <c r="CF229" s="171"/>
      <c r="CG229" s="171"/>
      <c r="CH229" s="171"/>
    </row>
    <row r="230" spans="1:86" ht="21.4" customHeight="1" outlineLevel="1" x14ac:dyDescent="0.25">
      <c r="A230" s="171"/>
      <c r="B230" s="500" t="s">
        <v>796</v>
      </c>
      <c r="C230" s="500" t="s">
        <v>709</v>
      </c>
      <c r="D230" s="500" t="s">
        <v>832</v>
      </c>
      <c r="E230" s="500" t="s">
        <v>831</v>
      </c>
      <c r="F230" s="500" t="s">
        <v>514</v>
      </c>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c r="BA230" s="171"/>
      <c r="BB230" s="171"/>
      <c r="BC230" s="171"/>
      <c r="BD230" s="171"/>
      <c r="BE230" s="171"/>
      <c r="BF230" s="171"/>
      <c r="BG230" s="171"/>
      <c r="BH230" s="171"/>
      <c r="BI230" s="171"/>
      <c r="BJ230" s="171"/>
      <c r="BK230" s="171"/>
      <c r="BL230" s="171"/>
      <c r="BM230" s="171"/>
      <c r="BN230" s="171"/>
      <c r="BO230" s="171"/>
      <c r="BP230" s="171"/>
      <c r="BQ230" s="171"/>
      <c r="BR230" s="171"/>
      <c r="BS230" s="171"/>
      <c r="BT230" s="171"/>
      <c r="BU230" s="171"/>
      <c r="BV230" s="171"/>
      <c r="BW230" s="171"/>
      <c r="BX230" s="171"/>
      <c r="BY230" s="171"/>
      <c r="BZ230" s="171"/>
      <c r="CA230" s="171"/>
      <c r="CB230" s="171"/>
      <c r="CC230" s="171"/>
      <c r="CD230" s="171"/>
      <c r="CE230" s="171"/>
      <c r="CF230" s="171"/>
      <c r="CG230" s="171"/>
      <c r="CH230" s="171"/>
    </row>
    <row r="231" spans="1:86" ht="30" customHeight="1" outlineLevel="1" x14ac:dyDescent="0.25">
      <c r="A231" s="171"/>
      <c r="B231" s="740"/>
      <c r="C231" s="740"/>
      <c r="D231" s="741"/>
      <c r="E231" s="741"/>
      <c r="F231" s="740"/>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c r="AW231" s="171"/>
      <c r="AX231" s="171"/>
      <c r="AY231" s="171"/>
      <c r="AZ231" s="171"/>
      <c r="BA231" s="171"/>
      <c r="BB231" s="171"/>
      <c r="BC231" s="171"/>
      <c r="BD231" s="171"/>
      <c r="BE231" s="171"/>
      <c r="BF231" s="171"/>
      <c r="BG231" s="171"/>
      <c r="BH231" s="171"/>
      <c r="BI231" s="171"/>
      <c r="BJ231" s="171"/>
      <c r="BK231" s="171"/>
      <c r="BL231" s="171"/>
      <c r="BM231" s="171"/>
      <c r="BN231" s="171"/>
      <c r="BO231" s="171"/>
      <c r="BP231" s="171"/>
      <c r="BQ231" s="171"/>
      <c r="BR231" s="171"/>
      <c r="BS231" s="171"/>
      <c r="BT231" s="171"/>
      <c r="BU231" s="171"/>
      <c r="BV231" s="171"/>
      <c r="BW231" s="171"/>
      <c r="BX231" s="171"/>
      <c r="BY231" s="171"/>
      <c r="BZ231" s="171"/>
      <c r="CA231" s="171"/>
      <c r="CB231" s="171"/>
      <c r="CC231" s="171"/>
      <c r="CD231" s="171"/>
      <c r="CE231" s="171"/>
      <c r="CF231" s="171"/>
      <c r="CG231" s="171"/>
      <c r="CH231" s="171"/>
    </row>
    <row r="232" spans="1:86" ht="30" customHeight="1" outlineLevel="1" x14ac:dyDescent="0.25">
      <c r="A232" s="171"/>
      <c r="B232" s="740" t="s">
        <v>826</v>
      </c>
      <c r="C232" s="741">
        <f>(4*'Fatores de Emissão'!$E$258+0.24*'Fatores de Emissão'!$E$259)/1000</f>
        <v>0.17560000000000001</v>
      </c>
      <c r="D232" s="741" t="str">
        <f>"t CO2e / "&amp;E232</f>
        <v>t CO2e / tonelada de resíduo sólido enviado para compostagem</v>
      </c>
      <c r="E232" s="741" t="s">
        <v>1675</v>
      </c>
      <c r="F232" s="741" t="s">
        <v>1690</v>
      </c>
      <c r="G232" s="171"/>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c r="AW232" s="171"/>
      <c r="AX232" s="171"/>
      <c r="AY232" s="171"/>
      <c r="AZ232" s="171"/>
      <c r="BA232" s="171"/>
      <c r="BB232" s="171"/>
      <c r="BC232" s="171"/>
      <c r="BD232" s="171"/>
      <c r="BE232" s="171"/>
      <c r="BF232" s="171"/>
      <c r="BG232" s="171"/>
      <c r="BH232" s="171"/>
      <c r="BI232" s="171"/>
      <c r="BJ232" s="171"/>
      <c r="BK232" s="171"/>
      <c r="BL232" s="171"/>
      <c r="BM232" s="171"/>
      <c r="BN232" s="171"/>
      <c r="BO232" s="171"/>
      <c r="BP232" s="171"/>
      <c r="BQ232" s="171"/>
      <c r="BR232" s="171"/>
      <c r="BS232" s="171"/>
      <c r="BT232" s="171"/>
      <c r="BU232" s="171"/>
      <c r="BV232" s="171"/>
      <c r="BW232" s="171"/>
      <c r="BX232" s="171"/>
      <c r="BY232" s="171"/>
      <c r="BZ232" s="171"/>
      <c r="CA232" s="171"/>
      <c r="CB232" s="171"/>
      <c r="CC232" s="171"/>
      <c r="CD232" s="171"/>
      <c r="CE232" s="171"/>
      <c r="CF232" s="171"/>
      <c r="CG232" s="171"/>
      <c r="CH232" s="171"/>
    </row>
    <row r="233" spans="1:86" ht="30" customHeight="1" outlineLevel="1" x14ac:dyDescent="0.25">
      <c r="A233" s="171"/>
      <c r="B233" s="740" t="s">
        <v>827</v>
      </c>
      <c r="C233" s="741">
        <f>(0.8*'Fatores de Emissão'!$E$258+0*'Fatores de Emissão'!$E$259)/1000</f>
        <v>2.2400000000000003E-2</v>
      </c>
      <c r="D233" s="741" t="str">
        <f>"t CO2e / "&amp;E233</f>
        <v>t CO2e / tonelada de resíduo sólido enviado para digestão anaeróbia</v>
      </c>
      <c r="E233" s="741" t="s">
        <v>1676</v>
      </c>
      <c r="F233" s="741" t="s">
        <v>1690</v>
      </c>
      <c r="G233" s="171"/>
      <c r="H233" s="171"/>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c r="BB233" s="171"/>
      <c r="BC233" s="171"/>
      <c r="BD233" s="171"/>
      <c r="BE233" s="171"/>
      <c r="BF233" s="171"/>
      <c r="BG233" s="171"/>
      <c r="BH233" s="171"/>
      <c r="BI233" s="171"/>
      <c r="BJ233" s="171"/>
      <c r="BK233" s="171"/>
      <c r="BL233" s="171"/>
      <c r="BM233" s="171"/>
      <c r="BN233" s="171"/>
      <c r="BO233" s="171"/>
      <c r="BP233" s="171"/>
      <c r="BQ233" s="171"/>
      <c r="BR233" s="171"/>
      <c r="BS233" s="171"/>
      <c r="BT233" s="171"/>
      <c r="BU233" s="171"/>
      <c r="BV233" s="171"/>
      <c r="BW233" s="171"/>
      <c r="BX233" s="171"/>
      <c r="BY233" s="171"/>
      <c r="BZ233" s="171"/>
      <c r="CA233" s="171"/>
      <c r="CB233" s="171"/>
      <c r="CC233" s="171"/>
      <c r="CD233" s="171"/>
      <c r="CE233" s="171"/>
      <c r="CF233" s="171"/>
      <c r="CG233" s="171"/>
      <c r="CH233" s="171"/>
    </row>
    <row r="234" spans="1:86" ht="30" customHeight="1" outlineLevel="1" x14ac:dyDescent="0.25">
      <c r="A234" s="171"/>
      <c r="B234" s="740" t="s">
        <v>1390</v>
      </c>
      <c r="C234" s="740">
        <f>(91.7+0.03*E258+0.004*E259)</f>
        <v>93.600000000000009</v>
      </c>
      <c r="D234" s="741" t="str">
        <f>"t CO2e / "&amp;E234</f>
        <v xml:space="preserve">t CO2e / TJ de resíduo incinerado (fração fóssil) </v>
      </c>
      <c r="E234" s="741" t="s">
        <v>1392</v>
      </c>
      <c r="F234" s="740" t="s">
        <v>1688</v>
      </c>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c r="BA234" s="171"/>
      <c r="BB234" s="171"/>
      <c r="BC234" s="171"/>
      <c r="BD234" s="171"/>
      <c r="BE234" s="171"/>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c r="CB234" s="171"/>
      <c r="CC234" s="171"/>
      <c r="CD234" s="171"/>
      <c r="CE234" s="171"/>
      <c r="CF234" s="171"/>
      <c r="CG234" s="171"/>
      <c r="CH234" s="171"/>
    </row>
    <row r="235" spans="1:86" ht="30" customHeight="1" outlineLevel="1" x14ac:dyDescent="0.25">
      <c r="A235" s="171"/>
      <c r="B235" s="740" t="s">
        <v>1391</v>
      </c>
      <c r="C235" s="740">
        <f>143</f>
        <v>143</v>
      </c>
      <c r="D235" s="741" t="str">
        <f>"t CO2e / "&amp;E235</f>
        <v xml:space="preserve">t CO2e / TJ de resíduo incinerado (fração fóssil) </v>
      </c>
      <c r="E235" s="741" t="s">
        <v>1392</v>
      </c>
      <c r="F235" s="740" t="s">
        <v>1688</v>
      </c>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row>
    <row r="236" spans="1:86" ht="30" customHeight="1" outlineLevel="1" x14ac:dyDescent="0.25">
      <c r="A236" s="171"/>
      <c r="B236" s="740" t="s">
        <v>924</v>
      </c>
      <c r="C236" s="740"/>
      <c r="D236" s="741" t="str">
        <f>"t CO2e / "&amp;E236</f>
        <v>t CO2e / m3 de águas residuais enviadas para tratamento ou descarregadas</v>
      </c>
      <c r="E236" s="741" t="s">
        <v>1034</v>
      </c>
      <c r="F236" s="740"/>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1"/>
      <c r="BD236" s="171"/>
      <c r="BE236" s="171"/>
      <c r="BF236" s="171"/>
      <c r="BG236" s="171"/>
      <c r="BH236" s="171"/>
      <c r="BI236" s="171"/>
      <c r="BJ236" s="171"/>
      <c r="BK236" s="171"/>
      <c r="BL236" s="171"/>
      <c r="BM236" s="171"/>
      <c r="BN236" s="171"/>
      <c r="BO236" s="171"/>
      <c r="BP236" s="171"/>
      <c r="BQ236" s="171"/>
      <c r="BR236" s="171"/>
      <c r="BS236" s="171"/>
      <c r="BT236" s="171"/>
      <c r="BU236" s="171"/>
      <c r="BV236" s="171"/>
      <c r="BW236" s="171"/>
      <c r="BX236" s="171"/>
      <c r="BY236" s="171"/>
      <c r="BZ236" s="171"/>
      <c r="CA236" s="171"/>
      <c r="CB236" s="171"/>
      <c r="CC236" s="171"/>
      <c r="CD236" s="171"/>
      <c r="CE236" s="171"/>
      <c r="CF236" s="171"/>
      <c r="CG236" s="171"/>
      <c r="CH236" s="171"/>
    </row>
    <row r="237" spans="1:86" ht="30" customHeight="1" outlineLevel="1" x14ac:dyDescent="0.25">
      <c r="A237" s="171"/>
      <c r="B237" s="740"/>
      <c r="C237" s="740"/>
      <c r="D237" s="740"/>
      <c r="E237" s="741"/>
      <c r="F237" s="740"/>
      <c r="G237" s="171"/>
      <c r="H237" s="171"/>
      <c r="I237" s="171"/>
      <c r="J237" s="171"/>
      <c r="K237" s="171"/>
      <c r="L237" s="171"/>
      <c r="M237" s="171"/>
      <c r="N237" s="171"/>
      <c r="O237" s="171"/>
      <c r="P237" s="171"/>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c r="AX237" s="171"/>
      <c r="AY237" s="171"/>
      <c r="AZ237" s="171"/>
      <c r="BA237" s="171"/>
      <c r="BB237" s="171"/>
      <c r="BC237" s="171"/>
      <c r="BD237" s="171"/>
      <c r="BE237" s="171"/>
      <c r="BF237" s="171"/>
      <c r="BG237" s="171"/>
      <c r="BH237" s="171"/>
      <c r="BI237" s="171"/>
      <c r="BJ237" s="171"/>
      <c r="BK237" s="171"/>
      <c r="BL237" s="171"/>
      <c r="BM237" s="171"/>
      <c r="BN237" s="171"/>
      <c r="BO237" s="171"/>
      <c r="BP237" s="171"/>
      <c r="BQ237" s="171"/>
      <c r="BR237" s="171"/>
      <c r="BS237" s="171"/>
      <c r="BT237" s="171"/>
      <c r="BU237" s="171"/>
      <c r="BV237" s="171"/>
      <c r="BW237" s="171"/>
      <c r="BX237" s="171"/>
      <c r="BY237" s="171"/>
      <c r="BZ237" s="171"/>
      <c r="CA237" s="171"/>
      <c r="CB237" s="171"/>
      <c r="CC237" s="171"/>
      <c r="CD237" s="171"/>
      <c r="CE237" s="171"/>
      <c r="CF237" s="171"/>
      <c r="CG237" s="171"/>
      <c r="CH237" s="171"/>
    </row>
    <row r="238" spans="1:86" ht="21.4" customHeight="1" outlineLevel="1" x14ac:dyDescent="0.25">
      <c r="A238" s="171"/>
      <c r="B238" s="171"/>
      <c r="C238" s="460"/>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c r="AX238" s="171"/>
      <c r="AY238" s="171"/>
      <c r="AZ238" s="171"/>
      <c r="BA238" s="171"/>
      <c r="BB238" s="171"/>
      <c r="BC238" s="171"/>
      <c r="BD238" s="171"/>
      <c r="BE238" s="171"/>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c r="BZ238" s="171"/>
      <c r="CA238" s="171"/>
      <c r="CB238" s="171"/>
      <c r="CC238" s="171"/>
      <c r="CD238" s="171"/>
      <c r="CE238" s="171"/>
      <c r="CF238" s="171"/>
      <c r="CG238" s="171"/>
      <c r="CH238" s="171"/>
    </row>
    <row r="239" spans="1:86" ht="21.4" customHeight="1" x14ac:dyDescent="0.25">
      <c r="A239" s="171"/>
      <c r="B239" s="171"/>
      <c r="C239" s="460"/>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c r="BA239" s="171"/>
      <c r="BB239" s="171"/>
      <c r="BC239" s="171"/>
      <c r="BD239" s="171"/>
      <c r="BE239" s="171"/>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c r="CB239" s="171"/>
      <c r="CC239" s="171"/>
      <c r="CD239" s="171"/>
      <c r="CE239" s="171"/>
      <c r="CF239" s="171"/>
      <c r="CG239" s="171"/>
      <c r="CH239" s="171"/>
    </row>
    <row r="240" spans="1:86" s="417" customFormat="1" ht="30" customHeight="1" x14ac:dyDescent="0.25">
      <c r="A240" s="742"/>
      <c r="B240" s="380" t="s">
        <v>848</v>
      </c>
      <c r="C240" s="413"/>
      <c r="D240" s="414"/>
      <c r="E240" s="414"/>
      <c r="F240" s="414"/>
      <c r="G240" s="414"/>
      <c r="H240" s="414"/>
      <c r="I240" s="414"/>
      <c r="J240" s="414"/>
      <c r="K240" s="414"/>
      <c r="L240" s="414"/>
      <c r="M240" s="414"/>
      <c r="N240" s="414"/>
      <c r="O240" s="414"/>
      <c r="P240" s="414"/>
      <c r="Q240" s="414"/>
      <c r="R240" s="414"/>
      <c r="S240" s="414"/>
      <c r="T240" s="414"/>
      <c r="U240" s="414"/>
      <c r="V240" s="414"/>
      <c r="W240" s="414"/>
      <c r="X240" s="414"/>
      <c r="Y240" s="414"/>
      <c r="Z240" s="414"/>
      <c r="AA240" s="414"/>
      <c r="AB240" s="414"/>
      <c r="AC240" s="414"/>
      <c r="AD240" s="414"/>
      <c r="AE240" s="414"/>
      <c r="AF240" s="414"/>
      <c r="AG240" s="414"/>
      <c r="AH240" s="414"/>
      <c r="AI240" s="414"/>
      <c r="AJ240" s="414"/>
      <c r="AK240" s="414"/>
      <c r="AL240" s="414"/>
      <c r="AM240" s="414"/>
      <c r="AN240" s="414"/>
      <c r="AO240" s="414"/>
      <c r="AP240" s="414"/>
      <c r="AQ240" s="414"/>
      <c r="AR240" s="414"/>
      <c r="AS240" s="414"/>
      <c r="AT240" s="414"/>
      <c r="AU240" s="414"/>
      <c r="AV240" s="414"/>
      <c r="AW240" s="414"/>
      <c r="AX240" s="414"/>
      <c r="AY240" s="414"/>
      <c r="AZ240" s="414"/>
      <c r="BA240" s="414"/>
      <c r="BB240" s="414"/>
      <c r="BC240" s="414"/>
      <c r="BD240" s="414"/>
      <c r="BE240" s="414"/>
      <c r="BF240" s="414"/>
      <c r="BG240" s="414"/>
      <c r="BH240" s="414"/>
      <c r="BI240" s="414"/>
      <c r="BJ240" s="414"/>
      <c r="BK240" s="414"/>
      <c r="BL240" s="414"/>
      <c r="BM240" s="414"/>
      <c r="BN240" s="414"/>
      <c r="BO240" s="414"/>
      <c r="BP240" s="414"/>
      <c r="BQ240" s="414"/>
      <c r="BR240" s="414"/>
      <c r="BS240" s="414"/>
      <c r="BT240" s="414"/>
      <c r="BU240" s="414"/>
      <c r="BV240" s="414"/>
      <c r="BW240" s="414"/>
      <c r="BX240" s="415"/>
      <c r="BY240" s="415"/>
      <c r="BZ240" s="415"/>
      <c r="CA240" s="416"/>
    </row>
    <row r="241" spans="1:86" ht="21.4" customHeight="1" outlineLevel="1" x14ac:dyDescent="0.25">
      <c r="A241" s="171"/>
      <c r="B241" s="171"/>
      <c r="C241" s="460"/>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1"/>
      <c r="BB241" s="171"/>
      <c r="BC241" s="171"/>
      <c r="BD241" s="171"/>
      <c r="BE241" s="171"/>
      <c r="BF241" s="171"/>
      <c r="BG241" s="171"/>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c r="CB241" s="171"/>
      <c r="CC241" s="171"/>
      <c r="CD241" s="171"/>
      <c r="CE241" s="171"/>
      <c r="CF241" s="171"/>
      <c r="CG241" s="171"/>
      <c r="CH241" s="171"/>
    </row>
    <row r="242" spans="1:86" ht="21.4" customHeight="1" outlineLevel="1" x14ac:dyDescent="0.25">
      <c r="A242" s="171"/>
      <c r="B242" s="290" t="s">
        <v>1644</v>
      </c>
      <c r="C242" s="564" t="s">
        <v>193</v>
      </c>
      <c r="D242" s="290" t="s">
        <v>559</v>
      </c>
      <c r="E242" s="290" t="s">
        <v>29</v>
      </c>
      <c r="F242" s="290" t="s">
        <v>514</v>
      </c>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c r="AW242" s="171"/>
      <c r="AX242" s="171"/>
      <c r="AY242" s="171"/>
      <c r="AZ242" s="171"/>
      <c r="BA242" s="171"/>
      <c r="BB242" s="171"/>
      <c r="BC242" s="171"/>
      <c r="BD242" s="171"/>
      <c r="BE242" s="171"/>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c r="CB242" s="171"/>
      <c r="CC242" s="171"/>
      <c r="CD242" s="171"/>
      <c r="CE242" s="171"/>
      <c r="CF242" s="171"/>
      <c r="CG242" s="171"/>
      <c r="CH242" s="171"/>
    </row>
    <row r="243" spans="1:86" ht="21.4" customHeight="1" outlineLevel="1" x14ac:dyDescent="0.25">
      <c r="A243" s="171"/>
      <c r="B243" s="519" t="s">
        <v>560</v>
      </c>
      <c r="C243" s="565" t="s">
        <v>1012</v>
      </c>
      <c r="D243" s="566">
        <v>0.47899999999999998</v>
      </c>
      <c r="E243" s="519" t="s">
        <v>325</v>
      </c>
      <c r="F243" s="519" t="s">
        <v>573</v>
      </c>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c r="AX243" s="171"/>
      <c r="AY243" s="171"/>
      <c r="AZ243" s="171"/>
      <c r="BA243" s="171"/>
      <c r="BB243" s="171"/>
      <c r="BC243" s="171"/>
      <c r="BD243" s="171"/>
      <c r="BE243" s="171"/>
      <c r="BF243" s="171"/>
      <c r="BG243" s="171"/>
      <c r="BH243" s="171"/>
      <c r="BI243" s="171"/>
      <c r="BJ243" s="171"/>
      <c r="BK243" s="171"/>
      <c r="BL243" s="171"/>
      <c r="BM243" s="171"/>
      <c r="BN243" s="171"/>
      <c r="BO243" s="171"/>
      <c r="BP243" s="171"/>
      <c r="BQ243" s="171"/>
      <c r="BR243" s="171"/>
      <c r="BS243" s="171"/>
      <c r="BT243" s="171"/>
      <c r="BU243" s="171"/>
      <c r="BV243" s="171"/>
      <c r="BW243" s="171"/>
      <c r="BX243" s="171"/>
      <c r="BY243" s="171"/>
      <c r="BZ243" s="171"/>
      <c r="CA243" s="171"/>
      <c r="CB243" s="171"/>
      <c r="CC243" s="171"/>
      <c r="CD243" s="171"/>
      <c r="CE243" s="171"/>
      <c r="CF243" s="171"/>
      <c r="CG243" s="171"/>
      <c r="CH243" s="171"/>
    </row>
    <row r="244" spans="1:86" ht="21.4" customHeight="1" outlineLevel="1" x14ac:dyDescent="0.25">
      <c r="A244" s="171"/>
      <c r="B244" s="519" t="s">
        <v>1013</v>
      </c>
      <c r="C244" s="565" t="s">
        <v>562</v>
      </c>
      <c r="D244" s="566">
        <v>0.18099999999999999</v>
      </c>
      <c r="E244" s="519" t="s">
        <v>325</v>
      </c>
      <c r="F244" s="519" t="s">
        <v>573</v>
      </c>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c r="BB244" s="171"/>
      <c r="BC244" s="171"/>
      <c r="BD244" s="171"/>
      <c r="BE244" s="171"/>
      <c r="BF244" s="171"/>
      <c r="BG244" s="171"/>
      <c r="BH244" s="171"/>
      <c r="BI244" s="171"/>
      <c r="BJ244" s="171"/>
      <c r="BK244" s="171"/>
      <c r="BL244" s="171"/>
      <c r="BM244" s="171"/>
      <c r="BN244" s="171"/>
      <c r="BO244" s="171"/>
      <c r="BP244" s="171"/>
      <c r="BQ244" s="171"/>
      <c r="BR244" s="171"/>
      <c r="BS244" s="171"/>
      <c r="BT244" s="171"/>
      <c r="BU244" s="171"/>
      <c r="BV244" s="171"/>
      <c r="BW244" s="171"/>
      <c r="BX244" s="171"/>
      <c r="BY244" s="171"/>
      <c r="BZ244" s="171"/>
      <c r="CA244" s="171"/>
      <c r="CB244" s="171"/>
      <c r="CC244" s="171"/>
      <c r="CD244" s="171"/>
      <c r="CE244" s="171"/>
      <c r="CF244" s="171"/>
      <c r="CG244" s="171"/>
      <c r="CH244" s="171"/>
    </row>
    <row r="245" spans="1:86" ht="21.4" customHeight="1" outlineLevel="1" x14ac:dyDescent="0.25">
      <c r="A245" s="171"/>
      <c r="B245" s="519" t="s">
        <v>561</v>
      </c>
      <c r="C245" s="565" t="s">
        <v>563</v>
      </c>
      <c r="D245" s="566">
        <v>0.1229</v>
      </c>
      <c r="E245" s="519" t="s">
        <v>325</v>
      </c>
      <c r="F245" s="519" t="s">
        <v>573</v>
      </c>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c r="AX245" s="171"/>
      <c r="AY245" s="171"/>
      <c r="AZ245" s="171"/>
      <c r="BA245" s="171"/>
      <c r="BB245" s="171"/>
      <c r="BC245" s="171"/>
      <c r="BD245" s="171"/>
      <c r="BE245" s="171"/>
      <c r="BF245" s="171"/>
      <c r="BG245" s="171"/>
      <c r="BH245" s="171"/>
      <c r="BI245" s="171"/>
      <c r="BJ245" s="171"/>
      <c r="BK245" s="171"/>
      <c r="BL245" s="171"/>
      <c r="BM245" s="171"/>
      <c r="BN245" s="171"/>
      <c r="BO245" s="171"/>
      <c r="BP245" s="171"/>
      <c r="BQ245" s="171"/>
      <c r="BR245" s="171"/>
      <c r="BS245" s="171"/>
      <c r="BT245" s="171"/>
      <c r="BU245" s="171"/>
      <c r="BV245" s="171"/>
      <c r="BW245" s="171"/>
      <c r="BX245" s="171"/>
      <c r="BY245" s="171"/>
      <c r="BZ245" s="171"/>
      <c r="CA245" s="171"/>
      <c r="CB245" s="171"/>
      <c r="CC245" s="171"/>
      <c r="CD245" s="171"/>
      <c r="CE245" s="171"/>
      <c r="CF245" s="171"/>
      <c r="CG245" s="171"/>
      <c r="CH245" s="171"/>
    </row>
    <row r="246" spans="1:86" ht="21.4" customHeight="1" outlineLevel="1" x14ac:dyDescent="0.25">
      <c r="A246" s="171"/>
      <c r="B246" s="519" t="s">
        <v>564</v>
      </c>
      <c r="C246" s="565" t="s">
        <v>574</v>
      </c>
      <c r="D246" s="566">
        <f>1-D243-D244-D245</f>
        <v>0.21710000000000002</v>
      </c>
      <c r="E246" s="519" t="s">
        <v>325</v>
      </c>
      <c r="F246" s="519" t="s">
        <v>573</v>
      </c>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c r="BM246" s="171"/>
      <c r="BN246" s="171"/>
      <c r="BO246" s="171"/>
      <c r="BP246" s="171"/>
      <c r="BQ246" s="171"/>
      <c r="BR246" s="171"/>
      <c r="BS246" s="171"/>
      <c r="BT246" s="171"/>
      <c r="BU246" s="171"/>
      <c r="BV246" s="171"/>
      <c r="BW246" s="171"/>
      <c r="BX246" s="171"/>
      <c r="BY246" s="171"/>
      <c r="BZ246" s="171"/>
      <c r="CA246" s="171"/>
      <c r="CB246" s="171"/>
      <c r="CC246" s="171"/>
      <c r="CD246" s="171"/>
      <c r="CE246" s="171"/>
      <c r="CF246" s="171"/>
      <c r="CG246" s="171"/>
      <c r="CH246" s="171"/>
    </row>
    <row r="247" spans="1:86" ht="21.4" customHeight="1" outlineLevel="1" x14ac:dyDescent="0.25">
      <c r="A247" s="171"/>
      <c r="B247" s="519" t="s">
        <v>565</v>
      </c>
      <c r="C247" s="565" t="s">
        <v>575</v>
      </c>
      <c r="D247" s="567">
        <f>(E88+E90)/2</f>
        <v>0.19728500000000002</v>
      </c>
      <c r="E247" s="519" t="s">
        <v>202</v>
      </c>
      <c r="F247" s="519" t="s">
        <v>576</v>
      </c>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c r="BA247" s="171"/>
      <c r="BB247" s="171"/>
      <c r="BC247" s="171"/>
      <c r="BD247" s="171"/>
      <c r="BE247" s="171"/>
      <c r="BF247" s="171"/>
      <c r="BG247" s="171"/>
      <c r="BH247" s="171"/>
      <c r="BI247" s="171"/>
      <c r="BJ247" s="171"/>
      <c r="BK247" s="171"/>
      <c r="BL247" s="171"/>
      <c r="BM247" s="171"/>
      <c r="BN247" s="171"/>
      <c r="BO247" s="171"/>
      <c r="BP247" s="171"/>
      <c r="BQ247" s="171"/>
      <c r="BR247" s="171"/>
      <c r="BS247" s="171"/>
      <c r="BT247" s="171"/>
      <c r="BU247" s="171"/>
      <c r="BV247" s="171"/>
      <c r="BW247" s="171"/>
      <c r="BX247" s="171"/>
      <c r="BY247" s="171"/>
      <c r="BZ247" s="171"/>
      <c r="CA247" s="171"/>
      <c r="CB247" s="171"/>
      <c r="CC247" s="171"/>
      <c r="CD247" s="171"/>
      <c r="CE247" s="171"/>
      <c r="CF247" s="171"/>
      <c r="CG247" s="171"/>
      <c r="CH247" s="171"/>
    </row>
    <row r="248" spans="1:86" ht="21.4" customHeight="1" outlineLevel="1" x14ac:dyDescent="0.25">
      <c r="A248" s="171"/>
      <c r="B248" s="519" t="s">
        <v>1014</v>
      </c>
      <c r="C248" s="565" t="s">
        <v>569</v>
      </c>
      <c r="D248" s="567">
        <f>D247</f>
        <v>0.19728500000000002</v>
      </c>
      <c r="E248" s="519" t="str">
        <f>E247</f>
        <v>kg/km</v>
      </c>
      <c r="F248" s="519" t="str">
        <f>F247</f>
        <v>Média entre fatores para gasóleo e gasolina</v>
      </c>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c r="BB248" s="171"/>
      <c r="BC248" s="171"/>
      <c r="BD248" s="171"/>
      <c r="BE248" s="171"/>
      <c r="BF248" s="171"/>
      <c r="BG248" s="171"/>
      <c r="BH248" s="171"/>
      <c r="BI248" s="171"/>
      <c r="BJ248" s="171"/>
      <c r="BK248" s="171"/>
      <c r="BL248" s="171"/>
      <c r="BM248" s="171"/>
      <c r="BN248" s="171"/>
      <c r="BO248" s="171"/>
      <c r="BP248" s="171"/>
      <c r="BQ248" s="171"/>
      <c r="BR248" s="171"/>
      <c r="BS248" s="171"/>
      <c r="BT248" s="171"/>
      <c r="BU248" s="171"/>
      <c r="BV248" s="171"/>
      <c r="BW248" s="171"/>
      <c r="BX248" s="171"/>
      <c r="BY248" s="171"/>
      <c r="BZ248" s="171"/>
      <c r="CA248" s="171"/>
      <c r="CB248" s="171"/>
      <c r="CC248" s="171"/>
      <c r="CD248" s="171"/>
      <c r="CE248" s="171"/>
      <c r="CF248" s="171"/>
      <c r="CG248" s="171"/>
      <c r="CH248" s="171"/>
    </row>
    <row r="249" spans="1:86" ht="21.4" customHeight="1" outlineLevel="1" x14ac:dyDescent="0.25">
      <c r="A249" s="171"/>
      <c r="B249" s="519" t="s">
        <v>566</v>
      </c>
      <c r="C249" s="565" t="s">
        <v>570</v>
      </c>
      <c r="D249" s="567">
        <f>(E86+E106+E107+E117)/4</f>
        <v>0.36038999999999993</v>
      </c>
      <c r="E249" s="519" t="str">
        <f>E248</f>
        <v>kg/km</v>
      </c>
      <c r="F249" s="519" t="s">
        <v>577</v>
      </c>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171"/>
      <c r="BE249" s="171"/>
      <c r="BF249" s="171"/>
      <c r="BG249" s="171"/>
      <c r="BH249" s="171"/>
      <c r="BI249" s="171"/>
      <c r="BJ249" s="171"/>
      <c r="BK249" s="171"/>
      <c r="BL249" s="171"/>
      <c r="BM249" s="171"/>
      <c r="BN249" s="171"/>
      <c r="BO249" s="171"/>
      <c r="BP249" s="171"/>
      <c r="BQ249" s="171"/>
      <c r="BR249" s="171"/>
      <c r="BS249" s="171"/>
      <c r="BT249" s="171"/>
      <c r="BU249" s="171"/>
      <c r="BV249" s="171"/>
      <c r="BW249" s="171"/>
      <c r="BX249" s="171"/>
      <c r="BY249" s="171"/>
      <c r="BZ249" s="171"/>
      <c r="CA249" s="171"/>
      <c r="CB249" s="171"/>
      <c r="CC249" s="171"/>
      <c r="CD249" s="171"/>
      <c r="CE249" s="171"/>
      <c r="CF249" s="171"/>
      <c r="CG249" s="171"/>
      <c r="CH249" s="171"/>
    </row>
    <row r="250" spans="1:86" ht="21.4" customHeight="1" outlineLevel="1" x14ac:dyDescent="0.25">
      <c r="A250" s="171"/>
      <c r="B250" s="519" t="s">
        <v>567</v>
      </c>
      <c r="C250" s="565" t="s">
        <v>571</v>
      </c>
      <c r="D250" s="519">
        <v>0</v>
      </c>
      <c r="E250" s="519" t="str">
        <f>E249</f>
        <v>kg/km</v>
      </c>
      <c r="F250" s="519" t="s">
        <v>578</v>
      </c>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c r="BB250" s="171"/>
      <c r="BC250" s="171"/>
      <c r="BD250" s="171"/>
      <c r="BE250" s="171"/>
      <c r="BF250" s="171"/>
      <c r="BG250" s="171"/>
      <c r="BH250" s="171"/>
      <c r="BI250" s="171"/>
      <c r="BJ250" s="171"/>
      <c r="BK250" s="171"/>
      <c r="BL250" s="171"/>
      <c r="BM250" s="171"/>
      <c r="BN250" s="171"/>
      <c r="BO250" s="171"/>
      <c r="BP250" s="171"/>
      <c r="BQ250" s="171"/>
      <c r="BR250" s="171"/>
      <c r="BS250" s="171"/>
      <c r="BT250" s="171"/>
      <c r="BU250" s="171"/>
      <c r="BV250" s="171"/>
      <c r="BW250" s="171"/>
      <c r="BX250" s="171"/>
      <c r="BY250" s="171"/>
      <c r="BZ250" s="171"/>
      <c r="CA250" s="171"/>
      <c r="CB250" s="171"/>
      <c r="CC250" s="171"/>
      <c r="CD250" s="171"/>
      <c r="CE250" s="171"/>
      <c r="CF250" s="171"/>
      <c r="CG250" s="171"/>
      <c r="CH250" s="171"/>
    </row>
    <row r="251" spans="1:86" ht="21.4" customHeight="1" outlineLevel="1" x14ac:dyDescent="0.25">
      <c r="A251" s="171"/>
      <c r="B251" s="519" t="s">
        <v>568</v>
      </c>
      <c r="C251" s="565" t="s">
        <v>572</v>
      </c>
      <c r="D251" s="519">
        <v>15</v>
      </c>
      <c r="E251" s="519" t="s">
        <v>511</v>
      </c>
      <c r="F251" s="519" t="s">
        <v>579</v>
      </c>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c r="BC251" s="171"/>
      <c r="BD251" s="171"/>
      <c r="BE251" s="171"/>
      <c r="BF251" s="171"/>
      <c r="BG251" s="171"/>
      <c r="BH251" s="171"/>
      <c r="BI251" s="171"/>
      <c r="BJ251" s="171"/>
      <c r="BK251" s="171"/>
      <c r="BL251" s="171"/>
      <c r="BM251" s="171"/>
      <c r="BN251" s="171"/>
      <c r="BO251" s="171"/>
      <c r="BP251" s="171"/>
      <c r="BQ251" s="171"/>
      <c r="BR251" s="171"/>
      <c r="BS251" s="171"/>
      <c r="BT251" s="171"/>
      <c r="BU251" s="171"/>
      <c r="BV251" s="171"/>
      <c r="BW251" s="171"/>
      <c r="BX251" s="171"/>
      <c r="BY251" s="171"/>
      <c r="BZ251" s="171"/>
      <c r="CA251" s="171"/>
      <c r="CB251" s="171"/>
      <c r="CC251" s="171"/>
      <c r="CD251" s="171"/>
      <c r="CE251" s="171"/>
      <c r="CF251" s="171"/>
      <c r="CG251" s="171"/>
      <c r="CH251" s="171"/>
    </row>
    <row r="252" spans="1:86" ht="21.4" customHeight="1" outlineLevel="1" x14ac:dyDescent="0.25">
      <c r="A252" s="171"/>
      <c r="B252" s="171"/>
      <c r="C252" s="460"/>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row>
    <row r="253" spans="1:86" ht="21.4" customHeight="1" x14ac:dyDescent="0.25">
      <c r="A253" s="171"/>
      <c r="B253" s="171"/>
      <c r="C253" s="460"/>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c r="BB253" s="171"/>
      <c r="BC253" s="171"/>
      <c r="BD253" s="171"/>
      <c r="BE253" s="171"/>
      <c r="BF253" s="171"/>
      <c r="BG253" s="171"/>
      <c r="BH253" s="171"/>
      <c r="BI253" s="171"/>
      <c r="BJ253" s="171"/>
      <c r="BK253" s="171"/>
      <c r="BL253" s="171"/>
      <c r="BM253" s="171"/>
      <c r="BN253" s="171"/>
      <c r="BO253" s="171"/>
      <c r="BP253" s="171"/>
      <c r="BQ253" s="171"/>
      <c r="BR253" s="171"/>
      <c r="BS253" s="171"/>
      <c r="BT253" s="171"/>
      <c r="BU253" s="171"/>
      <c r="BV253" s="171"/>
      <c r="BW253" s="171"/>
      <c r="BX253" s="171"/>
      <c r="BY253" s="171"/>
      <c r="BZ253" s="171"/>
      <c r="CA253" s="171"/>
      <c r="CB253" s="171"/>
      <c r="CC253" s="171"/>
      <c r="CD253" s="171"/>
      <c r="CE253" s="171"/>
      <c r="CF253" s="171"/>
      <c r="CG253" s="171"/>
      <c r="CH253" s="171"/>
    </row>
    <row r="254" spans="1:86" s="417" customFormat="1" ht="30" customHeight="1" x14ac:dyDescent="0.25">
      <c r="A254" s="742"/>
      <c r="B254" s="380" t="s">
        <v>1143</v>
      </c>
      <c r="C254" s="413"/>
      <c r="D254" s="414"/>
      <c r="E254" s="414"/>
      <c r="F254" s="414"/>
      <c r="G254" s="414"/>
      <c r="H254" s="414"/>
      <c r="I254" s="414"/>
      <c r="J254" s="414"/>
      <c r="K254" s="414"/>
      <c r="L254" s="414"/>
      <c r="M254" s="414"/>
      <c r="N254" s="414"/>
      <c r="O254" s="414"/>
      <c r="P254" s="414"/>
      <c r="Q254" s="414"/>
      <c r="R254" s="414"/>
      <c r="S254" s="414"/>
      <c r="T254" s="414"/>
      <c r="U254" s="414"/>
      <c r="V254" s="414"/>
      <c r="W254" s="414"/>
      <c r="X254" s="414"/>
      <c r="Y254" s="414"/>
      <c r="Z254" s="414"/>
      <c r="AA254" s="414"/>
      <c r="AB254" s="414"/>
      <c r="AC254" s="414"/>
      <c r="AD254" s="414"/>
      <c r="AE254" s="414"/>
      <c r="AF254" s="414"/>
      <c r="AG254" s="414"/>
      <c r="AH254" s="414"/>
      <c r="AI254" s="414"/>
      <c r="AJ254" s="414"/>
      <c r="AK254" s="414"/>
      <c r="AL254" s="414"/>
      <c r="AM254" s="414"/>
      <c r="AN254" s="414"/>
      <c r="AO254" s="414"/>
      <c r="AP254" s="414"/>
      <c r="AQ254" s="414"/>
      <c r="AR254" s="414"/>
      <c r="AS254" s="414"/>
      <c r="AT254" s="414"/>
      <c r="AU254" s="414"/>
      <c r="AV254" s="414"/>
      <c r="AW254" s="414"/>
      <c r="AX254" s="414"/>
      <c r="AY254" s="414"/>
      <c r="AZ254" s="414"/>
      <c r="BA254" s="414"/>
      <c r="BB254" s="414"/>
      <c r="BC254" s="414"/>
      <c r="BD254" s="414"/>
      <c r="BE254" s="414"/>
      <c r="BF254" s="414"/>
      <c r="BG254" s="414"/>
      <c r="BH254" s="414"/>
      <c r="BI254" s="414"/>
      <c r="BJ254" s="414"/>
      <c r="BK254" s="414"/>
      <c r="BL254" s="414"/>
      <c r="BM254" s="414"/>
      <c r="BN254" s="414"/>
      <c r="BO254" s="414"/>
      <c r="BP254" s="414"/>
      <c r="BQ254" s="414"/>
      <c r="BR254" s="414"/>
      <c r="BS254" s="414"/>
      <c r="BT254" s="414"/>
      <c r="BU254" s="414"/>
      <c r="BV254" s="414"/>
      <c r="BW254" s="414"/>
      <c r="BX254" s="415"/>
      <c r="BY254" s="415"/>
      <c r="BZ254" s="415"/>
      <c r="CA254" s="416"/>
    </row>
    <row r="255" spans="1:86" ht="15.75" customHeight="1" outlineLevel="1" x14ac:dyDescent="0.25">
      <c r="A255" s="743"/>
      <c r="B255" s="501"/>
      <c r="C255" s="460"/>
      <c r="D255" s="171"/>
      <c r="E255" s="502"/>
      <c r="F255" s="502"/>
      <c r="G255" s="502"/>
      <c r="H255" s="503"/>
      <c r="I255" s="503"/>
      <c r="J255" s="431"/>
      <c r="K255" s="431"/>
      <c r="L255" s="431"/>
      <c r="M255" s="431"/>
      <c r="N255" s="431"/>
      <c r="O255" s="431"/>
      <c r="P255" s="431"/>
      <c r="Q255" s="431"/>
      <c r="R255" s="431"/>
      <c r="S255" s="431"/>
      <c r="T255" s="431"/>
      <c r="U255" s="431"/>
      <c r="V255" s="431"/>
      <c r="W255" s="431"/>
      <c r="X255" s="431"/>
      <c r="Y255" s="431"/>
      <c r="Z255" s="431"/>
      <c r="AA255" s="431"/>
      <c r="AB255" s="431"/>
      <c r="AC255" s="431"/>
      <c r="AD255" s="431"/>
      <c r="AE255" s="431"/>
      <c r="AF255" s="431"/>
      <c r="AG255" s="431"/>
      <c r="AH255" s="431"/>
      <c r="AI255" s="431"/>
      <c r="AJ255" s="431"/>
      <c r="AK255" s="431"/>
      <c r="AL255" s="431"/>
      <c r="AM255" s="431"/>
      <c r="AN255" s="431"/>
      <c r="AO255" s="431"/>
      <c r="AP255" s="431"/>
      <c r="AQ255" s="431"/>
      <c r="AR255" s="431"/>
      <c r="AS255" s="431"/>
      <c r="AT255" s="431"/>
      <c r="AU255" s="431"/>
      <c r="AV255" s="431"/>
      <c r="AW255" s="431"/>
      <c r="AX255" s="431"/>
      <c r="AY255" s="431"/>
      <c r="AZ255" s="431"/>
      <c r="BA255" s="431"/>
      <c r="BB255" s="431"/>
      <c r="BC255" s="431"/>
      <c r="BD255" s="431"/>
      <c r="BE255" s="431"/>
      <c r="BF255" s="431"/>
      <c r="BG255" s="431"/>
      <c r="BH255" s="431"/>
      <c r="BI255" s="431"/>
      <c r="BJ255" s="431"/>
      <c r="BK255" s="431"/>
      <c r="BL255" s="431"/>
      <c r="BM255" s="431"/>
      <c r="BN255" s="431"/>
      <c r="BO255" s="431"/>
      <c r="BP255" s="431"/>
      <c r="BQ255" s="431"/>
      <c r="BR255" s="431"/>
      <c r="BS255" s="431"/>
      <c r="BT255" s="431"/>
      <c r="BU255" s="431"/>
      <c r="BV255" s="431"/>
      <c r="BW255" s="426"/>
      <c r="BX255" s="426"/>
      <c r="BY255" s="426"/>
      <c r="BZ255" s="426"/>
      <c r="CA255" s="426"/>
      <c r="CB255" s="431"/>
      <c r="CC255" s="431"/>
      <c r="CD255" s="431"/>
      <c r="CE255" s="431"/>
      <c r="CF255" s="431"/>
      <c r="CG255" s="431"/>
      <c r="CH255" s="431"/>
    </row>
    <row r="256" spans="1:86" ht="16.5" outlineLevel="1" thickBot="1" x14ac:dyDescent="0.3">
      <c r="A256" s="443"/>
      <c r="B256" s="443"/>
      <c r="C256" s="504" t="s">
        <v>237</v>
      </c>
      <c r="D256" s="505"/>
      <c r="E256" s="506"/>
      <c r="F256" s="506"/>
      <c r="G256" s="503"/>
      <c r="H256" s="503"/>
      <c r="I256" s="503"/>
      <c r="J256" s="431"/>
      <c r="K256" s="431"/>
      <c r="L256" s="431"/>
      <c r="M256" s="431"/>
      <c r="N256" s="431"/>
      <c r="O256" s="431"/>
      <c r="P256" s="431"/>
      <c r="Q256" s="431"/>
      <c r="R256" s="431"/>
      <c r="S256" s="431"/>
      <c r="T256" s="431"/>
      <c r="U256" s="431"/>
      <c r="V256" s="431"/>
      <c r="W256" s="431"/>
      <c r="X256" s="431"/>
      <c r="Y256" s="431"/>
      <c r="Z256" s="431"/>
      <c r="AA256" s="431"/>
      <c r="AB256" s="431"/>
      <c r="AC256" s="431"/>
      <c r="AD256" s="431"/>
      <c r="AE256" s="431"/>
      <c r="AF256" s="431"/>
      <c r="AG256" s="431"/>
      <c r="AH256" s="431"/>
      <c r="AI256" s="431"/>
      <c r="AJ256" s="431"/>
      <c r="AK256" s="431"/>
      <c r="AL256" s="431"/>
      <c r="AM256" s="431"/>
      <c r="AN256" s="431"/>
      <c r="AO256" s="431"/>
      <c r="AP256" s="431"/>
      <c r="AQ256" s="431"/>
      <c r="AR256" s="431"/>
      <c r="AS256" s="431"/>
      <c r="AT256" s="431"/>
      <c r="AU256" s="431"/>
      <c r="AV256" s="431"/>
      <c r="AW256" s="431"/>
      <c r="AX256" s="431"/>
      <c r="AY256" s="431"/>
      <c r="AZ256" s="431"/>
      <c r="BA256" s="431"/>
      <c r="BB256" s="431"/>
      <c r="BC256" s="431"/>
      <c r="BD256" s="431"/>
      <c r="BE256" s="431"/>
      <c r="BF256" s="431"/>
      <c r="BG256" s="431"/>
      <c r="BH256" s="431"/>
      <c r="BI256" s="431"/>
      <c r="BJ256" s="431"/>
      <c r="BK256" s="431"/>
      <c r="BL256" s="431"/>
      <c r="BM256" s="431"/>
      <c r="BN256" s="431"/>
      <c r="BO256" s="431"/>
      <c r="BP256" s="431"/>
      <c r="BQ256" s="431"/>
      <c r="BR256" s="431"/>
      <c r="BS256" s="431"/>
      <c r="BT256" s="431"/>
      <c r="BU256" s="431"/>
      <c r="BV256" s="431"/>
      <c r="BW256" s="431"/>
      <c r="BX256" s="431"/>
      <c r="BY256" s="431"/>
      <c r="BZ256" s="431"/>
      <c r="CA256" s="431"/>
      <c r="CB256" s="431"/>
      <c r="CC256" s="431"/>
      <c r="CD256" s="431"/>
      <c r="CE256" s="431"/>
      <c r="CF256" s="431"/>
      <c r="CG256" s="431"/>
      <c r="CH256" s="431"/>
    </row>
    <row r="257" spans="1:86" ht="19.5" outlineLevel="1" thickBot="1" x14ac:dyDescent="0.3">
      <c r="A257" s="434"/>
      <c r="B257" s="507"/>
      <c r="C257" s="432" t="s">
        <v>39</v>
      </c>
      <c r="D257" s="508" t="s">
        <v>46</v>
      </c>
      <c r="E257" s="554" t="s">
        <v>1148</v>
      </c>
      <c r="F257" s="557"/>
      <c r="G257" s="503"/>
      <c r="H257" s="509" t="s">
        <v>39</v>
      </c>
      <c r="I257" s="509" t="s">
        <v>46</v>
      </c>
      <c r="J257" s="508" t="s">
        <v>1148</v>
      </c>
      <c r="K257" s="509" t="s">
        <v>40</v>
      </c>
      <c r="L257" s="431"/>
      <c r="M257" s="431"/>
      <c r="N257" s="431"/>
      <c r="O257" s="431"/>
      <c r="P257" s="431"/>
      <c r="Q257" s="431"/>
      <c r="R257" s="431"/>
      <c r="S257" s="431"/>
      <c r="T257" s="431"/>
      <c r="U257" s="431"/>
      <c r="V257" s="431"/>
      <c r="W257" s="431"/>
      <c r="X257" s="431"/>
      <c r="Y257" s="431"/>
      <c r="Z257" s="431"/>
      <c r="AA257" s="431"/>
      <c r="AB257" s="431"/>
      <c r="AC257" s="431"/>
      <c r="AD257" s="431"/>
      <c r="AE257" s="431"/>
      <c r="AF257" s="431"/>
      <c r="AG257" s="431"/>
      <c r="AH257" s="431"/>
      <c r="AI257" s="431"/>
      <c r="AJ257" s="431"/>
      <c r="AK257" s="431"/>
      <c r="AL257" s="431"/>
      <c r="AM257" s="431"/>
      <c r="AN257" s="431"/>
      <c r="AO257" s="431"/>
      <c r="AP257" s="431"/>
      <c r="AQ257" s="431"/>
      <c r="AR257" s="431"/>
      <c r="AS257" s="431"/>
      <c r="AT257" s="431"/>
      <c r="AU257" s="431"/>
      <c r="AV257" s="431"/>
      <c r="AW257" s="431"/>
      <c r="AX257" s="431"/>
      <c r="AY257" s="431"/>
      <c r="AZ257" s="431"/>
      <c r="BA257" s="431"/>
      <c r="BB257" s="431"/>
      <c r="BC257" s="431"/>
      <c r="BD257" s="431"/>
      <c r="BE257" s="431"/>
      <c r="BF257" s="431"/>
      <c r="BG257" s="431"/>
      <c r="BH257" s="431"/>
      <c r="BI257" s="431"/>
      <c r="BJ257" s="431"/>
      <c r="BK257" s="431"/>
      <c r="BL257" s="431"/>
      <c r="BM257" s="431"/>
      <c r="BN257" s="431"/>
      <c r="BO257" s="431"/>
      <c r="BP257" s="431"/>
      <c r="BQ257" s="431"/>
      <c r="BR257" s="431"/>
      <c r="BS257" s="431"/>
      <c r="BT257" s="431"/>
      <c r="BU257" s="431"/>
      <c r="BV257" s="431"/>
      <c r="BW257" s="431"/>
      <c r="BX257" s="431"/>
      <c r="BY257" s="431"/>
      <c r="BZ257" s="431"/>
      <c r="CA257" s="431"/>
      <c r="CB257" s="431"/>
      <c r="CC257" s="431"/>
      <c r="CD257" s="431"/>
      <c r="CE257" s="431"/>
      <c r="CF257" s="431"/>
      <c r="CG257" s="431"/>
      <c r="CH257" s="431"/>
    </row>
    <row r="258" spans="1:86" ht="21.4" customHeight="1" outlineLevel="1" x14ac:dyDescent="0.25">
      <c r="A258" s="434"/>
      <c r="B258" s="510"/>
      <c r="C258" s="281" t="s">
        <v>1035</v>
      </c>
      <c r="D258" s="397" t="s">
        <v>47</v>
      </c>
      <c r="E258" s="555">
        <v>28</v>
      </c>
      <c r="F258" s="558"/>
      <c r="G258" s="503"/>
      <c r="H258" s="281" t="s">
        <v>160</v>
      </c>
      <c r="I258" s="1329" t="s">
        <v>161</v>
      </c>
      <c r="J258" s="512">
        <v>6226</v>
      </c>
      <c r="K258" s="1329" t="s">
        <v>41</v>
      </c>
      <c r="L258" s="513"/>
      <c r="M258" s="513"/>
      <c r="N258" s="514"/>
      <c r="O258" s="431"/>
      <c r="P258" s="431"/>
      <c r="Q258" s="431"/>
      <c r="R258" s="431"/>
      <c r="S258" s="431"/>
      <c r="T258" s="431"/>
      <c r="U258" s="431"/>
      <c r="V258" s="431"/>
      <c r="W258" s="431"/>
      <c r="X258" s="431"/>
      <c r="Y258" s="431"/>
      <c r="Z258" s="431"/>
      <c r="AA258" s="431"/>
      <c r="AB258" s="431"/>
      <c r="AC258" s="431"/>
      <c r="AD258" s="431"/>
      <c r="AE258" s="431"/>
      <c r="AF258" s="431"/>
      <c r="AG258" s="431"/>
      <c r="AH258" s="431"/>
      <c r="AI258" s="431"/>
      <c r="AJ258" s="431"/>
      <c r="AK258" s="431"/>
      <c r="AL258" s="431"/>
      <c r="AM258" s="431"/>
      <c r="AN258" s="431"/>
      <c r="AO258" s="431"/>
      <c r="AP258" s="431"/>
      <c r="AQ258" s="431"/>
      <c r="AR258" s="431"/>
      <c r="AS258" s="431"/>
      <c r="AT258" s="431"/>
      <c r="AU258" s="431"/>
      <c r="AV258" s="431"/>
      <c r="AW258" s="431"/>
      <c r="AX258" s="431"/>
      <c r="AY258" s="431"/>
      <c r="AZ258" s="431"/>
      <c r="BA258" s="431"/>
      <c r="BB258" s="431"/>
      <c r="BC258" s="431"/>
      <c r="BD258" s="431"/>
      <c r="BE258" s="431"/>
      <c r="BF258" s="431"/>
      <c r="BG258" s="431"/>
      <c r="BH258" s="431"/>
      <c r="BI258" s="431"/>
      <c r="BJ258" s="431"/>
      <c r="BK258" s="431"/>
      <c r="BL258" s="431"/>
      <c r="BM258" s="431"/>
      <c r="BN258" s="431"/>
      <c r="BO258" s="431"/>
      <c r="BP258" s="431"/>
      <c r="BQ258" s="431"/>
      <c r="BR258" s="431"/>
      <c r="BS258" s="431"/>
      <c r="BT258" s="431"/>
      <c r="BU258" s="431"/>
      <c r="BV258" s="431"/>
      <c r="BW258" s="431"/>
      <c r="BX258" s="431"/>
      <c r="BY258" s="431"/>
      <c r="BZ258" s="431"/>
      <c r="CA258" s="431"/>
      <c r="CB258" s="431"/>
      <c r="CC258" s="431"/>
      <c r="CD258" s="431"/>
      <c r="CE258" s="431"/>
      <c r="CF258" s="431"/>
      <c r="CG258" s="431"/>
      <c r="CH258" s="431"/>
    </row>
    <row r="259" spans="1:86" ht="18.75" outlineLevel="1" x14ac:dyDescent="0.25">
      <c r="A259" s="434"/>
      <c r="B259" s="510"/>
      <c r="C259" s="281" t="s">
        <v>1036</v>
      </c>
      <c r="D259" s="397" t="s">
        <v>47</v>
      </c>
      <c r="E259" s="555">
        <v>265</v>
      </c>
      <c r="F259" s="558"/>
      <c r="G259" s="503"/>
      <c r="H259" s="281" t="s">
        <v>162</v>
      </c>
      <c r="I259" s="1330"/>
      <c r="J259" s="512">
        <v>10200</v>
      </c>
      <c r="K259" s="1330"/>
      <c r="L259" s="515"/>
      <c r="M259" s="515"/>
      <c r="N259" s="516"/>
      <c r="O259" s="431"/>
      <c r="P259" s="431"/>
      <c r="Q259" s="431"/>
      <c r="R259" s="431"/>
      <c r="S259" s="431"/>
      <c r="T259" s="431"/>
      <c r="U259" s="431"/>
      <c r="V259" s="431"/>
      <c r="W259" s="431"/>
      <c r="X259" s="431"/>
      <c r="Y259" s="431"/>
      <c r="Z259" s="431"/>
      <c r="AA259" s="431"/>
      <c r="AB259" s="431"/>
      <c r="AC259" s="431"/>
      <c r="AD259" s="431"/>
      <c r="AE259" s="431"/>
      <c r="AF259" s="431"/>
      <c r="AG259" s="431"/>
      <c r="AH259" s="431"/>
      <c r="AI259" s="431"/>
      <c r="AJ259" s="431"/>
      <c r="AK259" s="431"/>
      <c r="AL259" s="431"/>
      <c r="AM259" s="431"/>
      <c r="AN259" s="431"/>
      <c r="AO259" s="431"/>
      <c r="AP259" s="431"/>
      <c r="AQ259" s="431"/>
      <c r="AR259" s="431"/>
      <c r="AS259" s="431"/>
      <c r="AT259" s="431"/>
      <c r="AU259" s="431"/>
      <c r="AV259" s="431"/>
      <c r="AW259" s="431"/>
      <c r="AX259" s="431"/>
      <c r="AY259" s="431"/>
      <c r="AZ259" s="431"/>
      <c r="BA259" s="431"/>
      <c r="BB259" s="431"/>
      <c r="BC259" s="431"/>
      <c r="BD259" s="431"/>
      <c r="BE259" s="431"/>
      <c r="BF259" s="431"/>
      <c r="BG259" s="431"/>
      <c r="BH259" s="431"/>
      <c r="BI259" s="431"/>
      <c r="BJ259" s="431"/>
      <c r="BK259" s="431"/>
      <c r="BL259" s="431"/>
      <c r="BM259" s="431"/>
      <c r="BN259" s="431"/>
      <c r="BO259" s="431"/>
      <c r="BP259" s="431"/>
      <c r="BQ259" s="431"/>
      <c r="BR259" s="431"/>
      <c r="BS259" s="431"/>
      <c r="BT259" s="431"/>
      <c r="BU259" s="431"/>
      <c r="BV259" s="431"/>
      <c r="BW259" s="431"/>
      <c r="BX259" s="431"/>
      <c r="BY259" s="431"/>
      <c r="BZ259" s="431"/>
      <c r="CA259" s="431"/>
      <c r="CB259" s="431"/>
      <c r="CC259" s="431"/>
      <c r="CD259" s="431"/>
      <c r="CE259" s="431"/>
      <c r="CF259" s="431"/>
      <c r="CG259" s="431"/>
      <c r="CH259" s="431"/>
    </row>
    <row r="260" spans="1:86" ht="18.75" outlineLevel="1" x14ac:dyDescent="0.25">
      <c r="A260" s="434"/>
      <c r="B260" s="510"/>
      <c r="C260" s="281" t="s">
        <v>1037</v>
      </c>
      <c r="D260" s="397" t="s">
        <v>47</v>
      </c>
      <c r="E260" s="555">
        <v>23500</v>
      </c>
      <c r="F260" s="558"/>
      <c r="G260" s="503"/>
      <c r="H260" s="281" t="s">
        <v>163</v>
      </c>
      <c r="I260" s="1330"/>
      <c r="J260" s="512">
        <v>13900</v>
      </c>
      <c r="K260" s="1330"/>
      <c r="L260" s="431"/>
      <c r="M260" s="431"/>
      <c r="N260" s="431"/>
      <c r="O260" s="431"/>
      <c r="P260" s="431"/>
      <c r="Q260" s="431"/>
      <c r="R260" s="431"/>
      <c r="S260" s="431"/>
      <c r="T260" s="431"/>
      <c r="U260" s="431"/>
      <c r="V260" s="431"/>
      <c r="W260" s="431"/>
      <c r="X260" s="431"/>
      <c r="Y260" s="431"/>
      <c r="Z260" s="431"/>
      <c r="AA260" s="431"/>
      <c r="AB260" s="431"/>
      <c r="AC260" s="431"/>
      <c r="AD260" s="431"/>
      <c r="AE260" s="431"/>
      <c r="AF260" s="431"/>
      <c r="AG260" s="431"/>
      <c r="AH260" s="431"/>
      <c r="AI260" s="431"/>
      <c r="AJ260" s="431"/>
      <c r="AK260" s="431"/>
      <c r="AL260" s="431"/>
      <c r="AM260" s="431"/>
      <c r="AN260" s="431"/>
      <c r="AO260" s="431"/>
      <c r="AP260" s="431"/>
      <c r="AQ260" s="431"/>
      <c r="AR260" s="431"/>
      <c r="AS260" s="431"/>
      <c r="AT260" s="431"/>
      <c r="AU260" s="431"/>
      <c r="AV260" s="431"/>
      <c r="AW260" s="431"/>
      <c r="AX260" s="431"/>
      <c r="AY260" s="431"/>
      <c r="AZ260" s="431"/>
      <c r="BA260" s="431"/>
      <c r="BB260" s="431"/>
      <c r="BC260" s="431"/>
      <c r="BD260" s="431"/>
      <c r="BE260" s="431"/>
      <c r="BF260" s="431"/>
      <c r="BG260" s="431"/>
      <c r="BH260" s="431"/>
      <c r="BI260" s="431"/>
      <c r="BJ260" s="431"/>
      <c r="BK260" s="431"/>
      <c r="BL260" s="431"/>
      <c r="BM260" s="431"/>
      <c r="BN260" s="431"/>
      <c r="BO260" s="431"/>
      <c r="BP260" s="431"/>
      <c r="BQ260" s="431"/>
      <c r="BR260" s="431"/>
      <c r="BS260" s="431"/>
      <c r="BT260" s="431"/>
      <c r="BU260" s="431"/>
      <c r="BV260" s="431"/>
      <c r="BW260" s="431"/>
      <c r="BX260" s="431"/>
      <c r="BY260" s="431"/>
      <c r="BZ260" s="431"/>
      <c r="CA260" s="431"/>
      <c r="CB260" s="431"/>
      <c r="CC260" s="431"/>
      <c r="CD260" s="431"/>
      <c r="CE260" s="431"/>
      <c r="CF260" s="431"/>
      <c r="CG260" s="431"/>
      <c r="CH260" s="431"/>
    </row>
    <row r="261" spans="1:86" ht="15.75" customHeight="1" outlineLevel="1" x14ac:dyDescent="0.25">
      <c r="A261" s="434"/>
      <c r="B261" s="510"/>
      <c r="C261" s="281" t="s">
        <v>1038</v>
      </c>
      <c r="D261" s="397" t="s">
        <v>47</v>
      </c>
      <c r="E261" s="555">
        <v>16100</v>
      </c>
      <c r="F261" s="558"/>
      <c r="G261" s="503"/>
      <c r="H261" s="281" t="s">
        <v>164</v>
      </c>
      <c r="I261" s="1330"/>
      <c r="J261" s="512">
        <v>5820</v>
      </c>
      <c r="K261" s="1330"/>
      <c r="L261" s="431"/>
      <c r="M261" s="431"/>
      <c r="N261" s="431"/>
      <c r="O261" s="431"/>
      <c r="P261" s="431"/>
      <c r="Q261" s="431"/>
      <c r="R261" s="431"/>
      <c r="S261" s="431"/>
      <c r="T261" s="431"/>
      <c r="U261" s="431"/>
      <c r="V261" s="431"/>
      <c r="W261" s="431"/>
      <c r="X261" s="431"/>
      <c r="Y261" s="431"/>
      <c r="Z261" s="431"/>
      <c r="AA261" s="431"/>
      <c r="AB261" s="431"/>
      <c r="AC261" s="431"/>
      <c r="AD261" s="431"/>
      <c r="AE261" s="431"/>
      <c r="AF261" s="431"/>
      <c r="AG261" s="431"/>
      <c r="AH261" s="431"/>
      <c r="AI261" s="431"/>
      <c r="AJ261" s="431"/>
      <c r="AK261" s="431"/>
      <c r="AL261" s="431"/>
      <c r="AM261" s="431"/>
      <c r="AN261" s="431"/>
      <c r="AO261" s="431"/>
      <c r="AP261" s="431"/>
      <c r="AQ261" s="431"/>
      <c r="AR261" s="431"/>
      <c r="AS261" s="431"/>
      <c r="AT261" s="431"/>
      <c r="AU261" s="431"/>
      <c r="AV261" s="431"/>
      <c r="AW261" s="431"/>
      <c r="AX261" s="431"/>
      <c r="AY261" s="431"/>
      <c r="AZ261" s="431"/>
      <c r="BA261" s="431"/>
      <c r="BB261" s="431"/>
      <c r="BC261" s="431"/>
      <c r="BD261" s="431"/>
      <c r="BE261" s="431"/>
      <c r="BF261" s="431"/>
      <c r="BG261" s="431"/>
      <c r="BH261" s="431"/>
      <c r="BI261" s="431"/>
      <c r="BJ261" s="431"/>
      <c r="BK261" s="431"/>
      <c r="BL261" s="431"/>
      <c r="BM261" s="431"/>
      <c r="BN261" s="431"/>
      <c r="BO261" s="431"/>
      <c r="BP261" s="431"/>
      <c r="BQ261" s="431"/>
      <c r="BR261" s="431"/>
      <c r="BS261" s="431"/>
      <c r="BT261" s="431"/>
      <c r="BU261" s="431"/>
      <c r="BV261" s="431"/>
      <c r="BW261" s="431"/>
      <c r="BX261" s="431"/>
      <c r="BY261" s="431"/>
      <c r="BZ261" s="431"/>
      <c r="CA261" s="431"/>
      <c r="CB261" s="431"/>
      <c r="CC261" s="431"/>
      <c r="CD261" s="431"/>
      <c r="CE261" s="431"/>
      <c r="CF261" s="431"/>
      <c r="CG261" s="431"/>
      <c r="CH261" s="431"/>
    </row>
    <row r="262" spans="1:86" ht="15.75" customHeight="1" outlineLevel="1" x14ac:dyDescent="0.25">
      <c r="A262" s="434"/>
      <c r="B262" s="510"/>
      <c r="C262" s="281" t="s">
        <v>1039</v>
      </c>
      <c r="D262" s="397" t="s">
        <v>47</v>
      </c>
      <c r="E262" s="555">
        <v>1</v>
      </c>
      <c r="F262" s="558"/>
      <c r="G262" s="503"/>
      <c r="H262" s="281" t="s">
        <v>165</v>
      </c>
      <c r="I262" s="1330"/>
      <c r="J262" s="512">
        <v>8590</v>
      </c>
      <c r="K262" s="1330"/>
      <c r="L262" s="431"/>
      <c r="M262" s="431"/>
      <c r="N262" s="431"/>
      <c r="O262" s="431"/>
      <c r="P262" s="431"/>
      <c r="Q262" s="431"/>
      <c r="R262" s="431"/>
      <c r="S262" s="431"/>
      <c r="T262" s="431"/>
      <c r="U262" s="431"/>
      <c r="V262" s="431"/>
      <c r="W262" s="431"/>
      <c r="X262" s="431"/>
      <c r="Y262" s="431"/>
      <c r="Z262" s="431"/>
      <c r="AA262" s="431"/>
      <c r="AB262" s="431"/>
      <c r="AC262" s="431"/>
      <c r="AD262" s="431"/>
      <c r="AE262" s="431"/>
      <c r="AF262" s="431"/>
      <c r="AG262" s="431"/>
      <c r="AH262" s="431"/>
      <c r="AI262" s="431"/>
      <c r="AJ262" s="431"/>
      <c r="AK262" s="431"/>
      <c r="AL262" s="431"/>
      <c r="AM262" s="431"/>
      <c r="AN262" s="431"/>
      <c r="AO262" s="431"/>
      <c r="AP262" s="431"/>
      <c r="AQ262" s="431"/>
      <c r="AR262" s="431"/>
      <c r="AS262" s="431"/>
      <c r="AT262" s="431"/>
      <c r="AU262" s="431"/>
      <c r="AV262" s="431"/>
      <c r="AW262" s="431"/>
      <c r="AX262" s="431"/>
      <c r="AY262" s="431"/>
      <c r="AZ262" s="431"/>
      <c r="BA262" s="431"/>
      <c r="BB262" s="431"/>
      <c r="BC262" s="431"/>
      <c r="BD262" s="431"/>
      <c r="BE262" s="431"/>
      <c r="BF262" s="431"/>
      <c r="BG262" s="431"/>
      <c r="BH262" s="431"/>
      <c r="BI262" s="431"/>
      <c r="BJ262" s="431"/>
      <c r="BK262" s="431"/>
      <c r="BL262" s="431"/>
      <c r="BM262" s="431"/>
      <c r="BN262" s="431"/>
      <c r="BO262" s="431"/>
      <c r="BP262" s="431"/>
      <c r="BQ262" s="431"/>
      <c r="BR262" s="431"/>
      <c r="BS262" s="431"/>
      <c r="BT262" s="431"/>
      <c r="BU262" s="431"/>
      <c r="BV262" s="431"/>
      <c r="BW262" s="431"/>
      <c r="BX262" s="431"/>
      <c r="BY262" s="431"/>
      <c r="BZ262" s="431"/>
      <c r="CA262" s="431"/>
      <c r="CB262" s="431"/>
      <c r="CC262" s="431"/>
      <c r="CD262" s="431"/>
      <c r="CE262" s="431"/>
      <c r="CF262" s="431"/>
      <c r="CG262" s="431"/>
      <c r="CH262" s="431"/>
    </row>
    <row r="263" spans="1:86" ht="15.75" customHeight="1" outlineLevel="1" x14ac:dyDescent="0.25">
      <c r="A263" s="434"/>
      <c r="B263" s="510"/>
      <c r="C263" s="281" t="s">
        <v>48</v>
      </c>
      <c r="D263" s="517" t="s">
        <v>49</v>
      </c>
      <c r="E263" s="555">
        <v>12400</v>
      </c>
      <c r="F263" s="558"/>
      <c r="G263" s="503"/>
      <c r="H263" s="281" t="s">
        <v>166</v>
      </c>
      <c r="I263" s="1331"/>
      <c r="J263" s="512">
        <v>7670</v>
      </c>
      <c r="K263" s="1330"/>
      <c r="L263" s="431"/>
      <c r="M263" s="431"/>
      <c r="N263" s="431"/>
      <c r="O263" s="431"/>
      <c r="P263" s="431"/>
      <c r="Q263" s="431"/>
      <c r="R263" s="431"/>
      <c r="S263" s="431"/>
      <c r="T263" s="431"/>
      <c r="U263" s="431"/>
      <c r="V263" s="431"/>
      <c r="W263" s="431"/>
      <c r="X263" s="431"/>
      <c r="Y263" s="431"/>
      <c r="Z263" s="431"/>
      <c r="AA263" s="431"/>
      <c r="AB263" s="431"/>
      <c r="AC263" s="431"/>
      <c r="AD263" s="431"/>
      <c r="AE263" s="431"/>
      <c r="AF263" s="431"/>
      <c r="AG263" s="431"/>
      <c r="AH263" s="431"/>
      <c r="AI263" s="431"/>
      <c r="AJ263" s="431"/>
      <c r="AK263" s="431"/>
      <c r="AL263" s="431"/>
      <c r="AM263" s="431"/>
      <c r="AN263" s="431"/>
      <c r="AO263" s="431"/>
      <c r="AP263" s="431"/>
      <c r="AQ263" s="431"/>
      <c r="AR263" s="431"/>
      <c r="AS263" s="431"/>
      <c r="AT263" s="431"/>
      <c r="AU263" s="431"/>
      <c r="AV263" s="431"/>
      <c r="AW263" s="431"/>
      <c r="AX263" s="431"/>
      <c r="AY263" s="431"/>
      <c r="AZ263" s="431"/>
      <c r="BA263" s="431"/>
      <c r="BB263" s="431"/>
      <c r="BC263" s="431"/>
      <c r="BD263" s="431"/>
      <c r="BE263" s="431"/>
      <c r="BF263" s="431"/>
      <c r="BG263" s="431"/>
      <c r="BH263" s="431"/>
      <c r="BI263" s="431"/>
      <c r="BJ263" s="431"/>
      <c r="BK263" s="431"/>
      <c r="BL263" s="431"/>
      <c r="BM263" s="431"/>
      <c r="BN263" s="431"/>
      <c r="BO263" s="431"/>
      <c r="BP263" s="431"/>
      <c r="BQ263" s="431"/>
      <c r="BR263" s="431"/>
      <c r="BS263" s="431"/>
      <c r="BT263" s="431"/>
      <c r="BU263" s="431"/>
      <c r="BV263" s="431"/>
      <c r="BW263" s="431"/>
      <c r="BX263" s="431"/>
      <c r="BY263" s="431"/>
      <c r="BZ263" s="431"/>
      <c r="CA263" s="431"/>
      <c r="CB263" s="431"/>
      <c r="CC263" s="431"/>
      <c r="CD263" s="431"/>
      <c r="CE263" s="431"/>
      <c r="CF263" s="431"/>
      <c r="CG263" s="431"/>
      <c r="CH263" s="431"/>
    </row>
    <row r="264" spans="1:86" ht="15.75" customHeight="1" outlineLevel="1" x14ac:dyDescent="0.25">
      <c r="A264" s="434"/>
      <c r="B264" s="510"/>
      <c r="C264" s="281" t="s">
        <v>50</v>
      </c>
      <c r="D264" s="511"/>
      <c r="E264" s="555">
        <v>677</v>
      </c>
      <c r="F264" s="558"/>
      <c r="G264" s="503"/>
      <c r="H264" s="281" t="s">
        <v>167</v>
      </c>
      <c r="I264" s="407"/>
      <c r="J264" s="512">
        <v>6290</v>
      </c>
      <c r="K264" s="1330"/>
      <c r="L264" s="431"/>
      <c r="M264" s="431"/>
      <c r="N264" s="431"/>
      <c r="O264" s="431"/>
      <c r="P264" s="431"/>
      <c r="Q264" s="431"/>
      <c r="R264" s="431"/>
      <c r="S264" s="431"/>
      <c r="T264" s="431"/>
      <c r="U264" s="431"/>
      <c r="V264" s="431"/>
      <c r="W264" s="431"/>
      <c r="X264" s="431"/>
      <c r="Y264" s="431"/>
      <c r="Z264" s="431"/>
      <c r="AA264" s="431"/>
      <c r="AB264" s="431"/>
      <c r="AC264" s="431"/>
      <c r="AD264" s="431"/>
      <c r="AE264" s="431"/>
      <c r="AF264" s="431"/>
      <c r="AG264" s="431"/>
      <c r="AH264" s="431"/>
      <c r="AI264" s="431"/>
      <c r="AJ264" s="431"/>
      <c r="AK264" s="431"/>
      <c r="AL264" s="431"/>
      <c r="AM264" s="431"/>
      <c r="AN264" s="431"/>
      <c r="AO264" s="431"/>
      <c r="AP264" s="431"/>
      <c r="AQ264" s="431"/>
      <c r="AR264" s="431"/>
      <c r="AS264" s="431"/>
      <c r="AT264" s="431"/>
      <c r="AU264" s="431"/>
      <c r="AV264" s="431"/>
      <c r="AW264" s="431"/>
      <c r="AX264" s="431"/>
      <c r="AY264" s="431"/>
      <c r="AZ264" s="431"/>
      <c r="BA264" s="431"/>
      <c r="BB264" s="431"/>
      <c r="BC264" s="431"/>
      <c r="BD264" s="431"/>
      <c r="BE264" s="431"/>
      <c r="BF264" s="431"/>
      <c r="BG264" s="431"/>
      <c r="BH264" s="431"/>
      <c r="BI264" s="431"/>
      <c r="BJ264" s="431"/>
      <c r="BK264" s="431"/>
      <c r="BL264" s="431"/>
      <c r="BM264" s="431"/>
      <c r="BN264" s="431"/>
      <c r="BO264" s="431"/>
      <c r="BP264" s="431"/>
      <c r="BQ264" s="431"/>
      <c r="BR264" s="431"/>
      <c r="BS264" s="431"/>
      <c r="BT264" s="431"/>
      <c r="BU264" s="431"/>
      <c r="BV264" s="431"/>
      <c r="BW264" s="431"/>
      <c r="BX264" s="431"/>
      <c r="BY264" s="431"/>
      <c r="BZ264" s="431"/>
      <c r="CA264" s="431"/>
      <c r="CB264" s="431"/>
      <c r="CC264" s="431"/>
      <c r="CD264" s="431"/>
      <c r="CE264" s="431"/>
      <c r="CF264" s="431"/>
      <c r="CG264" s="431"/>
      <c r="CH264" s="431"/>
    </row>
    <row r="265" spans="1:86" ht="15.75" customHeight="1" outlineLevel="1" x14ac:dyDescent="0.25">
      <c r="A265" s="434"/>
      <c r="B265" s="510"/>
      <c r="C265" s="281" t="s">
        <v>51</v>
      </c>
      <c r="D265" s="511"/>
      <c r="E265" s="555">
        <v>116</v>
      </c>
      <c r="F265" s="558"/>
      <c r="G265" s="503"/>
      <c r="H265" s="281" t="s">
        <v>168</v>
      </c>
      <c r="I265" s="407"/>
      <c r="J265" s="512">
        <v>1750</v>
      </c>
      <c r="K265" s="1330"/>
      <c r="L265" s="431"/>
      <c r="M265" s="431"/>
      <c r="N265" s="431"/>
      <c r="O265" s="431"/>
      <c r="P265" s="431"/>
      <c r="Q265" s="431"/>
      <c r="R265" s="431"/>
      <c r="S265" s="431"/>
      <c r="T265" s="431"/>
      <c r="U265" s="431"/>
      <c r="V265" s="431"/>
      <c r="W265" s="431"/>
      <c r="X265" s="431"/>
      <c r="Y265" s="431"/>
      <c r="Z265" s="431"/>
      <c r="AA265" s="431"/>
      <c r="AB265" s="431"/>
      <c r="AC265" s="431"/>
      <c r="AD265" s="431"/>
      <c r="AE265" s="431"/>
      <c r="AF265" s="431"/>
      <c r="AG265" s="431"/>
      <c r="AH265" s="431"/>
      <c r="AI265" s="431"/>
      <c r="AJ265" s="431"/>
      <c r="AK265" s="431"/>
      <c r="AL265" s="431"/>
      <c r="AM265" s="431"/>
      <c r="AN265" s="431"/>
      <c r="AO265" s="431"/>
      <c r="AP265" s="431"/>
      <c r="AQ265" s="431"/>
      <c r="AR265" s="431"/>
      <c r="AS265" s="431"/>
      <c r="AT265" s="431"/>
      <c r="AU265" s="431"/>
      <c r="AV265" s="431"/>
      <c r="AW265" s="431"/>
      <c r="AX265" s="431"/>
      <c r="AY265" s="431"/>
      <c r="AZ265" s="431"/>
      <c r="BA265" s="431"/>
      <c r="BB265" s="431"/>
      <c r="BC265" s="431"/>
      <c r="BD265" s="431"/>
      <c r="BE265" s="431"/>
      <c r="BF265" s="431"/>
      <c r="BG265" s="431"/>
      <c r="BH265" s="431"/>
      <c r="BI265" s="431"/>
      <c r="BJ265" s="431"/>
      <c r="BK265" s="431"/>
      <c r="BL265" s="431"/>
      <c r="BM265" s="431"/>
      <c r="BN265" s="431"/>
      <c r="BO265" s="431"/>
      <c r="BP265" s="431"/>
      <c r="BQ265" s="431"/>
      <c r="BR265" s="431"/>
      <c r="BS265" s="431"/>
      <c r="BT265" s="431"/>
      <c r="BU265" s="431"/>
      <c r="BV265" s="431"/>
      <c r="BW265" s="431"/>
      <c r="BX265" s="431"/>
      <c r="BY265" s="431"/>
      <c r="BZ265" s="431"/>
      <c r="CA265" s="431"/>
      <c r="CB265" s="431"/>
      <c r="CC265" s="431"/>
      <c r="CD265" s="431"/>
      <c r="CE265" s="431"/>
      <c r="CF265" s="431"/>
      <c r="CG265" s="431"/>
      <c r="CH265" s="431"/>
    </row>
    <row r="266" spans="1:86" ht="15.75" customHeight="1" outlineLevel="1" x14ac:dyDescent="0.25">
      <c r="A266" s="434"/>
      <c r="B266" s="510"/>
      <c r="C266" s="281" t="s">
        <v>52</v>
      </c>
      <c r="D266" s="511"/>
      <c r="E266" s="555">
        <v>317</v>
      </c>
      <c r="F266" s="558"/>
      <c r="G266" s="503"/>
      <c r="H266" s="281" t="s">
        <v>169</v>
      </c>
      <c r="I266" s="407"/>
      <c r="J266" s="512">
        <v>1470</v>
      </c>
      <c r="K266" s="1330"/>
      <c r="L266" s="431"/>
      <c r="M266" s="431"/>
      <c r="N266" s="431"/>
      <c r="O266" s="431"/>
      <c r="P266" s="431"/>
      <c r="Q266" s="431"/>
      <c r="R266" s="431"/>
      <c r="S266" s="431"/>
      <c r="T266" s="431"/>
      <c r="U266" s="431"/>
      <c r="V266" s="431"/>
      <c r="W266" s="431"/>
      <c r="X266" s="431"/>
      <c r="Y266" s="431"/>
      <c r="Z266" s="431"/>
      <c r="AA266" s="431"/>
      <c r="AB266" s="431"/>
      <c r="AC266" s="431"/>
      <c r="AD266" s="431"/>
      <c r="AE266" s="431"/>
      <c r="AF266" s="431"/>
      <c r="AG266" s="431"/>
      <c r="AH266" s="431"/>
      <c r="AI266" s="431"/>
      <c r="AJ266" s="431"/>
      <c r="AK266" s="431"/>
      <c r="AL266" s="431"/>
      <c r="AM266" s="431"/>
      <c r="AN266" s="431"/>
      <c r="AO266" s="431"/>
      <c r="AP266" s="431"/>
      <c r="AQ266" s="431"/>
      <c r="AR266" s="431"/>
      <c r="AS266" s="431"/>
      <c r="AT266" s="431"/>
      <c r="AU266" s="431"/>
      <c r="AV266" s="431"/>
      <c r="AW266" s="431"/>
      <c r="AX266" s="431"/>
      <c r="AY266" s="431"/>
      <c r="AZ266" s="431"/>
      <c r="BA266" s="431"/>
      <c r="BB266" s="431"/>
      <c r="BC266" s="431"/>
      <c r="BD266" s="431"/>
      <c r="BE266" s="431"/>
      <c r="BF266" s="431"/>
      <c r="BG266" s="431"/>
      <c r="BH266" s="431"/>
      <c r="BI266" s="431"/>
      <c r="BJ266" s="431"/>
      <c r="BK266" s="431"/>
      <c r="BL266" s="431"/>
      <c r="BM266" s="431"/>
      <c r="BN266" s="431"/>
      <c r="BO266" s="431"/>
      <c r="BP266" s="431"/>
      <c r="BQ266" s="431"/>
      <c r="BR266" s="431"/>
      <c r="BS266" s="431"/>
      <c r="BT266" s="431"/>
      <c r="BU266" s="431"/>
      <c r="BV266" s="431"/>
      <c r="BW266" s="431"/>
      <c r="BX266" s="431"/>
      <c r="BY266" s="431"/>
      <c r="BZ266" s="431"/>
      <c r="CA266" s="431"/>
      <c r="CB266" s="431"/>
      <c r="CC266" s="431"/>
      <c r="CD266" s="431"/>
      <c r="CE266" s="431"/>
      <c r="CF266" s="431"/>
      <c r="CG266" s="431"/>
      <c r="CH266" s="431"/>
    </row>
    <row r="267" spans="1:86" ht="15.75" customHeight="1" outlineLevel="1" x14ac:dyDescent="0.25">
      <c r="A267" s="434"/>
      <c r="B267" s="510"/>
      <c r="C267" s="281" t="s">
        <v>53</v>
      </c>
      <c r="D267" s="511"/>
      <c r="E267" s="555">
        <v>1120</v>
      </c>
      <c r="F267" s="558"/>
      <c r="G267" s="503"/>
      <c r="H267" s="281" t="s">
        <v>1040</v>
      </c>
      <c r="I267" s="407"/>
      <c r="J267" s="512">
        <v>1730</v>
      </c>
      <c r="K267" s="1330"/>
      <c r="L267" s="431"/>
      <c r="M267" s="431"/>
      <c r="N267" s="431"/>
      <c r="O267" s="431"/>
      <c r="P267" s="431"/>
      <c r="Q267" s="431"/>
      <c r="R267" s="431"/>
      <c r="S267" s="431"/>
      <c r="T267" s="431"/>
      <c r="U267" s="431"/>
      <c r="V267" s="431"/>
      <c r="W267" s="431"/>
      <c r="X267" s="431"/>
      <c r="Y267" s="431"/>
      <c r="Z267" s="431"/>
      <c r="AA267" s="431"/>
      <c r="AB267" s="431"/>
      <c r="AC267" s="431"/>
      <c r="AD267" s="431"/>
      <c r="AE267" s="431"/>
      <c r="AF267" s="431"/>
      <c r="AG267" s="431"/>
      <c r="AH267" s="431"/>
      <c r="AI267" s="431"/>
      <c r="AJ267" s="431"/>
      <c r="AK267" s="431"/>
      <c r="AL267" s="431"/>
      <c r="AM267" s="431"/>
      <c r="AN267" s="431"/>
      <c r="AO267" s="431"/>
      <c r="AP267" s="431"/>
      <c r="AQ267" s="431"/>
      <c r="AR267" s="431"/>
      <c r="AS267" s="431"/>
      <c r="AT267" s="431"/>
      <c r="AU267" s="431"/>
      <c r="AV267" s="431"/>
      <c r="AW267" s="431"/>
      <c r="AX267" s="431"/>
      <c r="AY267" s="431"/>
      <c r="AZ267" s="431"/>
      <c r="BA267" s="431"/>
      <c r="BB267" s="431"/>
      <c r="BC267" s="431"/>
      <c r="BD267" s="431"/>
      <c r="BE267" s="431"/>
      <c r="BF267" s="431"/>
      <c r="BG267" s="431"/>
      <c r="BH267" s="431"/>
      <c r="BI267" s="431"/>
      <c r="BJ267" s="431"/>
      <c r="BK267" s="431"/>
      <c r="BL267" s="431"/>
      <c r="BM267" s="431"/>
      <c r="BN267" s="431"/>
      <c r="BO267" s="431"/>
      <c r="BP267" s="431"/>
      <c r="BQ267" s="431"/>
      <c r="BR267" s="431"/>
      <c r="BS267" s="431"/>
      <c r="BT267" s="431"/>
      <c r="BU267" s="431"/>
      <c r="BV267" s="431"/>
      <c r="BW267" s="431"/>
      <c r="BX267" s="431"/>
      <c r="BY267" s="431"/>
      <c r="BZ267" s="431"/>
      <c r="CA267" s="431"/>
      <c r="CB267" s="431"/>
      <c r="CC267" s="431"/>
      <c r="CD267" s="431"/>
      <c r="CE267" s="431"/>
      <c r="CF267" s="431"/>
      <c r="CG267" s="431"/>
      <c r="CH267" s="431"/>
    </row>
    <row r="268" spans="1:86" ht="15.75" customHeight="1" outlineLevel="1" x14ac:dyDescent="0.25">
      <c r="A268" s="434"/>
      <c r="B268" s="510"/>
      <c r="C268" s="281" t="s">
        <v>54</v>
      </c>
      <c r="D268" s="511"/>
      <c r="E268" s="555">
        <v>1300</v>
      </c>
      <c r="F268" s="558"/>
      <c r="G268" s="503"/>
      <c r="H268" s="281" t="s">
        <v>1041</v>
      </c>
      <c r="I268" s="407"/>
      <c r="J268" s="512">
        <v>2</v>
      </c>
      <c r="K268" s="1330"/>
      <c r="L268" s="431"/>
      <c r="M268" s="431"/>
      <c r="N268" s="431"/>
      <c r="O268" s="431"/>
      <c r="P268" s="431"/>
      <c r="Q268" s="431"/>
      <c r="R268" s="431"/>
      <c r="S268" s="431"/>
      <c r="T268" s="431"/>
      <c r="U268" s="431"/>
      <c r="V268" s="431"/>
      <c r="W268" s="431"/>
      <c r="X268" s="431"/>
      <c r="Y268" s="431"/>
      <c r="Z268" s="431"/>
      <c r="AA268" s="431"/>
      <c r="AB268" s="431"/>
      <c r="AC268" s="431"/>
      <c r="AD268" s="431"/>
      <c r="AE268" s="431"/>
      <c r="AF268" s="431"/>
      <c r="AG268" s="431"/>
      <c r="AH268" s="431"/>
      <c r="AI268" s="431"/>
      <c r="AJ268" s="431"/>
      <c r="AK268" s="431"/>
      <c r="AL268" s="431"/>
      <c r="AM268" s="431"/>
      <c r="AN268" s="431"/>
      <c r="AO268" s="431"/>
      <c r="AP268" s="431"/>
      <c r="AQ268" s="431"/>
      <c r="AR268" s="431"/>
      <c r="AS268" s="431"/>
      <c r="AT268" s="431"/>
      <c r="AU268" s="431"/>
      <c r="AV268" s="431"/>
      <c r="AW268" s="431"/>
      <c r="AX268" s="431"/>
      <c r="AY268" s="431"/>
      <c r="AZ268" s="431"/>
      <c r="BA268" s="431"/>
      <c r="BB268" s="431"/>
      <c r="BC268" s="431"/>
      <c r="BD268" s="431"/>
      <c r="BE268" s="431"/>
      <c r="BF268" s="431"/>
      <c r="BG268" s="431"/>
      <c r="BH268" s="431"/>
      <c r="BI268" s="431"/>
      <c r="BJ268" s="431"/>
      <c r="BK268" s="431"/>
      <c r="BL268" s="431"/>
      <c r="BM268" s="431"/>
      <c r="BN268" s="431"/>
      <c r="BO268" s="431"/>
      <c r="BP268" s="431"/>
      <c r="BQ268" s="431"/>
      <c r="BR268" s="431"/>
      <c r="BS268" s="431"/>
      <c r="BT268" s="431"/>
      <c r="BU268" s="431"/>
      <c r="BV268" s="431"/>
      <c r="BW268" s="431"/>
      <c r="BX268" s="431"/>
      <c r="BY268" s="431"/>
      <c r="BZ268" s="431"/>
      <c r="CA268" s="431"/>
      <c r="CB268" s="431"/>
      <c r="CC268" s="431"/>
      <c r="CD268" s="431"/>
      <c r="CE268" s="431"/>
      <c r="CF268" s="431"/>
      <c r="CG268" s="431"/>
      <c r="CH268" s="431"/>
    </row>
    <row r="269" spans="1:86" ht="15.75" customHeight="1" outlineLevel="1" x14ac:dyDescent="0.25">
      <c r="A269" s="434"/>
      <c r="B269" s="510"/>
      <c r="C269" s="281" t="s">
        <v>55</v>
      </c>
      <c r="D269" s="511"/>
      <c r="E269" s="555">
        <v>328</v>
      </c>
      <c r="F269" s="558"/>
      <c r="G269" s="503"/>
      <c r="H269" s="281" t="s">
        <v>1042</v>
      </c>
      <c r="I269" s="407"/>
      <c r="J269" s="512">
        <v>160</v>
      </c>
      <c r="K269" s="1330"/>
      <c r="L269" s="431"/>
      <c r="M269" s="431"/>
      <c r="N269" s="431"/>
      <c r="O269" s="431"/>
      <c r="P269" s="431"/>
      <c r="Q269" s="431"/>
      <c r="R269" s="431"/>
      <c r="S269" s="431"/>
      <c r="T269" s="431"/>
      <c r="U269" s="431"/>
      <c r="V269" s="431"/>
      <c r="W269" s="431"/>
      <c r="X269" s="431"/>
      <c r="Y269" s="431"/>
      <c r="Z269" s="431"/>
      <c r="AA269" s="431"/>
      <c r="AB269" s="431"/>
      <c r="AC269" s="431"/>
      <c r="AD269" s="431"/>
      <c r="AE269" s="431"/>
      <c r="AF269" s="431"/>
      <c r="AG269" s="431"/>
      <c r="AH269" s="431"/>
      <c r="AI269" s="431"/>
      <c r="AJ269" s="431"/>
      <c r="AK269" s="431"/>
      <c r="AL269" s="431"/>
      <c r="AM269" s="431"/>
      <c r="AN269" s="431"/>
      <c r="AO269" s="431"/>
      <c r="AP269" s="431"/>
      <c r="AQ269" s="431"/>
      <c r="AR269" s="431"/>
      <c r="AS269" s="431"/>
      <c r="AT269" s="431"/>
      <c r="AU269" s="431"/>
      <c r="AV269" s="431"/>
      <c r="AW269" s="431"/>
      <c r="AX269" s="431"/>
      <c r="AY269" s="431"/>
      <c r="AZ269" s="431"/>
      <c r="BA269" s="431"/>
      <c r="BB269" s="431"/>
      <c r="BC269" s="431"/>
      <c r="BD269" s="431"/>
      <c r="BE269" s="431"/>
      <c r="BF269" s="431"/>
      <c r="BG269" s="431"/>
      <c r="BH269" s="431"/>
      <c r="BI269" s="431"/>
      <c r="BJ269" s="431"/>
      <c r="BK269" s="431"/>
      <c r="BL269" s="431"/>
      <c r="BM269" s="431"/>
      <c r="BN269" s="431"/>
      <c r="BO269" s="431"/>
      <c r="BP269" s="431"/>
      <c r="BQ269" s="431"/>
      <c r="BR269" s="431"/>
      <c r="BS269" s="431"/>
      <c r="BT269" s="431"/>
      <c r="BU269" s="431"/>
      <c r="BV269" s="431"/>
      <c r="BW269" s="431"/>
      <c r="BX269" s="431"/>
      <c r="BY269" s="431"/>
      <c r="BZ269" s="431"/>
      <c r="CA269" s="431"/>
      <c r="CB269" s="431"/>
      <c r="CC269" s="431"/>
      <c r="CD269" s="431"/>
      <c r="CE269" s="431"/>
      <c r="CF269" s="431"/>
      <c r="CG269" s="431"/>
      <c r="CH269" s="431"/>
    </row>
    <row r="270" spans="1:86" ht="15.75" customHeight="1" outlineLevel="1" x14ac:dyDescent="0.25">
      <c r="A270" s="434"/>
      <c r="B270" s="510"/>
      <c r="C270" s="281" t="s">
        <v>56</v>
      </c>
      <c r="D270" s="511"/>
      <c r="E270" s="555">
        <v>4800</v>
      </c>
      <c r="F270" s="558"/>
      <c r="G270" s="503"/>
      <c r="H270" s="281" t="s">
        <v>170</v>
      </c>
      <c r="I270" s="1332" t="s">
        <v>171</v>
      </c>
      <c r="J270" s="512">
        <v>148</v>
      </c>
      <c r="K270" s="1330"/>
      <c r="L270" s="431"/>
      <c r="M270" s="431"/>
      <c r="N270" s="431"/>
      <c r="O270" s="431"/>
      <c r="P270" s="431"/>
      <c r="Q270" s="431"/>
      <c r="R270" s="431"/>
      <c r="S270" s="431"/>
      <c r="T270" s="431"/>
      <c r="U270" s="431"/>
      <c r="V270" s="431"/>
      <c r="W270" s="431"/>
      <c r="X270" s="431"/>
      <c r="Y270" s="431"/>
      <c r="Z270" s="431"/>
      <c r="AA270" s="431"/>
      <c r="AB270" s="431"/>
      <c r="AC270" s="431"/>
      <c r="AD270" s="431"/>
      <c r="AE270" s="431"/>
      <c r="AF270" s="431"/>
      <c r="AG270" s="431"/>
      <c r="AH270" s="431"/>
      <c r="AI270" s="431"/>
      <c r="AJ270" s="431"/>
      <c r="AK270" s="431"/>
      <c r="AL270" s="431"/>
      <c r="AM270" s="431"/>
      <c r="AN270" s="431"/>
      <c r="AO270" s="431"/>
      <c r="AP270" s="431"/>
      <c r="AQ270" s="431"/>
      <c r="AR270" s="431"/>
      <c r="AS270" s="431"/>
      <c r="AT270" s="431"/>
      <c r="AU270" s="431"/>
      <c r="AV270" s="431"/>
      <c r="AW270" s="431"/>
      <c r="AX270" s="431"/>
      <c r="AY270" s="431"/>
      <c r="AZ270" s="431"/>
      <c r="BA270" s="431"/>
      <c r="BB270" s="431"/>
      <c r="BC270" s="431"/>
      <c r="BD270" s="431"/>
      <c r="BE270" s="431"/>
      <c r="BF270" s="431"/>
      <c r="BG270" s="431"/>
      <c r="BH270" s="431"/>
      <c r="BI270" s="431"/>
      <c r="BJ270" s="431"/>
      <c r="BK270" s="431"/>
      <c r="BL270" s="431"/>
      <c r="BM270" s="431"/>
      <c r="BN270" s="431"/>
      <c r="BO270" s="431"/>
      <c r="BP270" s="431"/>
      <c r="BQ270" s="431"/>
      <c r="BR270" s="431"/>
      <c r="BS270" s="431"/>
      <c r="BT270" s="431"/>
      <c r="BU270" s="431"/>
      <c r="BV270" s="431"/>
      <c r="BW270" s="431"/>
      <c r="BX270" s="431"/>
      <c r="BY270" s="431"/>
      <c r="BZ270" s="431"/>
      <c r="CA270" s="431"/>
      <c r="CB270" s="431"/>
      <c r="CC270" s="431"/>
      <c r="CD270" s="431"/>
      <c r="CE270" s="431"/>
      <c r="CF270" s="431"/>
      <c r="CG270" s="431"/>
      <c r="CH270" s="431"/>
    </row>
    <row r="271" spans="1:86" ht="15.75" customHeight="1" outlineLevel="1" x14ac:dyDescent="0.25">
      <c r="A271" s="434"/>
      <c r="B271" s="510"/>
      <c r="C271" s="281" t="s">
        <v>57</v>
      </c>
      <c r="D271" s="511"/>
      <c r="E271" s="555">
        <v>16</v>
      </c>
      <c r="F271" s="558"/>
      <c r="G271" s="503"/>
      <c r="H271" s="281" t="s">
        <v>172</v>
      </c>
      <c r="I271" s="1330"/>
      <c r="J271" s="512">
        <v>1760</v>
      </c>
      <c r="K271" s="1330"/>
      <c r="L271" s="431"/>
      <c r="M271" s="431"/>
      <c r="N271" s="431"/>
      <c r="O271" s="431"/>
      <c r="P271" s="431"/>
      <c r="Q271" s="431"/>
      <c r="R271" s="431"/>
      <c r="S271" s="431"/>
      <c r="T271" s="431"/>
      <c r="U271" s="431"/>
      <c r="V271" s="431"/>
      <c r="W271" s="431"/>
      <c r="X271" s="431"/>
      <c r="Y271" s="431"/>
      <c r="Z271" s="431"/>
      <c r="AA271" s="431"/>
      <c r="AB271" s="431"/>
      <c r="AC271" s="431"/>
      <c r="AD271" s="431"/>
      <c r="AE271" s="431"/>
      <c r="AF271" s="431"/>
      <c r="AG271" s="431"/>
      <c r="AH271" s="431"/>
      <c r="AI271" s="431"/>
      <c r="AJ271" s="431"/>
      <c r="AK271" s="431"/>
      <c r="AL271" s="431"/>
      <c r="AM271" s="431"/>
      <c r="AN271" s="431"/>
      <c r="AO271" s="431"/>
      <c r="AP271" s="431"/>
      <c r="AQ271" s="431"/>
      <c r="AR271" s="431"/>
      <c r="AS271" s="431"/>
      <c r="AT271" s="431"/>
      <c r="AU271" s="431"/>
      <c r="AV271" s="431"/>
      <c r="AW271" s="431"/>
      <c r="AX271" s="431"/>
      <c r="AY271" s="431"/>
      <c r="AZ271" s="431"/>
      <c r="BA271" s="431"/>
      <c r="BB271" s="431"/>
      <c r="BC271" s="431"/>
      <c r="BD271" s="431"/>
      <c r="BE271" s="431"/>
      <c r="BF271" s="431"/>
      <c r="BG271" s="431"/>
      <c r="BH271" s="431"/>
      <c r="BI271" s="431"/>
      <c r="BJ271" s="431"/>
      <c r="BK271" s="431"/>
      <c r="BL271" s="431"/>
      <c r="BM271" s="431"/>
      <c r="BN271" s="431"/>
      <c r="BO271" s="431"/>
      <c r="BP271" s="431"/>
      <c r="BQ271" s="431"/>
      <c r="BR271" s="431"/>
      <c r="BS271" s="431"/>
      <c r="BT271" s="431"/>
      <c r="BU271" s="431"/>
      <c r="BV271" s="431"/>
      <c r="BW271" s="431"/>
      <c r="BX271" s="431"/>
      <c r="BY271" s="431"/>
      <c r="BZ271" s="431"/>
      <c r="CA271" s="431"/>
      <c r="CB271" s="431"/>
      <c r="CC271" s="431"/>
      <c r="CD271" s="431"/>
      <c r="CE271" s="431"/>
      <c r="CF271" s="431"/>
      <c r="CG271" s="431"/>
      <c r="CH271" s="431"/>
    </row>
    <row r="272" spans="1:86" ht="15.75" customHeight="1" outlineLevel="1" x14ac:dyDescent="0.25">
      <c r="A272" s="434"/>
      <c r="B272" s="510"/>
      <c r="C272" s="281" t="s">
        <v>58</v>
      </c>
      <c r="D272" s="511"/>
      <c r="E272" s="555">
        <v>138</v>
      </c>
      <c r="F272" s="558"/>
      <c r="G272" s="503"/>
      <c r="H272" s="281" t="s">
        <v>173</v>
      </c>
      <c r="I272" s="1330"/>
      <c r="J272" s="512">
        <v>79</v>
      </c>
      <c r="K272" s="1330"/>
      <c r="L272" s="431"/>
      <c r="M272" s="431"/>
      <c r="N272" s="431"/>
      <c r="O272" s="431"/>
      <c r="P272" s="431"/>
      <c r="Q272" s="431"/>
      <c r="R272" s="431"/>
      <c r="S272" s="431"/>
      <c r="T272" s="431"/>
      <c r="U272" s="431"/>
      <c r="V272" s="431"/>
      <c r="W272" s="431"/>
      <c r="X272" s="431"/>
      <c r="Y272" s="431"/>
      <c r="Z272" s="431"/>
      <c r="AA272" s="431"/>
      <c r="AB272" s="431"/>
      <c r="AC272" s="431"/>
      <c r="AD272" s="431"/>
      <c r="AE272" s="431"/>
      <c r="AF272" s="431"/>
      <c r="AG272" s="431"/>
      <c r="AH272" s="431"/>
      <c r="AI272" s="431"/>
      <c r="AJ272" s="431"/>
      <c r="AK272" s="431"/>
      <c r="AL272" s="431"/>
      <c r="AM272" s="431"/>
      <c r="AN272" s="431"/>
      <c r="AO272" s="431"/>
      <c r="AP272" s="431"/>
      <c r="AQ272" s="431"/>
      <c r="AR272" s="431"/>
      <c r="AS272" s="431"/>
      <c r="AT272" s="431"/>
      <c r="AU272" s="431"/>
      <c r="AV272" s="431"/>
      <c r="AW272" s="431"/>
      <c r="AX272" s="431"/>
      <c r="AY272" s="431"/>
      <c r="AZ272" s="431"/>
      <c r="BA272" s="431"/>
      <c r="BB272" s="431"/>
      <c r="BC272" s="431"/>
      <c r="BD272" s="431"/>
      <c r="BE272" s="431"/>
      <c r="BF272" s="431"/>
      <c r="BG272" s="431"/>
      <c r="BH272" s="431"/>
      <c r="BI272" s="431"/>
      <c r="BJ272" s="431"/>
      <c r="BK272" s="431"/>
      <c r="BL272" s="431"/>
      <c r="BM272" s="431"/>
      <c r="BN272" s="431"/>
      <c r="BO272" s="431"/>
      <c r="BP272" s="431"/>
      <c r="BQ272" s="431"/>
      <c r="BR272" s="431"/>
      <c r="BS272" s="431"/>
      <c r="BT272" s="431"/>
      <c r="BU272" s="431"/>
      <c r="BV272" s="431"/>
      <c r="BW272" s="431"/>
      <c r="BX272" s="431"/>
      <c r="BY272" s="431"/>
      <c r="BZ272" s="431"/>
      <c r="CA272" s="431"/>
      <c r="CB272" s="431"/>
      <c r="CC272" s="431"/>
      <c r="CD272" s="431"/>
      <c r="CE272" s="431"/>
      <c r="CF272" s="431"/>
      <c r="CG272" s="431"/>
      <c r="CH272" s="431"/>
    </row>
    <row r="273" spans="1:86" ht="15.75" customHeight="1" outlineLevel="1" x14ac:dyDescent="0.25">
      <c r="A273" s="434"/>
      <c r="B273" s="510"/>
      <c r="C273" s="281" t="s">
        <v>59</v>
      </c>
      <c r="D273" s="511"/>
      <c r="E273" s="555">
        <v>4</v>
      </c>
      <c r="F273" s="558"/>
      <c r="G273" s="503"/>
      <c r="H273" s="281" t="s">
        <v>174</v>
      </c>
      <c r="I273" s="1330"/>
      <c r="J273" s="512">
        <v>527</v>
      </c>
      <c r="K273" s="1330"/>
      <c r="L273" s="431"/>
      <c r="M273" s="431"/>
      <c r="N273" s="431"/>
      <c r="O273" s="431"/>
      <c r="P273" s="431"/>
      <c r="Q273" s="431"/>
      <c r="R273" s="431"/>
      <c r="S273" s="431"/>
      <c r="T273" s="431"/>
      <c r="U273" s="431"/>
      <c r="V273" s="431"/>
      <c r="W273" s="431"/>
      <c r="X273" s="431"/>
      <c r="Y273" s="431"/>
      <c r="Z273" s="431"/>
      <c r="AA273" s="431"/>
      <c r="AB273" s="431"/>
      <c r="AC273" s="431"/>
      <c r="AD273" s="431"/>
      <c r="AE273" s="431"/>
      <c r="AF273" s="431"/>
      <c r="AG273" s="431"/>
      <c r="AH273" s="431"/>
      <c r="AI273" s="431"/>
      <c r="AJ273" s="431"/>
      <c r="AK273" s="431"/>
      <c r="AL273" s="431"/>
      <c r="AM273" s="431"/>
      <c r="AN273" s="431"/>
      <c r="AO273" s="431"/>
      <c r="AP273" s="431"/>
      <c r="AQ273" s="431"/>
      <c r="AR273" s="431"/>
      <c r="AS273" s="431"/>
      <c r="AT273" s="431"/>
      <c r="AU273" s="431"/>
      <c r="AV273" s="431"/>
      <c r="AW273" s="431"/>
      <c r="AX273" s="431"/>
      <c r="AY273" s="431"/>
      <c r="AZ273" s="431"/>
      <c r="BA273" s="431"/>
      <c r="BB273" s="431"/>
      <c r="BC273" s="431"/>
      <c r="BD273" s="431"/>
      <c r="BE273" s="431"/>
      <c r="BF273" s="431"/>
      <c r="BG273" s="431"/>
      <c r="BH273" s="431"/>
      <c r="BI273" s="431"/>
      <c r="BJ273" s="431"/>
      <c r="BK273" s="431"/>
      <c r="BL273" s="431"/>
      <c r="BM273" s="431"/>
      <c r="BN273" s="431"/>
      <c r="BO273" s="431"/>
      <c r="BP273" s="431"/>
      <c r="BQ273" s="431"/>
      <c r="BR273" s="431"/>
      <c r="BS273" s="431"/>
      <c r="BT273" s="431"/>
      <c r="BU273" s="431"/>
      <c r="BV273" s="431"/>
      <c r="BW273" s="431"/>
      <c r="BX273" s="431"/>
      <c r="BY273" s="431"/>
      <c r="BZ273" s="431"/>
      <c r="CA273" s="431"/>
      <c r="CB273" s="431"/>
      <c r="CC273" s="431"/>
      <c r="CD273" s="431"/>
      <c r="CE273" s="431"/>
      <c r="CF273" s="431"/>
      <c r="CG273" s="431"/>
      <c r="CH273" s="431"/>
    </row>
    <row r="274" spans="1:86" ht="15.75" customHeight="1" outlineLevel="1" x14ac:dyDescent="0.25">
      <c r="A274" s="434"/>
      <c r="B274" s="510"/>
      <c r="C274" s="281" t="s">
        <v>60</v>
      </c>
      <c r="D274" s="511"/>
      <c r="E274" s="555">
        <v>3350</v>
      </c>
      <c r="F274" s="558"/>
      <c r="G274" s="503"/>
      <c r="H274" s="281" t="s">
        <v>175</v>
      </c>
      <c r="I274" s="1330"/>
      <c r="J274" s="512">
        <v>782</v>
      </c>
      <c r="K274" s="1330"/>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1"/>
      <c r="AJ274" s="431"/>
      <c r="AK274" s="431"/>
      <c r="AL274" s="431"/>
      <c r="AM274" s="431"/>
      <c r="AN274" s="431"/>
      <c r="AO274" s="431"/>
      <c r="AP274" s="431"/>
      <c r="AQ274" s="431"/>
      <c r="AR274" s="431"/>
      <c r="AS274" s="431"/>
      <c r="AT274" s="431"/>
      <c r="AU274" s="431"/>
      <c r="AV274" s="431"/>
      <c r="AW274" s="431"/>
      <c r="AX274" s="431"/>
      <c r="AY274" s="431"/>
      <c r="AZ274" s="431"/>
      <c r="BA274" s="431"/>
      <c r="BB274" s="431"/>
      <c r="BC274" s="431"/>
      <c r="BD274" s="431"/>
      <c r="BE274" s="431"/>
      <c r="BF274" s="431"/>
      <c r="BG274" s="431"/>
      <c r="BH274" s="431"/>
      <c r="BI274" s="431"/>
      <c r="BJ274" s="431"/>
      <c r="BK274" s="431"/>
      <c r="BL274" s="431"/>
      <c r="BM274" s="431"/>
      <c r="BN274" s="431"/>
      <c r="BO274" s="431"/>
      <c r="BP274" s="431"/>
      <c r="BQ274" s="431"/>
      <c r="BR274" s="431"/>
      <c r="BS274" s="431"/>
      <c r="BT274" s="431"/>
      <c r="BU274" s="431"/>
      <c r="BV274" s="431"/>
      <c r="BW274" s="431"/>
      <c r="BX274" s="431"/>
      <c r="BY274" s="431"/>
      <c r="BZ274" s="431"/>
      <c r="CA274" s="431"/>
      <c r="CB274" s="431"/>
      <c r="CC274" s="431"/>
      <c r="CD274" s="431"/>
      <c r="CE274" s="431"/>
      <c r="CF274" s="431"/>
      <c r="CG274" s="431"/>
      <c r="CH274" s="431"/>
    </row>
    <row r="275" spans="1:86" ht="15.75" customHeight="1" outlineLevel="1" x14ac:dyDescent="0.25">
      <c r="A275" s="434"/>
      <c r="B275" s="510"/>
      <c r="C275" s="281" t="s">
        <v>61</v>
      </c>
      <c r="D275" s="511"/>
      <c r="E275" s="555">
        <v>1210</v>
      </c>
      <c r="F275" s="558"/>
      <c r="G275" s="503"/>
      <c r="H275" s="281" t="s">
        <v>176</v>
      </c>
      <c r="I275" s="1330"/>
      <c r="J275" s="512">
        <v>1980</v>
      </c>
      <c r="K275" s="1330"/>
      <c r="L275" s="431"/>
      <c r="M275" s="431"/>
      <c r="N275" s="431"/>
      <c r="O275" s="431"/>
      <c r="P275" s="431"/>
      <c r="Q275" s="431"/>
      <c r="R275" s="431"/>
      <c r="S275" s="431"/>
      <c r="T275" s="431"/>
      <c r="U275" s="431"/>
      <c r="V275" s="431"/>
      <c r="W275" s="431"/>
      <c r="X275" s="431"/>
      <c r="Y275" s="431"/>
      <c r="Z275" s="431"/>
      <c r="AA275" s="431"/>
      <c r="AB275" s="431"/>
      <c r="AC275" s="431"/>
      <c r="AD275" s="431"/>
      <c r="AE275" s="431"/>
      <c r="AF275" s="431"/>
      <c r="AG275" s="431"/>
      <c r="AH275" s="431"/>
      <c r="AI275" s="431"/>
      <c r="AJ275" s="431"/>
      <c r="AK275" s="431"/>
      <c r="AL275" s="431"/>
      <c r="AM275" s="431"/>
      <c r="AN275" s="431"/>
      <c r="AO275" s="431"/>
      <c r="AP275" s="431"/>
      <c r="AQ275" s="431"/>
      <c r="AR275" s="431"/>
      <c r="AS275" s="431"/>
      <c r="AT275" s="431"/>
      <c r="AU275" s="431"/>
      <c r="AV275" s="431"/>
      <c r="AW275" s="431"/>
      <c r="AX275" s="431"/>
      <c r="AY275" s="431"/>
      <c r="AZ275" s="431"/>
      <c r="BA275" s="431"/>
      <c r="BB275" s="431"/>
      <c r="BC275" s="431"/>
      <c r="BD275" s="431"/>
      <c r="BE275" s="431"/>
      <c r="BF275" s="431"/>
      <c r="BG275" s="431"/>
      <c r="BH275" s="431"/>
      <c r="BI275" s="431"/>
      <c r="BJ275" s="431"/>
      <c r="BK275" s="431"/>
      <c r="BL275" s="431"/>
      <c r="BM275" s="431"/>
      <c r="BN275" s="431"/>
      <c r="BO275" s="431"/>
      <c r="BP275" s="431"/>
      <c r="BQ275" s="431"/>
      <c r="BR275" s="431"/>
      <c r="BS275" s="431"/>
      <c r="BT275" s="431"/>
      <c r="BU275" s="431"/>
      <c r="BV275" s="431"/>
      <c r="BW275" s="431"/>
      <c r="BX275" s="431"/>
      <c r="BY275" s="431"/>
      <c r="BZ275" s="431"/>
      <c r="CA275" s="431"/>
      <c r="CB275" s="431"/>
      <c r="CC275" s="431"/>
      <c r="CD275" s="431"/>
      <c r="CE275" s="431"/>
      <c r="CF275" s="431"/>
      <c r="CG275" s="431"/>
      <c r="CH275" s="431"/>
    </row>
    <row r="276" spans="1:86" ht="15.75" customHeight="1" outlineLevel="1" x14ac:dyDescent="0.25">
      <c r="A276" s="434"/>
      <c r="B276" s="510"/>
      <c r="C276" s="281" t="s">
        <v>62</v>
      </c>
      <c r="D276" s="511"/>
      <c r="E276" s="555">
        <v>1330</v>
      </c>
      <c r="F276" s="558"/>
      <c r="G276" s="503"/>
      <c r="H276" s="281" t="s">
        <v>177</v>
      </c>
      <c r="I276" s="1330"/>
      <c r="J276" s="512">
        <v>127</v>
      </c>
      <c r="K276" s="1330"/>
      <c r="L276" s="431"/>
      <c r="M276" s="431"/>
      <c r="N276" s="431"/>
      <c r="O276" s="431"/>
      <c r="P276" s="431"/>
      <c r="Q276" s="431"/>
      <c r="R276" s="431"/>
      <c r="S276" s="431"/>
      <c r="T276" s="431"/>
      <c r="U276" s="431"/>
      <c r="V276" s="431"/>
      <c r="W276" s="431"/>
      <c r="X276" s="431"/>
      <c r="Y276" s="431"/>
      <c r="Z276" s="431"/>
      <c r="AA276" s="431"/>
      <c r="AB276" s="431"/>
      <c r="AC276" s="431"/>
      <c r="AD276" s="431"/>
      <c r="AE276" s="431"/>
      <c r="AF276" s="431"/>
      <c r="AG276" s="431"/>
      <c r="AH276" s="431"/>
      <c r="AI276" s="431"/>
      <c r="AJ276" s="431"/>
      <c r="AK276" s="431"/>
      <c r="AL276" s="431"/>
      <c r="AM276" s="431"/>
      <c r="AN276" s="431"/>
      <c r="AO276" s="431"/>
      <c r="AP276" s="431"/>
      <c r="AQ276" s="431"/>
      <c r="AR276" s="431"/>
      <c r="AS276" s="431"/>
      <c r="AT276" s="431"/>
      <c r="AU276" s="431"/>
      <c r="AV276" s="431"/>
      <c r="AW276" s="431"/>
      <c r="AX276" s="431"/>
      <c r="AY276" s="431"/>
      <c r="AZ276" s="431"/>
      <c r="BA276" s="431"/>
      <c r="BB276" s="431"/>
      <c r="BC276" s="431"/>
      <c r="BD276" s="431"/>
      <c r="BE276" s="431"/>
      <c r="BF276" s="431"/>
      <c r="BG276" s="431"/>
      <c r="BH276" s="431"/>
      <c r="BI276" s="431"/>
      <c r="BJ276" s="431"/>
      <c r="BK276" s="431"/>
      <c r="BL276" s="431"/>
      <c r="BM276" s="431"/>
      <c r="BN276" s="431"/>
      <c r="BO276" s="431"/>
      <c r="BP276" s="431"/>
      <c r="BQ276" s="431"/>
      <c r="BR276" s="431"/>
      <c r="BS276" s="431"/>
      <c r="BT276" s="431"/>
      <c r="BU276" s="431"/>
      <c r="BV276" s="431"/>
      <c r="BW276" s="431"/>
      <c r="BX276" s="431"/>
      <c r="BY276" s="431"/>
      <c r="BZ276" s="431"/>
      <c r="CA276" s="431"/>
      <c r="CB276" s="431"/>
      <c r="CC276" s="431"/>
      <c r="CD276" s="431"/>
      <c r="CE276" s="431"/>
      <c r="CF276" s="431"/>
      <c r="CG276" s="431"/>
      <c r="CH276" s="431"/>
    </row>
    <row r="277" spans="1:86" ht="15.75" customHeight="1" outlineLevel="1" x14ac:dyDescent="0.25">
      <c r="A277" s="434"/>
      <c r="B277" s="510"/>
      <c r="C277" s="281" t="s">
        <v>63</v>
      </c>
      <c r="D277" s="511"/>
      <c r="E277" s="555">
        <v>8060</v>
      </c>
      <c r="F277" s="558"/>
      <c r="G277" s="503"/>
      <c r="H277" s="281" t="s">
        <v>178</v>
      </c>
      <c r="I277" s="1331"/>
      <c r="J277" s="512">
        <v>525</v>
      </c>
      <c r="K277" s="1331"/>
      <c r="L277" s="431"/>
      <c r="M277" s="431"/>
      <c r="N277" s="431"/>
      <c r="O277" s="431"/>
      <c r="P277" s="431"/>
      <c r="Q277" s="431"/>
      <c r="R277" s="431"/>
      <c r="S277" s="431"/>
      <c r="T277" s="431"/>
      <c r="U277" s="431"/>
      <c r="V277" s="431"/>
      <c r="W277" s="431"/>
      <c r="X277" s="431"/>
      <c r="Y277" s="431"/>
      <c r="Z277" s="431"/>
      <c r="AA277" s="431"/>
      <c r="AB277" s="431"/>
      <c r="AC277" s="431"/>
      <c r="AD277" s="431"/>
      <c r="AE277" s="431"/>
      <c r="AF277" s="431"/>
      <c r="AG277" s="431"/>
      <c r="AH277" s="431"/>
      <c r="AI277" s="431"/>
      <c r="AJ277" s="431"/>
      <c r="AK277" s="431"/>
      <c r="AL277" s="431"/>
      <c r="AM277" s="431"/>
      <c r="AN277" s="431"/>
      <c r="AO277" s="431"/>
      <c r="AP277" s="431"/>
      <c r="AQ277" s="431"/>
      <c r="AR277" s="431"/>
      <c r="AS277" s="431"/>
      <c r="AT277" s="431"/>
      <c r="AU277" s="431"/>
      <c r="AV277" s="431"/>
      <c r="AW277" s="431"/>
      <c r="AX277" s="431"/>
      <c r="AY277" s="431"/>
      <c r="AZ277" s="431"/>
      <c r="BA277" s="431"/>
      <c r="BB277" s="431"/>
      <c r="BC277" s="431"/>
      <c r="BD277" s="431"/>
      <c r="BE277" s="431"/>
      <c r="BF277" s="431"/>
      <c r="BG277" s="431"/>
      <c r="BH277" s="431"/>
      <c r="BI277" s="431"/>
      <c r="BJ277" s="431"/>
      <c r="BK277" s="431"/>
      <c r="BL277" s="431"/>
      <c r="BM277" s="431"/>
      <c r="BN277" s="431"/>
      <c r="BO277" s="431"/>
      <c r="BP277" s="431"/>
      <c r="BQ277" s="431"/>
      <c r="BR277" s="431"/>
      <c r="BS277" s="431"/>
      <c r="BT277" s="431"/>
      <c r="BU277" s="431"/>
      <c r="BV277" s="431"/>
      <c r="BW277" s="431"/>
      <c r="BX277" s="431"/>
      <c r="BY277" s="431"/>
      <c r="BZ277" s="431"/>
      <c r="CA277" s="431"/>
      <c r="CB277" s="431"/>
      <c r="CC277" s="431"/>
      <c r="CD277" s="431"/>
      <c r="CE277" s="431"/>
      <c r="CF277" s="431"/>
      <c r="CG277" s="431"/>
      <c r="CH277" s="431"/>
    </row>
    <row r="278" spans="1:86" ht="15.75" customHeight="1" outlineLevel="1" x14ac:dyDescent="0.25">
      <c r="A278" s="434"/>
      <c r="B278" s="510"/>
      <c r="C278" s="281" t="s">
        <v>64</v>
      </c>
      <c r="D278" s="511"/>
      <c r="E278" s="555">
        <v>716</v>
      </c>
      <c r="F278" s="558"/>
      <c r="G278" s="503"/>
      <c r="H278" s="519" t="s">
        <v>678</v>
      </c>
      <c r="I278" s="519" t="s">
        <v>679</v>
      </c>
      <c r="J278" s="519">
        <v>491</v>
      </c>
      <c r="K278" s="431"/>
      <c r="L278" s="431"/>
      <c r="M278" s="431"/>
      <c r="N278" s="431"/>
      <c r="O278" s="431"/>
      <c r="P278" s="431"/>
      <c r="Q278" s="431"/>
      <c r="R278" s="431"/>
      <c r="S278" s="431"/>
      <c r="T278" s="431"/>
      <c r="U278" s="431"/>
      <c r="V278" s="431"/>
      <c r="W278" s="431"/>
      <c r="X278" s="431"/>
      <c r="Y278" s="431"/>
      <c r="Z278" s="431"/>
      <c r="AA278" s="431"/>
      <c r="AB278" s="431"/>
      <c r="AC278" s="431"/>
      <c r="AD278" s="431"/>
      <c r="AE278" s="431"/>
      <c r="AF278" s="431"/>
      <c r="AG278" s="431"/>
      <c r="AH278" s="431"/>
      <c r="AI278" s="431"/>
      <c r="AJ278" s="431"/>
      <c r="AK278" s="431"/>
      <c r="AL278" s="431"/>
      <c r="AM278" s="431"/>
      <c r="AN278" s="431"/>
      <c r="AO278" s="431"/>
      <c r="AP278" s="431"/>
      <c r="AQ278" s="431"/>
      <c r="AR278" s="431"/>
      <c r="AS278" s="431"/>
      <c r="AT278" s="431"/>
      <c r="AU278" s="431"/>
      <c r="AV278" s="431"/>
      <c r="AW278" s="431"/>
      <c r="AX278" s="431"/>
      <c r="AY278" s="431"/>
      <c r="AZ278" s="431"/>
      <c r="BA278" s="431"/>
      <c r="BB278" s="431"/>
      <c r="BC278" s="431"/>
      <c r="BD278" s="431"/>
      <c r="BE278" s="431"/>
      <c r="BF278" s="431"/>
      <c r="BG278" s="431"/>
      <c r="BH278" s="431"/>
      <c r="BI278" s="431"/>
      <c r="BJ278" s="431"/>
      <c r="BK278" s="431"/>
      <c r="BL278" s="431"/>
      <c r="BM278" s="431"/>
      <c r="BN278" s="431"/>
      <c r="BO278" s="431"/>
      <c r="BP278" s="431"/>
      <c r="BQ278" s="431"/>
      <c r="BR278" s="431"/>
      <c r="BS278" s="431"/>
      <c r="BT278" s="431"/>
      <c r="BU278" s="431"/>
      <c r="BV278" s="431"/>
      <c r="BW278" s="431"/>
      <c r="BX278" s="431"/>
      <c r="BY278" s="431"/>
      <c r="BZ278" s="431"/>
      <c r="CA278" s="431"/>
      <c r="CB278" s="431"/>
      <c r="CC278" s="431"/>
      <c r="CD278" s="431"/>
      <c r="CE278" s="431"/>
      <c r="CF278" s="431"/>
      <c r="CG278" s="431"/>
      <c r="CH278" s="431"/>
    </row>
    <row r="279" spans="1:86" ht="15.75" customHeight="1" outlineLevel="1" x14ac:dyDescent="0.25">
      <c r="A279" s="434"/>
      <c r="B279" s="510"/>
      <c r="C279" s="281" t="s">
        <v>65</v>
      </c>
      <c r="D279" s="511"/>
      <c r="E279" s="555">
        <v>858</v>
      </c>
      <c r="F279" s="558"/>
      <c r="G279" s="503"/>
      <c r="H279" s="519" t="s">
        <v>680</v>
      </c>
      <c r="I279" s="519" t="s">
        <v>681</v>
      </c>
      <c r="J279" s="519">
        <v>1790</v>
      </c>
      <c r="K279" s="431"/>
      <c r="L279" s="431"/>
      <c r="M279" s="431"/>
      <c r="N279" s="431"/>
      <c r="O279" s="431"/>
      <c r="P279" s="431"/>
      <c r="Q279" s="431"/>
      <c r="R279" s="431"/>
      <c r="S279" s="431"/>
      <c r="T279" s="431"/>
      <c r="U279" s="431"/>
      <c r="V279" s="431"/>
      <c r="W279" s="431"/>
      <c r="X279" s="431"/>
      <c r="Y279" s="431"/>
      <c r="Z279" s="431"/>
      <c r="AA279" s="431"/>
      <c r="AB279" s="431"/>
      <c r="AC279" s="431"/>
      <c r="AD279" s="431"/>
      <c r="AE279" s="431"/>
      <c r="AF279" s="431"/>
      <c r="AG279" s="431"/>
      <c r="AH279" s="431"/>
      <c r="AI279" s="431"/>
      <c r="AJ279" s="431"/>
      <c r="AK279" s="431"/>
      <c r="AL279" s="431"/>
      <c r="AM279" s="431"/>
      <c r="AN279" s="431"/>
      <c r="AO279" s="431"/>
      <c r="AP279" s="431"/>
      <c r="AQ279" s="431"/>
      <c r="AR279" s="431"/>
      <c r="AS279" s="431"/>
      <c r="AT279" s="431"/>
      <c r="AU279" s="431"/>
      <c r="AV279" s="431"/>
      <c r="AW279" s="431"/>
      <c r="AX279" s="431"/>
      <c r="AY279" s="431"/>
      <c r="AZ279" s="431"/>
      <c r="BA279" s="431"/>
      <c r="BB279" s="431"/>
      <c r="BC279" s="431"/>
      <c r="BD279" s="431"/>
      <c r="BE279" s="431"/>
      <c r="BF279" s="431"/>
      <c r="BG279" s="431"/>
      <c r="BH279" s="431"/>
      <c r="BI279" s="431"/>
      <c r="BJ279" s="431"/>
      <c r="BK279" s="431"/>
      <c r="BL279" s="431"/>
      <c r="BM279" s="431"/>
      <c r="BN279" s="431"/>
      <c r="BO279" s="431"/>
      <c r="BP279" s="431"/>
      <c r="BQ279" s="431"/>
      <c r="BR279" s="431"/>
      <c r="BS279" s="431"/>
      <c r="BT279" s="431"/>
      <c r="BU279" s="431"/>
      <c r="BV279" s="431"/>
      <c r="BW279" s="431"/>
      <c r="BX279" s="431"/>
      <c r="BY279" s="431"/>
      <c r="BZ279" s="431"/>
      <c r="CA279" s="431"/>
      <c r="CB279" s="431"/>
      <c r="CC279" s="431"/>
      <c r="CD279" s="431"/>
      <c r="CE279" s="431"/>
      <c r="CF279" s="431"/>
      <c r="CG279" s="431"/>
      <c r="CH279" s="431"/>
    </row>
    <row r="280" spans="1:86" outlineLevel="1" x14ac:dyDescent="0.25">
      <c r="A280" s="434"/>
      <c r="B280" s="510"/>
      <c r="C280" s="281" t="s">
        <v>66</v>
      </c>
      <c r="D280" s="511"/>
      <c r="E280" s="555">
        <v>804</v>
      </c>
      <c r="F280" s="558"/>
      <c r="G280" s="503"/>
      <c r="H280" s="519" t="s">
        <v>682</v>
      </c>
      <c r="I280" s="519" t="s">
        <v>683</v>
      </c>
      <c r="J280" s="519">
        <v>216</v>
      </c>
      <c r="K280" s="431"/>
      <c r="L280" s="431"/>
      <c r="M280" s="431"/>
      <c r="N280" s="431"/>
      <c r="O280" s="431"/>
      <c r="P280" s="431"/>
      <c r="Q280" s="431"/>
      <c r="R280" s="431"/>
      <c r="S280" s="431"/>
      <c r="T280" s="431"/>
      <c r="U280" s="431"/>
      <c r="V280" s="431"/>
      <c r="W280" s="431"/>
      <c r="X280" s="431"/>
      <c r="Y280" s="431"/>
      <c r="Z280" s="431"/>
      <c r="AA280" s="431"/>
      <c r="AB280" s="431"/>
      <c r="AC280" s="431"/>
      <c r="AD280" s="431"/>
      <c r="AE280" s="431"/>
      <c r="AF280" s="431"/>
      <c r="AG280" s="431"/>
      <c r="AH280" s="431"/>
      <c r="AI280" s="431"/>
      <c r="AJ280" s="431"/>
      <c r="AK280" s="431"/>
      <c r="AL280" s="431"/>
      <c r="AM280" s="431"/>
      <c r="AN280" s="431"/>
      <c r="AO280" s="431"/>
      <c r="AP280" s="431"/>
      <c r="AQ280" s="431"/>
      <c r="AR280" s="431"/>
      <c r="AS280" s="431"/>
      <c r="AT280" s="431"/>
      <c r="AU280" s="431"/>
      <c r="AV280" s="431"/>
      <c r="AW280" s="431"/>
      <c r="AX280" s="431"/>
      <c r="AY280" s="431"/>
      <c r="AZ280" s="431"/>
      <c r="BA280" s="431"/>
      <c r="BB280" s="431"/>
      <c r="BC280" s="431"/>
      <c r="BD280" s="431"/>
      <c r="BE280" s="431"/>
      <c r="BF280" s="431"/>
      <c r="BG280" s="431"/>
      <c r="BH280" s="431"/>
      <c r="BI280" s="431"/>
      <c r="BJ280" s="431"/>
      <c r="BK280" s="431"/>
      <c r="BL280" s="431"/>
      <c r="BM280" s="431"/>
      <c r="BN280" s="431"/>
      <c r="BO280" s="431"/>
      <c r="BP280" s="431"/>
      <c r="BQ280" s="431"/>
      <c r="BR280" s="431"/>
      <c r="BS280" s="431"/>
      <c r="BT280" s="431"/>
      <c r="BU280" s="431"/>
      <c r="BV280" s="431"/>
      <c r="BW280" s="431"/>
      <c r="BX280" s="431"/>
      <c r="BY280" s="431"/>
      <c r="BZ280" s="431"/>
      <c r="CA280" s="431"/>
      <c r="CB280" s="431"/>
      <c r="CC280" s="431"/>
      <c r="CD280" s="431"/>
      <c r="CE280" s="431"/>
      <c r="CF280" s="431"/>
      <c r="CG280" s="431"/>
      <c r="CH280" s="431"/>
    </row>
    <row r="281" spans="1:86" outlineLevel="1" x14ac:dyDescent="0.25">
      <c r="A281" s="434"/>
      <c r="B281" s="510"/>
      <c r="C281" s="281" t="s">
        <v>67</v>
      </c>
      <c r="D281" s="520"/>
      <c r="E281" s="555">
        <v>1650</v>
      </c>
      <c r="F281" s="558"/>
      <c r="G281" s="556"/>
      <c r="H281" s="519" t="s">
        <v>684</v>
      </c>
      <c r="I281" s="519" t="s">
        <v>685</v>
      </c>
      <c r="J281" s="519">
        <v>11100</v>
      </c>
      <c r="K281" s="503"/>
      <c r="L281" s="431"/>
      <c r="M281" s="431"/>
      <c r="N281" s="431"/>
      <c r="O281" s="431"/>
      <c r="P281" s="431"/>
      <c r="Q281" s="431"/>
      <c r="R281" s="431"/>
      <c r="S281" s="431"/>
      <c r="T281" s="431"/>
      <c r="U281" s="431"/>
      <c r="V281" s="431"/>
      <c r="W281" s="431"/>
      <c r="X281" s="431"/>
      <c r="Y281" s="431"/>
      <c r="Z281" s="431"/>
      <c r="AA281" s="431"/>
      <c r="AB281" s="431"/>
      <c r="AC281" s="431"/>
      <c r="AD281" s="431"/>
      <c r="AE281" s="431"/>
      <c r="AF281" s="431"/>
      <c r="AG281" s="431"/>
      <c r="AH281" s="431"/>
      <c r="AI281" s="431"/>
      <c r="AJ281" s="431"/>
      <c r="AK281" s="431"/>
      <c r="AL281" s="431"/>
      <c r="AM281" s="431"/>
      <c r="AN281" s="431"/>
      <c r="AO281" s="431"/>
      <c r="AP281" s="431"/>
      <c r="AQ281" s="431"/>
      <c r="AR281" s="431"/>
      <c r="AS281" s="431"/>
      <c r="AT281" s="431"/>
      <c r="AU281" s="431"/>
      <c r="AV281" s="431"/>
      <c r="AW281" s="431"/>
      <c r="AX281" s="431"/>
      <c r="AY281" s="431"/>
      <c r="AZ281" s="431"/>
      <c r="BA281" s="431"/>
      <c r="BB281" s="431"/>
      <c r="BC281" s="431"/>
      <c r="BD281" s="431"/>
      <c r="BE281" s="431"/>
      <c r="BF281" s="431"/>
      <c r="BG281" s="431"/>
      <c r="BH281" s="431"/>
      <c r="BI281" s="431"/>
      <c r="BJ281" s="431"/>
      <c r="BK281" s="431"/>
      <c r="BL281" s="431"/>
      <c r="BM281" s="431"/>
      <c r="BN281" s="431"/>
      <c r="BO281" s="431"/>
      <c r="BP281" s="431"/>
      <c r="BQ281" s="431"/>
      <c r="BR281" s="431"/>
      <c r="BS281" s="431"/>
      <c r="BT281" s="431"/>
      <c r="BU281" s="431"/>
      <c r="BV281" s="431"/>
      <c r="BW281" s="431"/>
      <c r="BX281" s="431"/>
      <c r="BY281" s="431"/>
      <c r="BZ281" s="431"/>
      <c r="CA281" s="431"/>
      <c r="CB281" s="431"/>
      <c r="CC281" s="431"/>
      <c r="CD281" s="431"/>
      <c r="CE281" s="431"/>
      <c r="CF281" s="431"/>
      <c r="CG281" s="431"/>
      <c r="CH281" s="431"/>
    </row>
    <row r="282" spans="1:86" ht="15.75" customHeight="1" outlineLevel="1" x14ac:dyDescent="0.25">
      <c r="A282" s="431"/>
      <c r="B282" s="443"/>
      <c r="C282" s="281" t="s">
        <v>68</v>
      </c>
      <c r="D282" s="517" t="s">
        <v>69</v>
      </c>
      <c r="E282" s="555">
        <v>6630</v>
      </c>
      <c r="F282" s="558"/>
      <c r="G282" s="556"/>
      <c r="H282" s="519" t="s">
        <v>686</v>
      </c>
      <c r="I282" s="519" t="s">
        <v>687</v>
      </c>
      <c r="J282" s="519">
        <v>8900</v>
      </c>
      <c r="K282" s="503"/>
      <c r="L282" s="431"/>
      <c r="M282" s="431"/>
      <c r="N282" s="431"/>
      <c r="O282" s="431"/>
      <c r="P282" s="431"/>
      <c r="Q282" s="431"/>
      <c r="R282" s="431"/>
      <c r="S282" s="431"/>
      <c r="T282" s="431"/>
      <c r="U282" s="431"/>
      <c r="V282" s="431"/>
      <c r="W282" s="431"/>
      <c r="X282" s="431"/>
      <c r="Y282" s="431"/>
      <c r="Z282" s="431"/>
      <c r="AA282" s="431"/>
      <c r="AB282" s="431"/>
      <c r="AC282" s="431"/>
      <c r="AD282" s="431"/>
      <c r="AE282" s="431"/>
      <c r="AF282" s="431"/>
      <c r="AG282" s="431"/>
      <c r="AH282" s="431"/>
      <c r="AI282" s="431"/>
      <c r="AJ282" s="431"/>
      <c r="AK282" s="431"/>
      <c r="AL282" s="431"/>
      <c r="AM282" s="431"/>
      <c r="AN282" s="431"/>
      <c r="AO282" s="431"/>
      <c r="AP282" s="431"/>
      <c r="AQ282" s="431"/>
      <c r="AR282" s="431"/>
      <c r="AS282" s="431"/>
      <c r="AT282" s="431"/>
      <c r="AU282" s="431"/>
      <c r="AV282" s="431"/>
      <c r="AW282" s="431"/>
      <c r="AX282" s="431"/>
      <c r="AY282" s="431"/>
      <c r="AZ282" s="431"/>
      <c r="BA282" s="431"/>
      <c r="BB282" s="431"/>
      <c r="BC282" s="431"/>
      <c r="BD282" s="431"/>
      <c r="BE282" s="431"/>
      <c r="BF282" s="431"/>
      <c r="BG282" s="431"/>
      <c r="BH282" s="431"/>
      <c r="BI282" s="431"/>
      <c r="BJ282" s="431"/>
      <c r="BK282" s="431"/>
      <c r="BL282" s="431"/>
      <c r="BM282" s="431"/>
      <c r="BN282" s="431"/>
      <c r="BO282" s="431"/>
      <c r="BP282" s="431"/>
      <c r="BQ282" s="431"/>
      <c r="BR282" s="431"/>
      <c r="BS282" s="431"/>
      <c r="BT282" s="431"/>
      <c r="BU282" s="431"/>
      <c r="BV282" s="431"/>
      <c r="BW282" s="431"/>
      <c r="BX282" s="431"/>
      <c r="BY282" s="431"/>
      <c r="BZ282" s="431"/>
      <c r="CA282" s="431"/>
      <c r="CB282" s="431"/>
      <c r="CC282" s="431"/>
      <c r="CD282" s="431"/>
      <c r="CE282" s="431"/>
      <c r="CF282" s="431"/>
      <c r="CG282" s="431"/>
      <c r="CH282" s="431"/>
    </row>
    <row r="283" spans="1:86" ht="15.75" customHeight="1" outlineLevel="1" x14ac:dyDescent="0.25">
      <c r="A283" s="431"/>
      <c r="B283" s="443"/>
      <c r="C283" s="281" t="s">
        <v>70</v>
      </c>
      <c r="D283" s="511"/>
      <c r="E283" s="555">
        <v>11100</v>
      </c>
      <c r="F283" s="558"/>
      <c r="G283" s="556"/>
      <c r="H283" s="521" t="s">
        <v>688</v>
      </c>
      <c r="I283" s="522"/>
      <c r="J283" s="523"/>
      <c r="K283" s="503"/>
      <c r="L283" s="431"/>
      <c r="M283" s="431"/>
      <c r="N283" s="431"/>
      <c r="O283" s="431"/>
      <c r="P283" s="431"/>
      <c r="Q283" s="431"/>
      <c r="R283" s="431"/>
      <c r="S283" s="431"/>
      <c r="T283" s="431"/>
      <c r="U283" s="431"/>
      <c r="V283" s="431"/>
      <c r="W283" s="431"/>
      <c r="X283" s="431"/>
      <c r="Y283" s="431"/>
      <c r="Z283" s="431"/>
      <c r="AA283" s="431"/>
      <c r="AB283" s="431"/>
      <c r="AC283" s="431"/>
      <c r="AD283" s="431"/>
      <c r="AE283" s="431"/>
      <c r="AF283" s="431"/>
      <c r="AG283" s="431"/>
      <c r="AH283" s="431"/>
      <c r="AI283" s="431"/>
      <c r="AJ283" s="431"/>
      <c r="AK283" s="431"/>
      <c r="AL283" s="431"/>
      <c r="AM283" s="431"/>
      <c r="AN283" s="431"/>
      <c r="AO283" s="431"/>
      <c r="AP283" s="431"/>
      <c r="AQ283" s="431"/>
      <c r="AR283" s="431"/>
      <c r="AS283" s="431"/>
      <c r="AT283" s="431"/>
      <c r="AU283" s="431"/>
      <c r="AV283" s="431"/>
      <c r="AW283" s="431"/>
      <c r="AX283" s="431"/>
      <c r="AY283" s="431"/>
      <c r="AZ283" s="431"/>
      <c r="BA283" s="431"/>
      <c r="BB283" s="431"/>
      <c r="BC283" s="431"/>
      <c r="BD283" s="431"/>
      <c r="BE283" s="431"/>
      <c r="BF283" s="431"/>
      <c r="BG283" s="431"/>
      <c r="BH283" s="431"/>
      <c r="BI283" s="431"/>
      <c r="BJ283" s="431"/>
      <c r="BK283" s="431"/>
      <c r="BL283" s="431"/>
      <c r="BM283" s="431"/>
      <c r="BN283" s="431"/>
      <c r="BO283" s="431"/>
      <c r="BP283" s="431"/>
      <c r="BQ283" s="431"/>
      <c r="BR283" s="431"/>
      <c r="BS283" s="431"/>
      <c r="BT283" s="431"/>
      <c r="BU283" s="431"/>
      <c r="BV283" s="431"/>
      <c r="BW283" s="431"/>
      <c r="BX283" s="431"/>
      <c r="BY283" s="431"/>
      <c r="BZ283" s="431"/>
      <c r="CA283" s="431"/>
      <c r="CB283" s="431"/>
      <c r="CC283" s="431"/>
      <c r="CD283" s="431"/>
      <c r="CE283" s="431"/>
      <c r="CF283" s="431"/>
      <c r="CG283" s="431"/>
      <c r="CH283" s="431"/>
    </row>
    <row r="284" spans="1:86" ht="15.75" customHeight="1" outlineLevel="1" x14ac:dyDescent="0.25">
      <c r="A284" s="431"/>
      <c r="B284" s="443"/>
      <c r="C284" s="281" t="s">
        <v>71</v>
      </c>
      <c r="D284" s="511"/>
      <c r="E284" s="555">
        <v>8900</v>
      </c>
      <c r="F284" s="558"/>
      <c r="G284" s="556"/>
      <c r="H284" s="524" t="s">
        <v>231</v>
      </c>
      <c r="I284" s="426"/>
      <c r="J284" s="426"/>
      <c r="K284" s="503"/>
      <c r="L284" s="431"/>
      <c r="M284" s="431"/>
      <c r="N284" s="431"/>
      <c r="O284" s="431"/>
      <c r="P284" s="431"/>
      <c r="Q284" s="431"/>
      <c r="R284" s="431"/>
      <c r="S284" s="431"/>
      <c r="T284" s="431"/>
      <c r="U284" s="431"/>
      <c r="V284" s="431"/>
      <c r="W284" s="431"/>
      <c r="X284" s="431"/>
      <c r="Y284" s="431"/>
      <c r="Z284" s="431"/>
      <c r="AA284" s="431"/>
      <c r="AB284" s="431"/>
      <c r="AC284" s="431"/>
      <c r="AD284" s="431"/>
      <c r="AE284" s="431"/>
      <c r="AF284" s="431"/>
      <c r="AG284" s="431"/>
      <c r="AH284" s="431"/>
      <c r="AI284" s="431"/>
      <c r="AJ284" s="431"/>
      <c r="AK284" s="431"/>
      <c r="AL284" s="431"/>
      <c r="AM284" s="431"/>
      <c r="AN284" s="431"/>
      <c r="AO284" s="431"/>
      <c r="AP284" s="431"/>
      <c r="AQ284" s="431"/>
      <c r="AR284" s="431"/>
      <c r="AS284" s="431"/>
      <c r="AT284" s="431"/>
      <c r="AU284" s="431"/>
      <c r="AV284" s="431"/>
      <c r="AW284" s="431"/>
      <c r="AX284" s="431"/>
      <c r="AY284" s="431"/>
      <c r="AZ284" s="431"/>
      <c r="BA284" s="431"/>
      <c r="BB284" s="431"/>
      <c r="BC284" s="431"/>
      <c r="BD284" s="431"/>
      <c r="BE284" s="431"/>
      <c r="BF284" s="431"/>
      <c r="BG284" s="431"/>
      <c r="BH284" s="431"/>
      <c r="BI284" s="431"/>
      <c r="BJ284" s="431"/>
      <c r="BK284" s="431"/>
      <c r="BL284" s="431"/>
      <c r="BM284" s="431"/>
      <c r="BN284" s="431"/>
      <c r="BO284" s="431"/>
      <c r="BP284" s="431"/>
      <c r="BQ284" s="431"/>
      <c r="BR284" s="431"/>
      <c r="BS284" s="431"/>
      <c r="BT284" s="431"/>
      <c r="BU284" s="431"/>
      <c r="BV284" s="431"/>
      <c r="BW284" s="431"/>
      <c r="BX284" s="431"/>
      <c r="BY284" s="431"/>
      <c r="BZ284" s="431"/>
      <c r="CA284" s="431"/>
      <c r="CB284" s="431"/>
      <c r="CC284" s="431"/>
      <c r="CD284" s="431"/>
      <c r="CE284" s="431"/>
      <c r="CF284" s="431"/>
      <c r="CG284" s="431"/>
      <c r="CH284" s="431"/>
    </row>
    <row r="285" spans="1:86" ht="15.75" customHeight="1" outlineLevel="1" x14ac:dyDescent="0.25">
      <c r="A285" s="431"/>
      <c r="B285" s="443"/>
      <c r="C285" s="281" t="s">
        <v>72</v>
      </c>
      <c r="D285" s="511"/>
      <c r="E285" s="555">
        <v>9540</v>
      </c>
      <c r="F285" s="558"/>
      <c r="G285" s="556"/>
      <c r="K285" s="503"/>
      <c r="L285" s="431"/>
      <c r="M285" s="431"/>
      <c r="N285" s="431"/>
      <c r="O285" s="431"/>
      <c r="P285" s="431"/>
      <c r="Q285" s="431"/>
      <c r="R285" s="431"/>
      <c r="S285" s="431"/>
      <c r="T285" s="431"/>
      <c r="U285" s="431"/>
      <c r="V285" s="431"/>
      <c r="W285" s="431"/>
      <c r="X285" s="431"/>
      <c r="Y285" s="431"/>
      <c r="Z285" s="431"/>
      <c r="AA285" s="431"/>
      <c r="AB285" s="431"/>
      <c r="AC285" s="431"/>
      <c r="AD285" s="431"/>
      <c r="AE285" s="431"/>
      <c r="AF285" s="431"/>
      <c r="AG285" s="431"/>
      <c r="AH285" s="431"/>
      <c r="AI285" s="431"/>
      <c r="AJ285" s="431"/>
      <c r="AK285" s="431"/>
      <c r="AL285" s="431"/>
      <c r="AM285" s="431"/>
      <c r="AN285" s="431"/>
      <c r="AO285" s="431"/>
      <c r="AP285" s="431"/>
      <c r="AQ285" s="431"/>
      <c r="AR285" s="431"/>
      <c r="AS285" s="431"/>
      <c r="AT285" s="431"/>
      <c r="AU285" s="431"/>
      <c r="AV285" s="431"/>
      <c r="AW285" s="431"/>
      <c r="AX285" s="431"/>
      <c r="AY285" s="431"/>
      <c r="AZ285" s="431"/>
      <c r="BA285" s="431"/>
      <c r="BB285" s="431"/>
      <c r="BC285" s="431"/>
      <c r="BD285" s="431"/>
      <c r="BE285" s="431"/>
      <c r="BF285" s="431"/>
      <c r="BG285" s="431"/>
      <c r="BH285" s="431"/>
      <c r="BI285" s="431"/>
      <c r="BJ285" s="431"/>
      <c r="BK285" s="431"/>
      <c r="BL285" s="431"/>
      <c r="BM285" s="431"/>
      <c r="BN285" s="431"/>
      <c r="BO285" s="431"/>
      <c r="BP285" s="431"/>
      <c r="BQ285" s="431"/>
      <c r="BR285" s="431"/>
      <c r="BS285" s="431"/>
      <c r="BT285" s="431"/>
      <c r="BU285" s="431"/>
      <c r="BV285" s="431"/>
      <c r="BW285" s="431"/>
      <c r="BX285" s="431"/>
      <c r="BY285" s="431"/>
      <c r="BZ285" s="431"/>
      <c r="CA285" s="431"/>
      <c r="CB285" s="431"/>
      <c r="CC285" s="431"/>
      <c r="CD285" s="431"/>
      <c r="CE285" s="431"/>
      <c r="CF285" s="431"/>
      <c r="CG285" s="431"/>
      <c r="CH285" s="431"/>
    </row>
    <row r="286" spans="1:86" ht="15.75" customHeight="1" outlineLevel="1" x14ac:dyDescent="0.25">
      <c r="A286" s="431"/>
      <c r="B286" s="443"/>
      <c r="C286" s="281" t="s">
        <v>73</v>
      </c>
      <c r="D286" s="511"/>
      <c r="E286" s="555">
        <v>9200</v>
      </c>
      <c r="F286" s="558"/>
      <c r="G286" s="556"/>
      <c r="K286" s="503"/>
      <c r="L286" s="431"/>
      <c r="M286" s="431"/>
      <c r="N286" s="431"/>
      <c r="O286" s="431"/>
      <c r="P286" s="431"/>
      <c r="Q286" s="431"/>
      <c r="R286" s="431"/>
      <c r="S286" s="431"/>
      <c r="T286" s="431"/>
      <c r="U286" s="431"/>
      <c r="V286" s="431"/>
      <c r="W286" s="431"/>
      <c r="X286" s="431"/>
      <c r="Y286" s="431"/>
      <c r="Z286" s="431"/>
      <c r="AA286" s="431"/>
      <c r="AB286" s="431"/>
      <c r="AC286" s="431"/>
      <c r="AD286" s="431"/>
      <c r="AE286" s="431"/>
      <c r="AF286" s="431"/>
      <c r="AG286" s="431"/>
      <c r="AH286" s="431"/>
      <c r="AI286" s="431"/>
      <c r="AJ286" s="431"/>
      <c r="AK286" s="431"/>
      <c r="AL286" s="431"/>
      <c r="AM286" s="431"/>
      <c r="AN286" s="431"/>
      <c r="AO286" s="431"/>
      <c r="AP286" s="431"/>
      <c r="AQ286" s="431"/>
      <c r="AR286" s="431"/>
      <c r="AS286" s="431"/>
      <c r="AT286" s="431"/>
      <c r="AU286" s="431"/>
      <c r="AV286" s="431"/>
      <c r="AW286" s="431"/>
      <c r="AX286" s="431"/>
      <c r="AY286" s="431"/>
      <c r="AZ286" s="431"/>
      <c r="BA286" s="431"/>
      <c r="BB286" s="431"/>
      <c r="BC286" s="431"/>
      <c r="BD286" s="431"/>
      <c r="BE286" s="431"/>
      <c r="BF286" s="431"/>
      <c r="BG286" s="431"/>
      <c r="BH286" s="431"/>
      <c r="BI286" s="431"/>
      <c r="BJ286" s="431"/>
      <c r="BK286" s="431"/>
      <c r="BL286" s="431"/>
      <c r="BM286" s="431"/>
      <c r="BN286" s="431"/>
      <c r="BO286" s="431"/>
      <c r="BP286" s="431"/>
      <c r="BQ286" s="431"/>
      <c r="BR286" s="431"/>
      <c r="BS286" s="431"/>
      <c r="BT286" s="431"/>
      <c r="BU286" s="431"/>
      <c r="BV286" s="431"/>
      <c r="BW286" s="431"/>
      <c r="BX286" s="431"/>
      <c r="BY286" s="431"/>
      <c r="BZ286" s="431"/>
      <c r="CA286" s="431"/>
      <c r="CB286" s="431"/>
      <c r="CC286" s="431"/>
      <c r="CD286" s="431"/>
      <c r="CE286" s="431"/>
      <c r="CF286" s="431"/>
      <c r="CG286" s="431"/>
      <c r="CH286" s="431"/>
    </row>
    <row r="287" spans="1:86" ht="15.75" customHeight="1" outlineLevel="1" x14ac:dyDescent="0.25">
      <c r="A287" s="431"/>
      <c r="B287" s="443"/>
      <c r="C287" s="281" t="s">
        <v>74</v>
      </c>
      <c r="D287" s="511"/>
      <c r="E287" s="555">
        <v>8550</v>
      </c>
      <c r="F287" s="558"/>
      <c r="G287" s="503"/>
      <c r="K287" s="431"/>
      <c r="L287" s="431"/>
      <c r="M287" s="431"/>
      <c r="N287" s="431"/>
      <c r="O287" s="431"/>
      <c r="P287" s="431"/>
      <c r="Q287" s="431"/>
      <c r="R287" s="431"/>
      <c r="S287" s="431"/>
      <c r="T287" s="431"/>
      <c r="U287" s="431"/>
      <c r="V287" s="431"/>
      <c r="W287" s="431"/>
      <c r="X287" s="431"/>
      <c r="Y287" s="431"/>
      <c r="Z287" s="431"/>
      <c r="AA287" s="431"/>
      <c r="AB287" s="431"/>
      <c r="AC287" s="431"/>
      <c r="AD287" s="431"/>
      <c r="AE287" s="431"/>
      <c r="AF287" s="431"/>
      <c r="AG287" s="431"/>
      <c r="AH287" s="431"/>
      <c r="AI287" s="431"/>
      <c r="AJ287" s="431"/>
      <c r="AK287" s="431"/>
      <c r="AL287" s="431"/>
      <c r="AM287" s="431"/>
      <c r="AN287" s="431"/>
      <c r="AO287" s="431"/>
      <c r="AP287" s="431"/>
      <c r="AQ287" s="431"/>
      <c r="AR287" s="431"/>
      <c r="AS287" s="431"/>
      <c r="AT287" s="431"/>
      <c r="AU287" s="431"/>
      <c r="AV287" s="431"/>
      <c r="AW287" s="431"/>
      <c r="AX287" s="431"/>
      <c r="AY287" s="431"/>
      <c r="AZ287" s="431"/>
      <c r="BA287" s="431"/>
      <c r="BB287" s="431"/>
      <c r="BC287" s="431"/>
      <c r="BD287" s="431"/>
      <c r="BE287" s="431"/>
      <c r="BF287" s="431"/>
      <c r="BG287" s="431"/>
      <c r="BH287" s="431"/>
      <c r="BI287" s="431"/>
      <c r="BJ287" s="431"/>
      <c r="BK287" s="431"/>
      <c r="BL287" s="431"/>
      <c r="BM287" s="431"/>
      <c r="BN287" s="431"/>
      <c r="BO287" s="431"/>
      <c r="BP287" s="431"/>
      <c r="BQ287" s="431"/>
      <c r="BR287" s="431"/>
      <c r="BS287" s="431"/>
      <c r="BT287" s="431"/>
      <c r="BU287" s="431"/>
      <c r="BV287" s="431"/>
      <c r="BW287" s="431"/>
      <c r="BX287" s="431"/>
      <c r="BY287" s="431"/>
      <c r="BZ287" s="431"/>
      <c r="CA287" s="431"/>
      <c r="CB287" s="431"/>
      <c r="CC287" s="431"/>
      <c r="CD287" s="431"/>
      <c r="CE287" s="431"/>
      <c r="CF287" s="431"/>
      <c r="CG287" s="431"/>
      <c r="CH287" s="431"/>
    </row>
    <row r="288" spans="1:86" ht="15.75" customHeight="1" outlineLevel="1" x14ac:dyDescent="0.25">
      <c r="A288" s="431"/>
      <c r="B288" s="443"/>
      <c r="C288" s="281" t="s">
        <v>75</v>
      </c>
      <c r="D288" s="511"/>
      <c r="E288" s="555">
        <v>7910</v>
      </c>
      <c r="F288" s="558"/>
      <c r="G288" s="503"/>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1"/>
      <c r="AD288" s="431"/>
      <c r="AE288" s="431"/>
      <c r="AF288" s="431"/>
      <c r="AG288" s="431"/>
      <c r="AH288" s="431"/>
      <c r="AI288" s="431"/>
      <c r="AJ288" s="431"/>
      <c r="AK288" s="431"/>
      <c r="AL288" s="431"/>
      <c r="AM288" s="431"/>
      <c r="AN288" s="431"/>
      <c r="AO288" s="431"/>
      <c r="AP288" s="431"/>
      <c r="AQ288" s="431"/>
      <c r="AR288" s="431"/>
      <c r="AS288" s="431"/>
      <c r="AT288" s="431"/>
      <c r="AU288" s="431"/>
      <c r="AV288" s="431"/>
      <c r="AW288" s="431"/>
      <c r="AX288" s="431"/>
      <c r="AY288" s="431"/>
      <c r="AZ288" s="431"/>
      <c r="BA288" s="431"/>
      <c r="BB288" s="431"/>
      <c r="BC288" s="431"/>
      <c r="BD288" s="431"/>
      <c r="BE288" s="431"/>
      <c r="BF288" s="431"/>
      <c r="BG288" s="431"/>
      <c r="BH288" s="431"/>
      <c r="BI288" s="431"/>
      <c r="BJ288" s="431"/>
      <c r="BK288" s="431"/>
      <c r="BL288" s="431"/>
      <c r="BM288" s="431"/>
      <c r="BN288" s="431"/>
      <c r="BO288" s="431"/>
      <c r="BP288" s="431"/>
      <c r="BQ288" s="431"/>
      <c r="BR288" s="431"/>
      <c r="BS288" s="431"/>
      <c r="BT288" s="431"/>
      <c r="BU288" s="431"/>
      <c r="BV288" s="431"/>
      <c r="BW288" s="431"/>
      <c r="BX288" s="431"/>
      <c r="BY288" s="431"/>
      <c r="BZ288" s="431"/>
      <c r="CA288" s="431"/>
      <c r="CB288" s="431"/>
      <c r="CC288" s="431"/>
      <c r="CD288" s="431"/>
      <c r="CE288" s="431"/>
      <c r="CF288" s="431"/>
      <c r="CG288" s="431"/>
      <c r="CH288" s="431"/>
    </row>
    <row r="289" spans="1:86" ht="15.75" customHeight="1" outlineLevel="1" x14ac:dyDescent="0.25">
      <c r="A289" s="431"/>
      <c r="B289" s="443"/>
      <c r="C289" s="281" t="s">
        <v>76</v>
      </c>
      <c r="D289" s="511"/>
      <c r="E289" s="555">
        <v>7190</v>
      </c>
      <c r="F289" s="558"/>
      <c r="G289" s="503"/>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431"/>
      <c r="AF289" s="431"/>
      <c r="AG289" s="431"/>
      <c r="AH289" s="431"/>
      <c r="AI289" s="431"/>
      <c r="AJ289" s="431"/>
      <c r="AK289" s="431"/>
      <c r="AL289" s="431"/>
      <c r="AM289" s="431"/>
      <c r="AN289" s="431"/>
      <c r="AO289" s="431"/>
      <c r="AP289" s="431"/>
      <c r="AQ289" s="431"/>
      <c r="AR289" s="431"/>
      <c r="AS289" s="431"/>
      <c r="AT289" s="431"/>
      <c r="AU289" s="431"/>
      <c r="AV289" s="431"/>
      <c r="AW289" s="431"/>
      <c r="AX289" s="431"/>
      <c r="AY289" s="431"/>
      <c r="AZ289" s="431"/>
      <c r="BA289" s="431"/>
      <c r="BB289" s="431"/>
      <c r="BC289" s="431"/>
      <c r="BD289" s="431"/>
      <c r="BE289" s="431"/>
      <c r="BF289" s="431"/>
      <c r="BG289" s="431"/>
      <c r="BH289" s="431"/>
      <c r="BI289" s="431"/>
      <c r="BJ289" s="431"/>
      <c r="BK289" s="431"/>
      <c r="BL289" s="431"/>
      <c r="BM289" s="431"/>
      <c r="BN289" s="431"/>
      <c r="BO289" s="431"/>
      <c r="BP289" s="431"/>
      <c r="BQ289" s="431"/>
      <c r="BR289" s="431"/>
      <c r="BS289" s="431"/>
      <c r="BT289" s="431"/>
      <c r="BU289" s="431"/>
      <c r="BV289" s="431"/>
      <c r="BW289" s="431"/>
      <c r="BX289" s="431"/>
      <c r="BY289" s="431"/>
      <c r="BZ289" s="431"/>
      <c r="CA289" s="431"/>
      <c r="CB289" s="431"/>
      <c r="CC289" s="431"/>
      <c r="CD289" s="431"/>
      <c r="CE289" s="431"/>
      <c r="CF289" s="431"/>
      <c r="CG289" s="431"/>
      <c r="CH289" s="431"/>
    </row>
    <row r="290" spans="1:86" ht="15.75" customHeight="1" outlineLevel="1" x14ac:dyDescent="0.25">
      <c r="A290" s="431"/>
      <c r="B290" s="443"/>
      <c r="C290" s="281" t="s">
        <v>1043</v>
      </c>
      <c r="D290" s="511"/>
      <c r="E290" s="555">
        <v>17400</v>
      </c>
      <c r="F290" s="558"/>
      <c r="G290" s="503"/>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431"/>
      <c r="AF290" s="431"/>
      <c r="AG290" s="431"/>
      <c r="AH290" s="431"/>
      <c r="AI290" s="431"/>
      <c r="AJ290" s="431"/>
      <c r="AK290" s="431"/>
      <c r="AL290" s="431"/>
      <c r="AM290" s="431"/>
      <c r="AN290" s="431"/>
      <c r="AO290" s="431"/>
      <c r="AP290" s="431"/>
      <c r="AQ290" s="431"/>
      <c r="AR290" s="431"/>
      <c r="AS290" s="431"/>
      <c r="AT290" s="431"/>
      <c r="AU290" s="431"/>
      <c r="AV290" s="431"/>
      <c r="AW290" s="431"/>
      <c r="AX290" s="431"/>
      <c r="AY290" s="431"/>
      <c r="AZ290" s="431"/>
      <c r="BA290" s="431"/>
      <c r="BB290" s="431"/>
      <c r="BC290" s="431"/>
      <c r="BD290" s="431"/>
      <c r="BE290" s="431"/>
      <c r="BF290" s="431"/>
      <c r="BG290" s="431"/>
      <c r="BH290" s="431"/>
      <c r="BI290" s="431"/>
      <c r="BJ290" s="431"/>
      <c r="BK290" s="431"/>
      <c r="BL290" s="431"/>
      <c r="BM290" s="431"/>
      <c r="BN290" s="431"/>
      <c r="BO290" s="431"/>
      <c r="BP290" s="431"/>
      <c r="BQ290" s="431"/>
      <c r="BR290" s="431"/>
      <c r="BS290" s="431"/>
      <c r="BT290" s="431"/>
      <c r="BU290" s="431"/>
      <c r="BV290" s="431"/>
      <c r="BW290" s="431"/>
      <c r="BX290" s="431"/>
      <c r="BY290" s="431"/>
      <c r="BZ290" s="431"/>
      <c r="CA290" s="431"/>
      <c r="CB290" s="431"/>
      <c r="CC290" s="431"/>
      <c r="CD290" s="431"/>
      <c r="CE290" s="431"/>
      <c r="CF290" s="431"/>
      <c r="CG290" s="431"/>
      <c r="CH290" s="431"/>
    </row>
    <row r="291" spans="1:86" ht="15.75" customHeight="1" outlineLevel="1" x14ac:dyDescent="0.25">
      <c r="A291" s="431"/>
      <c r="B291" s="443"/>
      <c r="C291" s="281" t="s">
        <v>1044</v>
      </c>
      <c r="D291" s="520"/>
      <c r="E291" s="555">
        <v>9200</v>
      </c>
      <c r="F291" s="558"/>
      <c r="G291" s="503"/>
      <c r="H291" s="431"/>
      <c r="I291" s="431"/>
      <c r="J291" s="431"/>
      <c r="K291" s="431"/>
      <c r="L291" s="431"/>
      <c r="M291" s="431"/>
      <c r="N291" s="431"/>
      <c r="O291" s="431"/>
      <c r="P291" s="431"/>
      <c r="Q291" s="431"/>
      <c r="R291" s="431"/>
      <c r="S291" s="431"/>
      <c r="T291" s="431"/>
      <c r="U291" s="431"/>
      <c r="V291" s="431"/>
      <c r="W291" s="431"/>
      <c r="X291" s="431"/>
      <c r="Y291" s="431"/>
      <c r="Z291" s="431"/>
      <c r="AA291" s="431"/>
      <c r="AB291" s="431"/>
      <c r="AC291" s="431"/>
      <c r="AD291" s="431"/>
      <c r="AE291" s="431"/>
      <c r="AF291" s="431"/>
      <c r="AG291" s="431"/>
      <c r="AH291" s="431"/>
      <c r="AI291" s="431"/>
      <c r="AJ291" s="431"/>
      <c r="AK291" s="431"/>
      <c r="AL291" s="431"/>
      <c r="AM291" s="431"/>
      <c r="AN291" s="431"/>
      <c r="AO291" s="431"/>
      <c r="AP291" s="431"/>
      <c r="AQ291" s="431"/>
      <c r="AR291" s="431"/>
      <c r="AS291" s="431"/>
      <c r="AT291" s="431"/>
      <c r="AU291" s="431"/>
      <c r="AV291" s="431"/>
      <c r="AW291" s="431"/>
      <c r="AX291" s="431"/>
      <c r="AY291" s="431"/>
      <c r="AZ291" s="431"/>
      <c r="BA291" s="431"/>
      <c r="BB291" s="431"/>
      <c r="BC291" s="431"/>
      <c r="BD291" s="431"/>
      <c r="BE291" s="431"/>
      <c r="BF291" s="431"/>
      <c r="BG291" s="431"/>
      <c r="BH291" s="431"/>
      <c r="BI291" s="431"/>
      <c r="BJ291" s="431"/>
      <c r="BK291" s="431"/>
      <c r="BL291" s="431"/>
      <c r="BM291" s="431"/>
      <c r="BN291" s="431"/>
      <c r="BO291" s="431"/>
      <c r="BP291" s="431"/>
      <c r="BQ291" s="431"/>
      <c r="BR291" s="431"/>
      <c r="BS291" s="431"/>
      <c r="BT291" s="431"/>
      <c r="BU291" s="431"/>
      <c r="BV291" s="431"/>
      <c r="BW291" s="431"/>
      <c r="BX291" s="431"/>
      <c r="BY291" s="431"/>
      <c r="BZ291" s="431"/>
      <c r="CA291" s="431"/>
      <c r="CB291" s="431"/>
      <c r="CC291" s="431"/>
      <c r="CD291" s="431"/>
      <c r="CE291" s="431"/>
      <c r="CF291" s="431"/>
      <c r="CG291" s="431"/>
      <c r="CH291" s="431"/>
    </row>
    <row r="292" spans="1:86" ht="15.75" customHeight="1" outlineLevel="1" x14ac:dyDescent="0.25">
      <c r="A292" s="431"/>
      <c r="B292" s="443"/>
      <c r="C292" s="518" t="s">
        <v>77</v>
      </c>
      <c r="D292" s="517" t="s">
        <v>78</v>
      </c>
      <c r="E292" s="555">
        <v>0</v>
      </c>
      <c r="F292" s="559"/>
      <c r="G292" s="503"/>
      <c r="H292" s="431"/>
      <c r="I292" s="431"/>
      <c r="J292" s="431"/>
      <c r="K292" s="431"/>
      <c r="L292" s="431"/>
      <c r="M292" s="431"/>
      <c r="N292" s="431"/>
      <c r="O292" s="431"/>
      <c r="P292" s="431"/>
      <c r="Q292" s="431"/>
      <c r="R292" s="431"/>
      <c r="S292" s="431"/>
      <c r="T292" s="431"/>
      <c r="U292" s="431"/>
      <c r="V292" s="431"/>
      <c r="W292" s="431"/>
      <c r="X292" s="431"/>
      <c r="Y292" s="431"/>
      <c r="Z292" s="431"/>
      <c r="AA292" s="431"/>
      <c r="AB292" s="431"/>
      <c r="AC292" s="431"/>
      <c r="AD292" s="431"/>
      <c r="AE292" s="431"/>
      <c r="AF292" s="431"/>
      <c r="AG292" s="431"/>
      <c r="AH292" s="431"/>
      <c r="AI292" s="431"/>
      <c r="AJ292" s="431"/>
      <c r="AK292" s="431"/>
      <c r="AL292" s="431"/>
      <c r="AM292" s="431"/>
      <c r="AN292" s="431"/>
      <c r="AO292" s="431"/>
      <c r="AP292" s="431"/>
      <c r="AQ292" s="431"/>
      <c r="AR292" s="431"/>
      <c r="AS292" s="431"/>
      <c r="AT292" s="431"/>
      <c r="AU292" s="431"/>
      <c r="AV292" s="431"/>
      <c r="AW292" s="431"/>
      <c r="AX292" s="431"/>
      <c r="AY292" s="431"/>
      <c r="AZ292" s="431"/>
      <c r="BA292" s="431"/>
      <c r="BB292" s="431"/>
      <c r="BC292" s="431"/>
      <c r="BD292" s="431"/>
      <c r="BE292" s="431"/>
      <c r="BF292" s="431"/>
      <c r="BG292" s="431"/>
      <c r="BH292" s="431"/>
      <c r="BI292" s="431"/>
      <c r="BJ292" s="431"/>
      <c r="BK292" s="431"/>
      <c r="BL292" s="431"/>
      <c r="BM292" s="431"/>
      <c r="BN292" s="431"/>
      <c r="BO292" s="431"/>
      <c r="BP292" s="431"/>
      <c r="BQ292" s="431"/>
      <c r="BR292" s="431"/>
      <c r="BS292" s="431"/>
      <c r="BT292" s="431"/>
      <c r="BU292" s="431"/>
      <c r="BV292" s="431"/>
      <c r="BW292" s="431"/>
      <c r="BX292" s="431"/>
      <c r="BY292" s="431"/>
      <c r="BZ292" s="431"/>
      <c r="CA292" s="431"/>
      <c r="CB292" s="431"/>
      <c r="CC292" s="431"/>
      <c r="CD292" s="431"/>
      <c r="CE292" s="431"/>
      <c r="CF292" s="431"/>
      <c r="CG292" s="431"/>
      <c r="CH292" s="431"/>
    </row>
    <row r="293" spans="1:86" ht="15.75" customHeight="1" outlineLevel="1" x14ac:dyDescent="0.25">
      <c r="A293" s="431"/>
      <c r="B293" s="443"/>
      <c r="C293" s="397" t="s">
        <v>79</v>
      </c>
      <c r="D293" s="511"/>
      <c r="E293" s="555">
        <v>16.12</v>
      </c>
      <c r="F293" s="559"/>
      <c r="G293" s="503"/>
      <c r="H293" s="431"/>
      <c r="I293" s="431"/>
      <c r="J293" s="431"/>
      <c r="K293" s="431"/>
      <c r="L293" s="431"/>
      <c r="M293" s="431"/>
      <c r="N293" s="431"/>
      <c r="O293" s="431"/>
      <c r="P293" s="431"/>
      <c r="Q293" s="431"/>
      <c r="R293" s="431"/>
      <c r="S293" s="431"/>
      <c r="T293" s="431"/>
      <c r="U293" s="431"/>
      <c r="V293" s="431"/>
      <c r="W293" s="431"/>
      <c r="X293" s="431"/>
      <c r="Y293" s="431"/>
      <c r="Z293" s="431"/>
      <c r="AA293" s="431"/>
      <c r="AB293" s="431"/>
      <c r="AC293" s="431"/>
      <c r="AD293" s="431"/>
      <c r="AE293" s="431"/>
      <c r="AF293" s="431"/>
      <c r="AG293" s="431"/>
      <c r="AH293" s="431"/>
      <c r="AI293" s="431"/>
      <c r="AJ293" s="431"/>
      <c r="AK293" s="431"/>
      <c r="AL293" s="431"/>
      <c r="AM293" s="431"/>
      <c r="AN293" s="431"/>
      <c r="AO293" s="431"/>
      <c r="AP293" s="431"/>
      <c r="AQ293" s="431"/>
      <c r="AR293" s="431"/>
      <c r="AS293" s="431"/>
      <c r="AT293" s="431"/>
      <c r="AU293" s="431"/>
      <c r="AV293" s="431"/>
      <c r="AW293" s="431"/>
      <c r="AX293" s="431"/>
      <c r="AY293" s="431"/>
      <c r="AZ293" s="431"/>
      <c r="BA293" s="431"/>
      <c r="BB293" s="431"/>
      <c r="BC293" s="431"/>
      <c r="BD293" s="431"/>
      <c r="BE293" s="431"/>
      <c r="BF293" s="431"/>
      <c r="BG293" s="431"/>
      <c r="BH293" s="431"/>
      <c r="BI293" s="431"/>
      <c r="BJ293" s="431"/>
      <c r="BK293" s="431"/>
      <c r="BL293" s="431"/>
      <c r="BM293" s="431"/>
      <c r="BN293" s="431"/>
      <c r="BO293" s="431"/>
      <c r="BP293" s="431"/>
      <c r="BQ293" s="431"/>
      <c r="BR293" s="431"/>
      <c r="BS293" s="431"/>
      <c r="BT293" s="431"/>
      <c r="BU293" s="431"/>
      <c r="BV293" s="431"/>
      <c r="BW293" s="431"/>
      <c r="BX293" s="431"/>
      <c r="BY293" s="431"/>
      <c r="BZ293" s="431"/>
      <c r="CA293" s="431"/>
      <c r="CB293" s="431"/>
      <c r="CC293" s="431"/>
      <c r="CD293" s="431"/>
      <c r="CE293" s="431"/>
      <c r="CF293" s="431"/>
      <c r="CG293" s="431"/>
      <c r="CH293" s="431"/>
    </row>
    <row r="294" spans="1:86" ht="15.75" customHeight="1" outlineLevel="1" x14ac:dyDescent="0.25">
      <c r="A294" s="431"/>
      <c r="B294" s="443"/>
      <c r="C294" s="397" t="s">
        <v>80</v>
      </c>
      <c r="D294" s="511"/>
      <c r="E294" s="555">
        <v>13.64</v>
      </c>
      <c r="F294" s="559"/>
      <c r="G294" s="503"/>
      <c r="H294" s="431"/>
      <c r="I294" s="431"/>
      <c r="J294" s="431"/>
      <c r="K294" s="431"/>
      <c r="L294" s="431"/>
      <c r="M294" s="431"/>
      <c r="N294" s="431"/>
      <c r="O294" s="431"/>
      <c r="P294" s="431"/>
      <c r="Q294" s="431"/>
      <c r="R294" s="431"/>
      <c r="S294" s="431"/>
      <c r="T294" s="431"/>
      <c r="U294" s="431"/>
      <c r="V294" s="431"/>
      <c r="W294" s="431"/>
      <c r="X294" s="431"/>
      <c r="Y294" s="431"/>
      <c r="Z294" s="431"/>
      <c r="AA294" s="431"/>
      <c r="AB294" s="431"/>
      <c r="AC294" s="431"/>
      <c r="AD294" s="431"/>
      <c r="AE294" s="431"/>
      <c r="AF294" s="431"/>
      <c r="AG294" s="431"/>
      <c r="AH294" s="431"/>
      <c r="AI294" s="431"/>
      <c r="AJ294" s="431"/>
      <c r="AK294" s="431"/>
      <c r="AL294" s="431"/>
      <c r="AM294" s="431"/>
      <c r="AN294" s="431"/>
      <c r="AO294" s="431"/>
      <c r="AP294" s="431"/>
      <c r="AQ294" s="431"/>
      <c r="AR294" s="431"/>
      <c r="AS294" s="431"/>
      <c r="AT294" s="431"/>
      <c r="AU294" s="431"/>
      <c r="AV294" s="431"/>
      <c r="AW294" s="431"/>
      <c r="AX294" s="431"/>
      <c r="AY294" s="431"/>
      <c r="AZ294" s="431"/>
      <c r="BA294" s="431"/>
      <c r="BB294" s="431"/>
      <c r="BC294" s="431"/>
      <c r="BD294" s="431"/>
      <c r="BE294" s="431"/>
      <c r="BF294" s="431"/>
      <c r="BG294" s="431"/>
      <c r="BH294" s="431"/>
      <c r="BI294" s="431"/>
      <c r="BJ294" s="431"/>
      <c r="BK294" s="431"/>
      <c r="BL294" s="431"/>
      <c r="BM294" s="431"/>
      <c r="BN294" s="431"/>
      <c r="BO294" s="431"/>
      <c r="BP294" s="431"/>
      <c r="BQ294" s="431"/>
      <c r="BR294" s="431"/>
      <c r="BS294" s="431"/>
      <c r="BT294" s="431"/>
      <c r="BU294" s="431"/>
      <c r="BV294" s="431"/>
      <c r="BW294" s="431"/>
      <c r="BX294" s="431"/>
      <c r="BY294" s="431"/>
      <c r="BZ294" s="431"/>
      <c r="CA294" s="431"/>
      <c r="CB294" s="431"/>
      <c r="CC294" s="431"/>
      <c r="CD294" s="431"/>
      <c r="CE294" s="431"/>
      <c r="CF294" s="431"/>
      <c r="CG294" s="431"/>
      <c r="CH294" s="431"/>
    </row>
    <row r="295" spans="1:86" ht="15.75" customHeight="1" outlineLevel="1" x14ac:dyDescent="0.25">
      <c r="A295" s="431"/>
      <c r="B295" s="443"/>
      <c r="C295" s="397" t="s">
        <v>81</v>
      </c>
      <c r="D295" s="511"/>
      <c r="E295" s="555">
        <v>18.599999999999998</v>
      </c>
      <c r="F295" s="559"/>
      <c r="G295" s="503"/>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431"/>
      <c r="AF295" s="431"/>
      <c r="AG295" s="431"/>
      <c r="AH295" s="431"/>
      <c r="AI295" s="431"/>
      <c r="AJ295" s="431"/>
      <c r="AK295" s="431"/>
      <c r="AL295" s="431"/>
      <c r="AM295" s="431"/>
      <c r="AN295" s="431"/>
      <c r="AO295" s="431"/>
      <c r="AP295" s="431"/>
      <c r="AQ295" s="431"/>
      <c r="AR295" s="431"/>
      <c r="AS295" s="431"/>
      <c r="AT295" s="431"/>
      <c r="AU295" s="431"/>
      <c r="AV295" s="431"/>
      <c r="AW295" s="431"/>
      <c r="AX295" s="431"/>
      <c r="AY295" s="431"/>
      <c r="AZ295" s="431"/>
      <c r="BA295" s="431"/>
      <c r="BB295" s="431"/>
      <c r="BC295" s="431"/>
      <c r="BD295" s="431"/>
      <c r="BE295" s="431"/>
      <c r="BF295" s="431"/>
      <c r="BG295" s="431"/>
      <c r="BH295" s="431"/>
      <c r="BI295" s="431"/>
      <c r="BJ295" s="431"/>
      <c r="BK295" s="431"/>
      <c r="BL295" s="431"/>
      <c r="BM295" s="431"/>
      <c r="BN295" s="431"/>
      <c r="BO295" s="431"/>
      <c r="BP295" s="431"/>
      <c r="BQ295" s="431"/>
      <c r="BR295" s="431"/>
      <c r="BS295" s="431"/>
      <c r="BT295" s="431"/>
      <c r="BU295" s="431"/>
      <c r="BV295" s="431"/>
      <c r="BW295" s="431"/>
      <c r="BX295" s="431"/>
      <c r="BY295" s="431"/>
      <c r="BZ295" s="431"/>
      <c r="CA295" s="431"/>
      <c r="CB295" s="431"/>
      <c r="CC295" s="431"/>
      <c r="CD295" s="431"/>
      <c r="CE295" s="431"/>
      <c r="CF295" s="431"/>
      <c r="CG295" s="431"/>
      <c r="CH295" s="431"/>
    </row>
    <row r="296" spans="1:86" ht="15.75" customHeight="1" outlineLevel="1" x14ac:dyDescent="0.25">
      <c r="A296" s="431"/>
      <c r="B296" s="443"/>
      <c r="C296" s="397" t="s">
        <v>82</v>
      </c>
      <c r="D296" s="511"/>
      <c r="E296" s="555">
        <v>2100</v>
      </c>
      <c r="F296" s="559"/>
      <c r="G296" s="503"/>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431"/>
      <c r="AF296" s="431"/>
      <c r="AG296" s="431"/>
      <c r="AH296" s="431"/>
      <c r="AI296" s="431"/>
      <c r="AJ296" s="431"/>
      <c r="AK296" s="431"/>
      <c r="AL296" s="431"/>
      <c r="AM296" s="431"/>
      <c r="AN296" s="431"/>
      <c r="AO296" s="431"/>
      <c r="AP296" s="431"/>
      <c r="AQ296" s="431"/>
      <c r="AR296" s="431"/>
      <c r="AS296" s="431"/>
      <c r="AT296" s="431"/>
      <c r="AU296" s="431"/>
      <c r="AV296" s="431"/>
      <c r="AW296" s="431"/>
      <c r="AX296" s="431"/>
      <c r="AY296" s="431"/>
      <c r="AZ296" s="431"/>
      <c r="BA296" s="431"/>
      <c r="BB296" s="431"/>
      <c r="BC296" s="431"/>
      <c r="BD296" s="431"/>
      <c r="BE296" s="431"/>
      <c r="BF296" s="431"/>
      <c r="BG296" s="431"/>
      <c r="BH296" s="431"/>
      <c r="BI296" s="431"/>
      <c r="BJ296" s="431"/>
      <c r="BK296" s="431"/>
      <c r="BL296" s="431"/>
      <c r="BM296" s="431"/>
      <c r="BN296" s="431"/>
      <c r="BO296" s="431"/>
      <c r="BP296" s="431"/>
      <c r="BQ296" s="431"/>
      <c r="BR296" s="431"/>
      <c r="BS296" s="431"/>
      <c r="BT296" s="431"/>
      <c r="BU296" s="431"/>
      <c r="BV296" s="431"/>
      <c r="BW296" s="431"/>
      <c r="BX296" s="431"/>
      <c r="BY296" s="431"/>
      <c r="BZ296" s="431"/>
      <c r="CA296" s="431"/>
      <c r="CB296" s="431"/>
      <c r="CC296" s="431"/>
      <c r="CD296" s="431"/>
      <c r="CE296" s="431"/>
      <c r="CF296" s="431"/>
      <c r="CG296" s="431"/>
      <c r="CH296" s="431"/>
    </row>
    <row r="297" spans="1:86" ht="15.75" customHeight="1" outlineLevel="1" x14ac:dyDescent="0.25">
      <c r="A297" s="431"/>
      <c r="B297" s="443"/>
      <c r="C297" s="397" t="s">
        <v>83</v>
      </c>
      <c r="D297" s="511"/>
      <c r="E297" s="555">
        <v>1330</v>
      </c>
      <c r="F297" s="559"/>
      <c r="G297" s="503"/>
      <c r="H297" s="431"/>
      <c r="I297" s="431"/>
      <c r="J297" s="431"/>
      <c r="K297" s="431"/>
      <c r="L297" s="431"/>
      <c r="M297" s="431"/>
      <c r="N297" s="431"/>
      <c r="O297" s="431"/>
      <c r="P297" s="431"/>
      <c r="Q297" s="431"/>
      <c r="R297" s="431"/>
      <c r="S297" s="431"/>
      <c r="T297" s="431"/>
      <c r="U297" s="431"/>
      <c r="V297" s="431"/>
      <c r="W297" s="431"/>
      <c r="X297" s="431"/>
      <c r="Y297" s="431"/>
      <c r="Z297" s="431"/>
      <c r="AA297" s="431"/>
      <c r="AB297" s="431"/>
      <c r="AC297" s="431"/>
      <c r="AD297" s="431"/>
      <c r="AE297" s="431"/>
      <c r="AF297" s="431"/>
      <c r="AG297" s="431"/>
      <c r="AH297" s="431"/>
      <c r="AI297" s="431"/>
      <c r="AJ297" s="431"/>
      <c r="AK297" s="431"/>
      <c r="AL297" s="431"/>
      <c r="AM297" s="431"/>
      <c r="AN297" s="431"/>
      <c r="AO297" s="431"/>
      <c r="AP297" s="431"/>
      <c r="AQ297" s="431"/>
      <c r="AR297" s="431"/>
      <c r="AS297" s="431"/>
      <c r="AT297" s="431"/>
      <c r="AU297" s="431"/>
      <c r="AV297" s="431"/>
      <c r="AW297" s="431"/>
      <c r="AX297" s="431"/>
      <c r="AY297" s="431"/>
      <c r="AZ297" s="431"/>
      <c r="BA297" s="431"/>
      <c r="BB297" s="431"/>
      <c r="BC297" s="431"/>
      <c r="BD297" s="431"/>
      <c r="BE297" s="431"/>
      <c r="BF297" s="431"/>
      <c r="BG297" s="431"/>
      <c r="BH297" s="431"/>
      <c r="BI297" s="431"/>
      <c r="BJ297" s="431"/>
      <c r="BK297" s="431"/>
      <c r="BL297" s="431"/>
      <c r="BM297" s="431"/>
      <c r="BN297" s="431"/>
      <c r="BO297" s="431"/>
      <c r="BP297" s="431"/>
      <c r="BQ297" s="431"/>
      <c r="BR297" s="431"/>
      <c r="BS297" s="431"/>
      <c r="BT297" s="431"/>
      <c r="BU297" s="431"/>
      <c r="BV297" s="431"/>
      <c r="BW297" s="431"/>
      <c r="BX297" s="431"/>
      <c r="BY297" s="431"/>
      <c r="BZ297" s="431"/>
      <c r="CA297" s="431"/>
      <c r="CB297" s="431"/>
      <c r="CC297" s="431"/>
      <c r="CD297" s="431"/>
      <c r="CE297" s="431"/>
      <c r="CF297" s="431"/>
      <c r="CG297" s="431"/>
      <c r="CH297" s="431"/>
    </row>
    <row r="298" spans="1:86" ht="15.75" customHeight="1" outlineLevel="1" x14ac:dyDescent="0.25">
      <c r="A298" s="431"/>
      <c r="B298" s="443"/>
      <c r="C298" s="397" t="s">
        <v>84</v>
      </c>
      <c r="D298" s="511"/>
      <c r="E298" s="555">
        <v>1766</v>
      </c>
      <c r="F298" s="559"/>
      <c r="G298" s="503"/>
      <c r="H298" s="431"/>
      <c r="I298" s="431"/>
      <c r="J298" s="431"/>
      <c r="K298" s="431"/>
      <c r="L298" s="431"/>
      <c r="M298" s="431"/>
      <c r="N298" s="431"/>
      <c r="O298" s="431"/>
      <c r="P298" s="431"/>
      <c r="Q298" s="431"/>
      <c r="R298" s="431"/>
      <c r="S298" s="431"/>
      <c r="T298" s="431"/>
      <c r="U298" s="431"/>
      <c r="V298" s="431"/>
      <c r="W298" s="431"/>
      <c r="X298" s="431"/>
      <c r="Y298" s="431"/>
      <c r="Z298" s="431"/>
      <c r="AA298" s="431"/>
      <c r="AB298" s="431"/>
      <c r="AC298" s="431"/>
      <c r="AD298" s="431"/>
      <c r="AE298" s="431"/>
      <c r="AF298" s="431"/>
      <c r="AG298" s="431"/>
      <c r="AH298" s="431"/>
      <c r="AI298" s="431"/>
      <c r="AJ298" s="431"/>
      <c r="AK298" s="431"/>
      <c r="AL298" s="431"/>
      <c r="AM298" s="431"/>
      <c r="AN298" s="431"/>
      <c r="AO298" s="431"/>
      <c r="AP298" s="431"/>
      <c r="AQ298" s="431"/>
      <c r="AR298" s="431"/>
      <c r="AS298" s="431"/>
      <c r="AT298" s="431"/>
      <c r="AU298" s="431"/>
      <c r="AV298" s="431"/>
      <c r="AW298" s="431"/>
      <c r="AX298" s="431"/>
      <c r="AY298" s="431"/>
      <c r="AZ298" s="431"/>
      <c r="BA298" s="431"/>
      <c r="BB298" s="431"/>
      <c r="BC298" s="431"/>
      <c r="BD298" s="431"/>
      <c r="BE298" s="431"/>
      <c r="BF298" s="431"/>
      <c r="BG298" s="431"/>
      <c r="BH298" s="431"/>
      <c r="BI298" s="431"/>
      <c r="BJ298" s="431"/>
      <c r="BK298" s="431"/>
      <c r="BL298" s="431"/>
      <c r="BM298" s="431"/>
      <c r="BN298" s="431"/>
      <c r="BO298" s="431"/>
      <c r="BP298" s="431"/>
      <c r="BQ298" s="431"/>
      <c r="BR298" s="431"/>
      <c r="BS298" s="431"/>
      <c r="BT298" s="431"/>
      <c r="BU298" s="431"/>
      <c r="BV298" s="431"/>
      <c r="BW298" s="431"/>
      <c r="BX298" s="431"/>
      <c r="BY298" s="431"/>
      <c r="BZ298" s="431"/>
      <c r="CA298" s="431"/>
      <c r="CB298" s="431"/>
      <c r="CC298" s="431"/>
      <c r="CD298" s="431"/>
      <c r="CE298" s="431"/>
      <c r="CF298" s="431"/>
      <c r="CG298" s="431"/>
      <c r="CH298" s="431"/>
    </row>
    <row r="299" spans="1:86" ht="15.75" customHeight="1" outlineLevel="1" x14ac:dyDescent="0.25">
      <c r="A299" s="431"/>
      <c r="B299" s="443"/>
      <c r="C299" s="397" t="s">
        <v>85</v>
      </c>
      <c r="D299" s="511"/>
      <c r="E299" s="555">
        <v>3443.7000000000003</v>
      </c>
      <c r="F299" s="559"/>
      <c r="G299" s="503"/>
      <c r="H299" s="431"/>
      <c r="I299" s="431"/>
      <c r="J299" s="431"/>
      <c r="K299" s="431"/>
      <c r="L299" s="431"/>
      <c r="M299" s="431"/>
      <c r="N299" s="431"/>
      <c r="O299" s="431"/>
      <c r="P299" s="431"/>
      <c r="Q299" s="431"/>
      <c r="R299" s="431"/>
      <c r="S299" s="431"/>
      <c r="T299" s="431"/>
      <c r="U299" s="431"/>
      <c r="V299" s="431"/>
      <c r="W299" s="431"/>
      <c r="X299" s="431"/>
      <c r="Y299" s="431"/>
      <c r="Z299" s="431"/>
      <c r="AA299" s="431"/>
      <c r="AB299" s="431"/>
      <c r="AC299" s="431"/>
      <c r="AD299" s="431"/>
      <c r="AE299" s="431"/>
      <c r="AF299" s="431"/>
      <c r="AG299" s="431"/>
      <c r="AH299" s="431"/>
      <c r="AI299" s="431"/>
      <c r="AJ299" s="431"/>
      <c r="AK299" s="431"/>
      <c r="AL299" s="431"/>
      <c r="AM299" s="431"/>
      <c r="AN299" s="431"/>
      <c r="AO299" s="431"/>
      <c r="AP299" s="431"/>
      <c r="AQ299" s="431"/>
      <c r="AR299" s="431"/>
      <c r="AS299" s="431"/>
      <c r="AT299" s="431"/>
      <c r="AU299" s="431"/>
      <c r="AV299" s="431"/>
      <c r="AW299" s="431"/>
      <c r="AX299" s="431"/>
      <c r="AY299" s="431"/>
      <c r="AZ299" s="431"/>
      <c r="BA299" s="431"/>
      <c r="BB299" s="431"/>
      <c r="BC299" s="431"/>
      <c r="BD299" s="431"/>
      <c r="BE299" s="431"/>
      <c r="BF299" s="431"/>
      <c r="BG299" s="431"/>
      <c r="BH299" s="431"/>
      <c r="BI299" s="431"/>
      <c r="BJ299" s="431"/>
      <c r="BK299" s="431"/>
      <c r="BL299" s="431"/>
      <c r="BM299" s="431"/>
      <c r="BN299" s="431"/>
      <c r="BO299" s="431"/>
      <c r="BP299" s="431"/>
      <c r="BQ299" s="431"/>
      <c r="BR299" s="431"/>
      <c r="BS299" s="431"/>
      <c r="BT299" s="431"/>
      <c r="BU299" s="431"/>
      <c r="BV299" s="431"/>
      <c r="BW299" s="431"/>
      <c r="BX299" s="431"/>
      <c r="BY299" s="431"/>
      <c r="BZ299" s="431"/>
      <c r="CA299" s="431"/>
      <c r="CB299" s="431"/>
      <c r="CC299" s="431"/>
      <c r="CD299" s="431"/>
      <c r="CE299" s="431"/>
      <c r="CF299" s="431"/>
      <c r="CG299" s="431"/>
      <c r="CH299" s="431"/>
    </row>
    <row r="300" spans="1:86" ht="15.75" customHeight="1" outlineLevel="1" x14ac:dyDescent="0.25">
      <c r="A300" s="431"/>
      <c r="B300" s="443"/>
      <c r="C300" s="397" t="s">
        <v>86</v>
      </c>
      <c r="D300" s="511"/>
      <c r="E300" s="555">
        <v>3921.6</v>
      </c>
      <c r="F300" s="559"/>
      <c r="G300" s="503"/>
      <c r="H300" s="431"/>
      <c r="I300" s="431"/>
      <c r="J300" s="431"/>
      <c r="K300" s="431"/>
      <c r="L300" s="431"/>
      <c r="M300" s="431"/>
      <c r="N300" s="431"/>
      <c r="O300" s="431"/>
      <c r="P300" s="431"/>
      <c r="Q300" s="431"/>
      <c r="R300" s="431"/>
      <c r="S300" s="431"/>
      <c r="T300" s="431"/>
      <c r="U300" s="431"/>
      <c r="V300" s="431"/>
      <c r="W300" s="431"/>
      <c r="X300" s="431"/>
      <c r="Y300" s="431"/>
      <c r="Z300" s="431"/>
      <c r="AA300" s="431"/>
      <c r="AB300" s="431"/>
      <c r="AC300" s="431"/>
      <c r="AD300" s="431"/>
      <c r="AE300" s="431"/>
      <c r="AF300" s="431"/>
      <c r="AG300" s="431"/>
      <c r="AH300" s="431"/>
      <c r="AI300" s="431"/>
      <c r="AJ300" s="431"/>
      <c r="AK300" s="431"/>
      <c r="AL300" s="431"/>
      <c r="AM300" s="431"/>
      <c r="AN300" s="431"/>
      <c r="AO300" s="431"/>
      <c r="AP300" s="431"/>
      <c r="AQ300" s="431"/>
      <c r="AR300" s="431"/>
      <c r="AS300" s="431"/>
      <c r="AT300" s="431"/>
      <c r="AU300" s="431"/>
      <c r="AV300" s="431"/>
      <c r="AW300" s="431"/>
      <c r="AX300" s="431"/>
      <c r="AY300" s="431"/>
      <c r="AZ300" s="431"/>
      <c r="BA300" s="431"/>
      <c r="BB300" s="431"/>
      <c r="BC300" s="431"/>
      <c r="BD300" s="431"/>
      <c r="BE300" s="431"/>
      <c r="BF300" s="431"/>
      <c r="BG300" s="431"/>
      <c r="BH300" s="431"/>
      <c r="BI300" s="431"/>
      <c r="BJ300" s="431"/>
      <c r="BK300" s="431"/>
      <c r="BL300" s="431"/>
      <c r="BM300" s="431"/>
      <c r="BN300" s="431"/>
      <c r="BO300" s="431"/>
      <c r="BP300" s="431"/>
      <c r="BQ300" s="431"/>
      <c r="BR300" s="431"/>
      <c r="BS300" s="431"/>
      <c r="BT300" s="431"/>
      <c r="BU300" s="431"/>
      <c r="BV300" s="431"/>
      <c r="BW300" s="431"/>
      <c r="BX300" s="431"/>
      <c r="BY300" s="431"/>
      <c r="BZ300" s="431"/>
      <c r="CA300" s="431"/>
      <c r="CB300" s="431"/>
      <c r="CC300" s="431"/>
      <c r="CD300" s="431"/>
      <c r="CE300" s="431"/>
      <c r="CF300" s="431"/>
      <c r="CG300" s="431"/>
      <c r="CH300" s="431"/>
    </row>
    <row r="301" spans="1:86" ht="15.75" customHeight="1" outlineLevel="1" x14ac:dyDescent="0.25">
      <c r="A301" s="431"/>
      <c r="B301" s="443"/>
      <c r="C301" s="397" t="s">
        <v>87</v>
      </c>
      <c r="D301" s="511"/>
      <c r="E301" s="555">
        <v>0</v>
      </c>
      <c r="F301" s="559"/>
      <c r="G301" s="503"/>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1"/>
      <c r="AD301" s="431"/>
      <c r="AE301" s="431"/>
      <c r="AF301" s="431"/>
      <c r="AG301" s="431"/>
      <c r="AH301" s="431"/>
      <c r="AI301" s="431"/>
      <c r="AJ301" s="431"/>
      <c r="AK301" s="431"/>
      <c r="AL301" s="431"/>
      <c r="AM301" s="431"/>
      <c r="AN301" s="431"/>
      <c r="AO301" s="431"/>
      <c r="AP301" s="431"/>
      <c r="AQ301" s="431"/>
      <c r="AR301" s="431"/>
      <c r="AS301" s="431"/>
      <c r="AT301" s="431"/>
      <c r="AU301" s="431"/>
      <c r="AV301" s="431"/>
      <c r="AW301" s="431"/>
      <c r="AX301" s="431"/>
      <c r="AY301" s="431"/>
      <c r="AZ301" s="431"/>
      <c r="BA301" s="431"/>
      <c r="BB301" s="431"/>
      <c r="BC301" s="431"/>
      <c r="BD301" s="431"/>
      <c r="BE301" s="431"/>
      <c r="BF301" s="431"/>
      <c r="BG301" s="431"/>
      <c r="BH301" s="431"/>
      <c r="BI301" s="431"/>
      <c r="BJ301" s="431"/>
      <c r="BK301" s="431"/>
      <c r="BL301" s="431"/>
      <c r="BM301" s="431"/>
      <c r="BN301" s="431"/>
      <c r="BO301" s="431"/>
      <c r="BP301" s="431"/>
      <c r="BQ301" s="431"/>
      <c r="BR301" s="431"/>
      <c r="BS301" s="431"/>
      <c r="BT301" s="431"/>
      <c r="BU301" s="431"/>
      <c r="BV301" s="431"/>
      <c r="BW301" s="431"/>
      <c r="BX301" s="431"/>
      <c r="BY301" s="431"/>
      <c r="BZ301" s="431"/>
      <c r="CA301" s="431"/>
      <c r="CB301" s="431"/>
      <c r="CC301" s="431"/>
      <c r="CD301" s="431"/>
      <c r="CE301" s="431"/>
      <c r="CF301" s="431"/>
      <c r="CG301" s="431"/>
      <c r="CH301" s="431"/>
    </row>
    <row r="302" spans="1:86" ht="15.75" customHeight="1" outlineLevel="1" x14ac:dyDescent="0.25">
      <c r="A302" s="431"/>
      <c r="B302" s="443"/>
      <c r="C302" s="397" t="s">
        <v>88</v>
      </c>
      <c r="D302" s="511"/>
      <c r="E302" s="555">
        <v>2107</v>
      </c>
      <c r="F302" s="559"/>
      <c r="G302" s="503"/>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431"/>
      <c r="AF302" s="431"/>
      <c r="AG302" s="431"/>
      <c r="AH302" s="431"/>
      <c r="AI302" s="431"/>
      <c r="AJ302" s="431"/>
      <c r="AK302" s="431"/>
      <c r="AL302" s="431"/>
      <c r="AM302" s="431"/>
      <c r="AN302" s="431"/>
      <c r="AO302" s="431"/>
      <c r="AP302" s="431"/>
      <c r="AQ302" s="431"/>
      <c r="AR302" s="431"/>
      <c r="AS302" s="431"/>
      <c r="AT302" s="431"/>
      <c r="AU302" s="431"/>
      <c r="AV302" s="431"/>
      <c r="AW302" s="431"/>
      <c r="AX302" s="431"/>
      <c r="AY302" s="431"/>
      <c r="AZ302" s="431"/>
      <c r="BA302" s="431"/>
      <c r="BB302" s="431"/>
      <c r="BC302" s="431"/>
      <c r="BD302" s="431"/>
      <c r="BE302" s="431"/>
      <c r="BF302" s="431"/>
      <c r="BG302" s="431"/>
      <c r="BH302" s="431"/>
      <c r="BI302" s="431"/>
      <c r="BJ302" s="431"/>
      <c r="BK302" s="431"/>
      <c r="BL302" s="431"/>
      <c r="BM302" s="431"/>
      <c r="BN302" s="431"/>
      <c r="BO302" s="431"/>
      <c r="BP302" s="431"/>
      <c r="BQ302" s="431"/>
      <c r="BR302" s="431"/>
      <c r="BS302" s="431"/>
      <c r="BT302" s="431"/>
      <c r="BU302" s="431"/>
      <c r="BV302" s="431"/>
      <c r="BW302" s="431"/>
      <c r="BX302" s="431"/>
      <c r="BY302" s="431"/>
      <c r="BZ302" s="431"/>
      <c r="CA302" s="431"/>
      <c r="CB302" s="431"/>
      <c r="CC302" s="431"/>
      <c r="CD302" s="431"/>
      <c r="CE302" s="431"/>
      <c r="CF302" s="431"/>
      <c r="CG302" s="431"/>
      <c r="CH302" s="431"/>
    </row>
    <row r="303" spans="1:86" ht="15.75" customHeight="1" outlineLevel="1" x14ac:dyDescent="0.25">
      <c r="A303" s="431"/>
      <c r="B303" s="443"/>
      <c r="C303" s="397" t="s">
        <v>89</v>
      </c>
      <c r="D303" s="511"/>
      <c r="E303" s="555">
        <v>2803.5</v>
      </c>
      <c r="F303" s="559"/>
      <c r="G303" s="503"/>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1"/>
      <c r="AD303" s="431"/>
      <c r="AE303" s="431"/>
      <c r="AF303" s="431"/>
      <c r="AG303" s="431"/>
      <c r="AH303" s="431"/>
      <c r="AI303" s="431"/>
      <c r="AJ303" s="431"/>
      <c r="AK303" s="431"/>
      <c r="AL303" s="431"/>
      <c r="AM303" s="431"/>
      <c r="AN303" s="431"/>
      <c r="AO303" s="431"/>
      <c r="AP303" s="431"/>
      <c r="AQ303" s="431"/>
      <c r="AR303" s="431"/>
      <c r="AS303" s="431"/>
      <c r="AT303" s="431"/>
      <c r="AU303" s="431"/>
      <c r="AV303" s="431"/>
      <c r="AW303" s="431"/>
      <c r="AX303" s="431"/>
      <c r="AY303" s="431"/>
      <c r="AZ303" s="431"/>
      <c r="BA303" s="431"/>
      <c r="BB303" s="431"/>
      <c r="BC303" s="431"/>
      <c r="BD303" s="431"/>
      <c r="BE303" s="431"/>
      <c r="BF303" s="431"/>
      <c r="BG303" s="431"/>
      <c r="BH303" s="431"/>
      <c r="BI303" s="431"/>
      <c r="BJ303" s="431"/>
      <c r="BK303" s="431"/>
      <c r="BL303" s="431"/>
      <c r="BM303" s="431"/>
      <c r="BN303" s="431"/>
      <c r="BO303" s="431"/>
      <c r="BP303" s="431"/>
      <c r="BQ303" s="431"/>
      <c r="BR303" s="431"/>
      <c r="BS303" s="431"/>
      <c r="BT303" s="431"/>
      <c r="BU303" s="431"/>
      <c r="BV303" s="431"/>
      <c r="BW303" s="431"/>
      <c r="BX303" s="431"/>
      <c r="BY303" s="431"/>
      <c r="BZ303" s="431"/>
      <c r="CA303" s="431"/>
      <c r="CB303" s="431"/>
      <c r="CC303" s="431"/>
      <c r="CD303" s="431"/>
      <c r="CE303" s="431"/>
      <c r="CF303" s="431"/>
      <c r="CG303" s="431"/>
      <c r="CH303" s="431"/>
    </row>
    <row r="304" spans="1:86" ht="15.75" customHeight="1" outlineLevel="1" x14ac:dyDescent="0.25">
      <c r="A304" s="431"/>
      <c r="B304" s="443"/>
      <c r="C304" s="397" t="s">
        <v>90</v>
      </c>
      <c r="D304" s="511"/>
      <c r="E304" s="555">
        <v>1773.85</v>
      </c>
      <c r="F304" s="559"/>
      <c r="G304" s="503"/>
      <c r="H304" s="431"/>
      <c r="I304" s="431"/>
      <c r="J304" s="431"/>
      <c r="K304" s="431"/>
      <c r="L304" s="431"/>
      <c r="M304" s="431"/>
      <c r="N304" s="431"/>
      <c r="O304" s="431"/>
      <c r="P304" s="431"/>
      <c r="Q304" s="431"/>
      <c r="R304" s="431"/>
      <c r="S304" s="431"/>
      <c r="T304" s="431"/>
      <c r="U304" s="431"/>
      <c r="V304" s="431"/>
      <c r="W304" s="431"/>
      <c r="X304" s="431"/>
      <c r="Y304" s="431"/>
      <c r="Z304" s="431"/>
      <c r="AA304" s="431"/>
      <c r="AB304" s="431"/>
      <c r="AC304" s="431"/>
      <c r="AD304" s="431"/>
      <c r="AE304" s="431"/>
      <c r="AF304" s="431"/>
      <c r="AG304" s="431"/>
      <c r="AH304" s="431"/>
      <c r="AI304" s="431"/>
      <c r="AJ304" s="431"/>
      <c r="AK304" s="431"/>
      <c r="AL304" s="431"/>
      <c r="AM304" s="431"/>
      <c r="AN304" s="431"/>
      <c r="AO304" s="431"/>
      <c r="AP304" s="431"/>
      <c r="AQ304" s="431"/>
      <c r="AR304" s="431"/>
      <c r="AS304" s="431"/>
      <c r="AT304" s="431"/>
      <c r="AU304" s="431"/>
      <c r="AV304" s="431"/>
      <c r="AW304" s="431"/>
      <c r="AX304" s="431"/>
      <c r="AY304" s="431"/>
      <c r="AZ304" s="431"/>
      <c r="BA304" s="431"/>
      <c r="BB304" s="431"/>
      <c r="BC304" s="431"/>
      <c r="BD304" s="431"/>
      <c r="BE304" s="431"/>
      <c r="BF304" s="431"/>
      <c r="BG304" s="431"/>
      <c r="BH304" s="431"/>
      <c r="BI304" s="431"/>
      <c r="BJ304" s="431"/>
      <c r="BK304" s="431"/>
      <c r="BL304" s="431"/>
      <c r="BM304" s="431"/>
      <c r="BN304" s="431"/>
      <c r="BO304" s="431"/>
      <c r="BP304" s="431"/>
      <c r="BQ304" s="431"/>
      <c r="BR304" s="431"/>
      <c r="BS304" s="431"/>
      <c r="BT304" s="431"/>
      <c r="BU304" s="431"/>
      <c r="BV304" s="431"/>
      <c r="BW304" s="431"/>
      <c r="BX304" s="431"/>
      <c r="BY304" s="431"/>
      <c r="BZ304" s="431"/>
      <c r="CA304" s="431"/>
      <c r="CB304" s="431"/>
      <c r="CC304" s="431"/>
      <c r="CD304" s="431"/>
      <c r="CE304" s="431"/>
      <c r="CF304" s="431"/>
      <c r="CG304" s="431"/>
      <c r="CH304" s="431"/>
    </row>
    <row r="305" spans="1:86" ht="15.75" customHeight="1" outlineLevel="1" x14ac:dyDescent="0.25">
      <c r="A305" s="431"/>
      <c r="B305" s="443"/>
      <c r="C305" s="397" t="s">
        <v>91</v>
      </c>
      <c r="D305" s="511"/>
      <c r="E305" s="555">
        <v>1627.25</v>
      </c>
      <c r="F305" s="559"/>
      <c r="G305" s="503"/>
      <c r="H305" s="431"/>
      <c r="I305" s="431"/>
      <c r="J305" s="431"/>
      <c r="K305" s="431"/>
      <c r="L305" s="431"/>
      <c r="M305" s="431"/>
      <c r="N305" s="431"/>
      <c r="O305" s="431"/>
      <c r="P305" s="431"/>
      <c r="Q305" s="431"/>
      <c r="R305" s="431"/>
      <c r="S305" s="431"/>
      <c r="T305" s="431"/>
      <c r="U305" s="431"/>
      <c r="V305" s="431"/>
      <c r="W305" s="431"/>
      <c r="X305" s="431"/>
      <c r="Y305" s="431"/>
      <c r="Z305" s="431"/>
      <c r="AA305" s="431"/>
      <c r="AB305" s="431"/>
      <c r="AC305" s="431"/>
      <c r="AD305" s="431"/>
      <c r="AE305" s="431"/>
      <c r="AF305" s="431"/>
      <c r="AG305" s="431"/>
      <c r="AH305" s="431"/>
      <c r="AI305" s="431"/>
      <c r="AJ305" s="431"/>
      <c r="AK305" s="431"/>
      <c r="AL305" s="431"/>
      <c r="AM305" s="431"/>
      <c r="AN305" s="431"/>
      <c r="AO305" s="431"/>
      <c r="AP305" s="431"/>
      <c r="AQ305" s="431"/>
      <c r="AR305" s="431"/>
      <c r="AS305" s="431"/>
      <c r="AT305" s="431"/>
      <c r="AU305" s="431"/>
      <c r="AV305" s="431"/>
      <c r="AW305" s="431"/>
      <c r="AX305" s="431"/>
      <c r="AY305" s="431"/>
      <c r="AZ305" s="431"/>
      <c r="BA305" s="431"/>
      <c r="BB305" s="431"/>
      <c r="BC305" s="431"/>
      <c r="BD305" s="431"/>
      <c r="BE305" s="431"/>
      <c r="BF305" s="431"/>
      <c r="BG305" s="431"/>
      <c r="BH305" s="431"/>
      <c r="BI305" s="431"/>
      <c r="BJ305" s="431"/>
      <c r="BK305" s="431"/>
      <c r="BL305" s="431"/>
      <c r="BM305" s="431"/>
      <c r="BN305" s="431"/>
      <c r="BO305" s="431"/>
      <c r="BP305" s="431"/>
      <c r="BQ305" s="431"/>
      <c r="BR305" s="431"/>
      <c r="BS305" s="431"/>
      <c r="BT305" s="431"/>
      <c r="BU305" s="431"/>
      <c r="BV305" s="431"/>
      <c r="BW305" s="431"/>
      <c r="BX305" s="431"/>
      <c r="BY305" s="431"/>
      <c r="BZ305" s="431"/>
      <c r="CA305" s="431"/>
      <c r="CB305" s="431"/>
      <c r="CC305" s="431"/>
      <c r="CD305" s="431"/>
      <c r="CE305" s="431"/>
      <c r="CF305" s="431"/>
      <c r="CG305" s="431"/>
      <c r="CH305" s="431"/>
    </row>
    <row r="306" spans="1:86" ht="15.75" customHeight="1" outlineLevel="1" x14ac:dyDescent="0.25">
      <c r="A306" s="431"/>
      <c r="B306" s="443"/>
      <c r="C306" s="397" t="s">
        <v>92</v>
      </c>
      <c r="D306" s="511"/>
      <c r="E306" s="555">
        <v>1551.75</v>
      </c>
      <c r="F306" s="559"/>
      <c r="G306" s="503"/>
      <c r="H306" s="431"/>
      <c r="I306" s="431"/>
      <c r="J306" s="431"/>
      <c r="K306" s="431"/>
      <c r="L306" s="431"/>
      <c r="M306" s="431"/>
      <c r="N306" s="431"/>
      <c r="O306" s="431"/>
      <c r="P306" s="431"/>
      <c r="Q306" s="431"/>
      <c r="R306" s="431"/>
      <c r="S306" s="431"/>
      <c r="T306" s="431"/>
      <c r="U306" s="431"/>
      <c r="V306" s="431"/>
      <c r="W306" s="431"/>
      <c r="X306" s="431"/>
      <c r="Y306" s="431"/>
      <c r="Z306" s="431"/>
      <c r="AA306" s="431"/>
      <c r="AB306" s="431"/>
      <c r="AC306" s="431"/>
      <c r="AD306" s="431"/>
      <c r="AE306" s="431"/>
      <c r="AF306" s="431"/>
      <c r="AG306" s="431"/>
      <c r="AH306" s="431"/>
      <c r="AI306" s="431"/>
      <c r="AJ306" s="431"/>
      <c r="AK306" s="431"/>
      <c r="AL306" s="431"/>
      <c r="AM306" s="431"/>
      <c r="AN306" s="431"/>
      <c r="AO306" s="431"/>
      <c r="AP306" s="431"/>
      <c r="AQ306" s="431"/>
      <c r="AR306" s="431"/>
      <c r="AS306" s="431"/>
      <c r="AT306" s="431"/>
      <c r="AU306" s="431"/>
      <c r="AV306" s="431"/>
      <c r="AW306" s="431"/>
      <c r="AX306" s="431"/>
      <c r="AY306" s="431"/>
      <c r="AZ306" s="431"/>
      <c r="BA306" s="431"/>
      <c r="BB306" s="431"/>
      <c r="BC306" s="431"/>
      <c r="BD306" s="431"/>
      <c r="BE306" s="431"/>
      <c r="BF306" s="431"/>
      <c r="BG306" s="431"/>
      <c r="BH306" s="431"/>
      <c r="BI306" s="431"/>
      <c r="BJ306" s="431"/>
      <c r="BK306" s="431"/>
      <c r="BL306" s="431"/>
      <c r="BM306" s="431"/>
      <c r="BN306" s="431"/>
      <c r="BO306" s="431"/>
      <c r="BP306" s="431"/>
      <c r="BQ306" s="431"/>
      <c r="BR306" s="431"/>
      <c r="BS306" s="431"/>
      <c r="BT306" s="431"/>
      <c r="BU306" s="431"/>
      <c r="BV306" s="431"/>
      <c r="BW306" s="431"/>
      <c r="BX306" s="431"/>
      <c r="BY306" s="431"/>
      <c r="BZ306" s="431"/>
      <c r="CA306" s="431"/>
      <c r="CB306" s="431"/>
      <c r="CC306" s="431"/>
      <c r="CD306" s="431"/>
      <c r="CE306" s="431"/>
      <c r="CF306" s="431"/>
      <c r="CG306" s="431"/>
      <c r="CH306" s="431"/>
    </row>
    <row r="307" spans="1:86" ht="15.75" customHeight="1" outlineLevel="1" x14ac:dyDescent="0.25">
      <c r="A307" s="431"/>
      <c r="B307" s="443"/>
      <c r="C307" s="397" t="s">
        <v>93</v>
      </c>
      <c r="D307" s="511"/>
      <c r="E307" s="555">
        <v>1824.5</v>
      </c>
      <c r="F307" s="559"/>
      <c r="G307" s="503"/>
      <c r="H307" s="431"/>
      <c r="I307" s="431"/>
      <c r="J307" s="431"/>
      <c r="K307" s="431"/>
      <c r="L307" s="431"/>
      <c r="M307" s="431"/>
      <c r="N307" s="431"/>
      <c r="O307" s="431"/>
      <c r="P307" s="431"/>
      <c r="Q307" s="431"/>
      <c r="R307" s="431"/>
      <c r="S307" s="431"/>
      <c r="T307" s="431"/>
      <c r="U307" s="431"/>
      <c r="V307" s="431"/>
      <c r="W307" s="431"/>
      <c r="X307" s="431"/>
      <c r="Y307" s="431"/>
      <c r="Z307" s="431"/>
      <c r="AA307" s="431"/>
      <c r="AB307" s="431"/>
      <c r="AC307" s="431"/>
      <c r="AD307" s="431"/>
      <c r="AE307" s="431"/>
      <c r="AF307" s="431"/>
      <c r="AG307" s="431"/>
      <c r="AH307" s="431"/>
      <c r="AI307" s="431"/>
      <c r="AJ307" s="431"/>
      <c r="AK307" s="431"/>
      <c r="AL307" s="431"/>
      <c r="AM307" s="431"/>
      <c r="AN307" s="431"/>
      <c r="AO307" s="431"/>
      <c r="AP307" s="431"/>
      <c r="AQ307" s="431"/>
      <c r="AR307" s="431"/>
      <c r="AS307" s="431"/>
      <c r="AT307" s="431"/>
      <c r="AU307" s="431"/>
      <c r="AV307" s="431"/>
      <c r="AW307" s="431"/>
      <c r="AX307" s="431"/>
      <c r="AY307" s="431"/>
      <c r="AZ307" s="431"/>
      <c r="BA307" s="431"/>
      <c r="BB307" s="431"/>
      <c r="BC307" s="431"/>
      <c r="BD307" s="431"/>
      <c r="BE307" s="431"/>
      <c r="BF307" s="431"/>
      <c r="BG307" s="431"/>
      <c r="BH307" s="431"/>
      <c r="BI307" s="431"/>
      <c r="BJ307" s="431"/>
      <c r="BK307" s="431"/>
      <c r="BL307" s="431"/>
      <c r="BM307" s="431"/>
      <c r="BN307" s="431"/>
      <c r="BO307" s="431"/>
      <c r="BP307" s="431"/>
      <c r="BQ307" s="431"/>
      <c r="BR307" s="431"/>
      <c r="BS307" s="431"/>
      <c r="BT307" s="431"/>
      <c r="BU307" s="431"/>
      <c r="BV307" s="431"/>
      <c r="BW307" s="431"/>
      <c r="BX307" s="431"/>
      <c r="BY307" s="431"/>
      <c r="BZ307" s="431"/>
      <c r="CA307" s="431"/>
      <c r="CB307" s="431"/>
      <c r="CC307" s="431"/>
      <c r="CD307" s="431"/>
      <c r="CE307" s="431"/>
      <c r="CF307" s="431"/>
      <c r="CG307" s="431"/>
      <c r="CH307" s="431"/>
    </row>
    <row r="308" spans="1:86" ht="15.75" customHeight="1" outlineLevel="1" x14ac:dyDescent="0.25">
      <c r="A308" s="431"/>
      <c r="B308" s="443"/>
      <c r="C308" s="397" t="s">
        <v>94</v>
      </c>
      <c r="D308" s="511"/>
      <c r="E308" s="555">
        <v>2301.2000000000003</v>
      </c>
      <c r="F308" s="559"/>
      <c r="G308" s="503"/>
      <c r="H308" s="431"/>
      <c r="I308" s="431"/>
      <c r="J308" s="431"/>
      <c r="K308" s="431"/>
      <c r="L308" s="431"/>
      <c r="M308" s="431"/>
      <c r="N308" s="431"/>
      <c r="O308" s="431"/>
      <c r="P308" s="431"/>
      <c r="Q308" s="431"/>
      <c r="R308" s="431"/>
      <c r="S308" s="431"/>
      <c r="T308" s="431"/>
      <c r="U308" s="431"/>
      <c r="V308" s="431"/>
      <c r="W308" s="431"/>
      <c r="X308" s="431"/>
      <c r="Y308" s="431"/>
      <c r="Z308" s="431"/>
      <c r="AA308" s="431"/>
      <c r="AB308" s="431"/>
      <c r="AC308" s="431"/>
      <c r="AD308" s="431"/>
      <c r="AE308" s="431"/>
      <c r="AF308" s="431"/>
      <c r="AG308" s="431"/>
      <c r="AH308" s="431"/>
      <c r="AI308" s="431"/>
      <c r="AJ308" s="431"/>
      <c r="AK308" s="431"/>
      <c r="AL308" s="431"/>
      <c r="AM308" s="431"/>
      <c r="AN308" s="431"/>
      <c r="AO308" s="431"/>
      <c r="AP308" s="431"/>
      <c r="AQ308" s="431"/>
      <c r="AR308" s="431"/>
      <c r="AS308" s="431"/>
      <c r="AT308" s="431"/>
      <c r="AU308" s="431"/>
      <c r="AV308" s="431"/>
      <c r="AW308" s="431"/>
      <c r="AX308" s="431"/>
      <c r="AY308" s="431"/>
      <c r="AZ308" s="431"/>
      <c r="BA308" s="431"/>
      <c r="BB308" s="431"/>
      <c r="BC308" s="431"/>
      <c r="BD308" s="431"/>
      <c r="BE308" s="431"/>
      <c r="BF308" s="431"/>
      <c r="BG308" s="431"/>
      <c r="BH308" s="431"/>
      <c r="BI308" s="431"/>
      <c r="BJ308" s="431"/>
      <c r="BK308" s="431"/>
      <c r="BL308" s="431"/>
      <c r="BM308" s="431"/>
      <c r="BN308" s="431"/>
      <c r="BO308" s="431"/>
      <c r="BP308" s="431"/>
      <c r="BQ308" s="431"/>
      <c r="BR308" s="431"/>
      <c r="BS308" s="431"/>
      <c r="BT308" s="431"/>
      <c r="BU308" s="431"/>
      <c r="BV308" s="431"/>
      <c r="BW308" s="431"/>
      <c r="BX308" s="431"/>
      <c r="BY308" s="431"/>
      <c r="BZ308" s="431"/>
      <c r="CA308" s="431"/>
      <c r="CB308" s="431"/>
      <c r="CC308" s="431"/>
      <c r="CD308" s="431"/>
      <c r="CE308" s="431"/>
      <c r="CF308" s="431"/>
      <c r="CG308" s="431"/>
      <c r="CH308" s="431"/>
    </row>
    <row r="309" spans="1:86" ht="15.75" customHeight="1" outlineLevel="1" x14ac:dyDescent="0.25">
      <c r="A309" s="431"/>
      <c r="B309" s="443"/>
      <c r="C309" s="397" t="s">
        <v>95</v>
      </c>
      <c r="D309" s="511"/>
      <c r="E309" s="555">
        <v>0</v>
      </c>
      <c r="F309" s="559"/>
      <c r="G309" s="503"/>
      <c r="H309" s="431"/>
      <c r="I309" s="431"/>
      <c r="J309" s="431"/>
      <c r="K309" s="431"/>
      <c r="L309" s="431"/>
      <c r="M309" s="431"/>
      <c r="N309" s="431"/>
      <c r="O309" s="431"/>
      <c r="P309" s="431"/>
      <c r="Q309" s="431"/>
      <c r="R309" s="431"/>
      <c r="S309" s="431"/>
      <c r="T309" s="431"/>
      <c r="U309" s="431"/>
      <c r="V309" s="431"/>
      <c r="W309" s="431"/>
      <c r="X309" s="431"/>
      <c r="Y309" s="431"/>
      <c r="Z309" s="431"/>
      <c r="AA309" s="431"/>
      <c r="AB309" s="431"/>
      <c r="AC309" s="431"/>
      <c r="AD309" s="431"/>
      <c r="AE309" s="431"/>
      <c r="AF309" s="431"/>
      <c r="AG309" s="431"/>
      <c r="AH309" s="431"/>
      <c r="AI309" s="431"/>
      <c r="AJ309" s="431"/>
      <c r="AK309" s="431"/>
      <c r="AL309" s="431"/>
      <c r="AM309" s="431"/>
      <c r="AN309" s="431"/>
      <c r="AO309" s="431"/>
      <c r="AP309" s="431"/>
      <c r="AQ309" s="431"/>
      <c r="AR309" s="431"/>
      <c r="AS309" s="431"/>
      <c r="AT309" s="431"/>
      <c r="AU309" s="431"/>
      <c r="AV309" s="431"/>
      <c r="AW309" s="431"/>
      <c r="AX309" s="431"/>
      <c r="AY309" s="431"/>
      <c r="AZ309" s="431"/>
      <c r="BA309" s="431"/>
      <c r="BB309" s="431"/>
      <c r="BC309" s="431"/>
      <c r="BD309" s="431"/>
      <c r="BE309" s="431"/>
      <c r="BF309" s="431"/>
      <c r="BG309" s="431"/>
      <c r="BH309" s="431"/>
      <c r="BI309" s="431"/>
      <c r="BJ309" s="431"/>
      <c r="BK309" s="431"/>
      <c r="BL309" s="431"/>
      <c r="BM309" s="431"/>
      <c r="BN309" s="431"/>
      <c r="BO309" s="431"/>
      <c r="BP309" s="431"/>
      <c r="BQ309" s="431"/>
      <c r="BR309" s="431"/>
      <c r="BS309" s="431"/>
      <c r="BT309" s="431"/>
      <c r="BU309" s="431"/>
      <c r="BV309" s="431"/>
      <c r="BW309" s="431"/>
      <c r="BX309" s="431"/>
      <c r="BY309" s="431"/>
      <c r="BZ309" s="431"/>
      <c r="CA309" s="431"/>
      <c r="CB309" s="431"/>
      <c r="CC309" s="431"/>
      <c r="CD309" s="431"/>
      <c r="CE309" s="431"/>
      <c r="CF309" s="431"/>
      <c r="CG309" s="431"/>
      <c r="CH309" s="431"/>
    </row>
    <row r="310" spans="1:86" ht="15.75" customHeight="1" outlineLevel="1" x14ac:dyDescent="0.25">
      <c r="A310" s="431"/>
      <c r="B310" s="443"/>
      <c r="C310" s="397" t="s">
        <v>96</v>
      </c>
      <c r="D310" s="511"/>
      <c r="E310" s="555">
        <v>0</v>
      </c>
      <c r="F310" s="559"/>
      <c r="G310" s="503"/>
      <c r="H310" s="431"/>
      <c r="I310" s="431"/>
      <c r="J310" s="431"/>
      <c r="K310" s="431"/>
      <c r="L310" s="431"/>
      <c r="M310" s="431"/>
      <c r="N310" s="431"/>
      <c r="O310" s="431"/>
      <c r="P310" s="431"/>
      <c r="Q310" s="431"/>
      <c r="R310" s="431"/>
      <c r="S310" s="431"/>
      <c r="T310" s="431"/>
      <c r="U310" s="431"/>
      <c r="V310" s="431"/>
      <c r="W310" s="431"/>
      <c r="X310" s="431"/>
      <c r="Y310" s="431"/>
      <c r="Z310" s="431"/>
      <c r="AA310" s="431"/>
      <c r="AB310" s="431"/>
      <c r="AC310" s="431"/>
      <c r="AD310" s="431"/>
      <c r="AE310" s="431"/>
      <c r="AF310" s="431"/>
      <c r="AG310" s="431"/>
      <c r="AH310" s="431"/>
      <c r="AI310" s="431"/>
      <c r="AJ310" s="431"/>
      <c r="AK310" s="431"/>
      <c r="AL310" s="431"/>
      <c r="AM310" s="431"/>
      <c r="AN310" s="431"/>
      <c r="AO310" s="431"/>
      <c r="AP310" s="431"/>
      <c r="AQ310" s="431"/>
      <c r="AR310" s="431"/>
      <c r="AS310" s="431"/>
      <c r="AT310" s="431"/>
      <c r="AU310" s="431"/>
      <c r="AV310" s="431"/>
      <c r="AW310" s="431"/>
      <c r="AX310" s="431"/>
      <c r="AY310" s="431"/>
      <c r="AZ310" s="431"/>
      <c r="BA310" s="431"/>
      <c r="BB310" s="431"/>
      <c r="BC310" s="431"/>
      <c r="BD310" s="431"/>
      <c r="BE310" s="431"/>
      <c r="BF310" s="431"/>
      <c r="BG310" s="431"/>
      <c r="BH310" s="431"/>
      <c r="BI310" s="431"/>
      <c r="BJ310" s="431"/>
      <c r="BK310" s="431"/>
      <c r="BL310" s="431"/>
      <c r="BM310" s="431"/>
      <c r="BN310" s="431"/>
      <c r="BO310" s="431"/>
      <c r="BP310" s="431"/>
      <c r="BQ310" s="431"/>
      <c r="BR310" s="431"/>
      <c r="BS310" s="431"/>
      <c r="BT310" s="431"/>
      <c r="BU310" s="431"/>
      <c r="BV310" s="431"/>
      <c r="BW310" s="431"/>
      <c r="BX310" s="431"/>
      <c r="BY310" s="431"/>
      <c r="BZ310" s="431"/>
      <c r="CA310" s="431"/>
      <c r="CB310" s="431"/>
      <c r="CC310" s="431"/>
      <c r="CD310" s="431"/>
      <c r="CE310" s="431"/>
      <c r="CF310" s="431"/>
      <c r="CG310" s="431"/>
      <c r="CH310" s="431"/>
    </row>
    <row r="311" spans="1:86" ht="15.75" customHeight="1" outlineLevel="1" x14ac:dyDescent="0.25">
      <c r="A311" s="431"/>
      <c r="B311" s="443"/>
      <c r="C311" s="397" t="s">
        <v>97</v>
      </c>
      <c r="D311" s="511"/>
      <c r="E311" s="555">
        <v>2087.5</v>
      </c>
      <c r="F311" s="559"/>
      <c r="G311" s="503"/>
      <c r="H311" s="431"/>
      <c r="I311" s="431"/>
      <c r="J311" s="431"/>
      <c r="K311" s="431"/>
      <c r="L311" s="431"/>
      <c r="M311" s="431"/>
      <c r="N311" s="431"/>
      <c r="O311" s="431"/>
      <c r="P311" s="431"/>
      <c r="Q311" s="431"/>
      <c r="R311" s="431"/>
      <c r="S311" s="431"/>
      <c r="T311" s="431"/>
      <c r="U311" s="431"/>
      <c r="V311" s="431"/>
      <c r="W311" s="431"/>
      <c r="X311" s="431"/>
      <c r="Y311" s="431"/>
      <c r="Z311" s="431"/>
      <c r="AA311" s="431"/>
      <c r="AB311" s="431"/>
      <c r="AC311" s="431"/>
      <c r="AD311" s="431"/>
      <c r="AE311" s="431"/>
      <c r="AF311" s="431"/>
      <c r="AG311" s="431"/>
      <c r="AH311" s="431"/>
      <c r="AI311" s="431"/>
      <c r="AJ311" s="431"/>
      <c r="AK311" s="431"/>
      <c r="AL311" s="431"/>
      <c r="AM311" s="431"/>
      <c r="AN311" s="431"/>
      <c r="AO311" s="431"/>
      <c r="AP311" s="431"/>
      <c r="AQ311" s="431"/>
      <c r="AR311" s="431"/>
      <c r="AS311" s="431"/>
      <c r="AT311" s="431"/>
      <c r="AU311" s="431"/>
      <c r="AV311" s="431"/>
      <c r="AW311" s="431"/>
      <c r="AX311" s="431"/>
      <c r="AY311" s="431"/>
      <c r="AZ311" s="431"/>
      <c r="BA311" s="431"/>
      <c r="BB311" s="431"/>
      <c r="BC311" s="431"/>
      <c r="BD311" s="431"/>
      <c r="BE311" s="431"/>
      <c r="BF311" s="431"/>
      <c r="BG311" s="431"/>
      <c r="BH311" s="431"/>
      <c r="BI311" s="431"/>
      <c r="BJ311" s="431"/>
      <c r="BK311" s="431"/>
      <c r="BL311" s="431"/>
      <c r="BM311" s="431"/>
      <c r="BN311" s="431"/>
      <c r="BO311" s="431"/>
      <c r="BP311" s="431"/>
      <c r="BQ311" s="431"/>
      <c r="BR311" s="431"/>
      <c r="BS311" s="431"/>
      <c r="BT311" s="431"/>
      <c r="BU311" s="431"/>
      <c r="BV311" s="431"/>
      <c r="BW311" s="431"/>
      <c r="BX311" s="431"/>
      <c r="BY311" s="431"/>
      <c r="BZ311" s="431"/>
      <c r="CA311" s="431"/>
      <c r="CB311" s="431"/>
      <c r="CC311" s="431"/>
      <c r="CD311" s="431"/>
      <c r="CE311" s="431"/>
      <c r="CF311" s="431"/>
      <c r="CG311" s="431"/>
      <c r="CH311" s="431"/>
    </row>
    <row r="312" spans="1:86" ht="15.75" customHeight="1" outlineLevel="1" x14ac:dyDescent="0.25">
      <c r="A312" s="431"/>
      <c r="B312" s="443"/>
      <c r="C312" s="397" t="s">
        <v>98</v>
      </c>
      <c r="D312" s="511"/>
      <c r="E312" s="555">
        <v>2228.75</v>
      </c>
      <c r="F312" s="559"/>
      <c r="G312" s="503"/>
      <c r="H312" s="431"/>
      <c r="I312" s="431"/>
      <c r="J312" s="431"/>
      <c r="K312" s="431"/>
      <c r="L312" s="431"/>
      <c r="M312" s="431"/>
      <c r="N312" s="431"/>
      <c r="O312" s="431"/>
      <c r="P312" s="431"/>
      <c r="Q312" s="431"/>
      <c r="R312" s="431"/>
      <c r="S312" s="431"/>
      <c r="T312" s="431"/>
      <c r="U312" s="431"/>
      <c r="V312" s="431"/>
      <c r="W312" s="431"/>
      <c r="X312" s="431"/>
      <c r="Y312" s="431"/>
      <c r="Z312" s="431"/>
      <c r="AA312" s="431"/>
      <c r="AB312" s="431"/>
      <c r="AC312" s="431"/>
      <c r="AD312" s="431"/>
      <c r="AE312" s="431"/>
      <c r="AF312" s="431"/>
      <c r="AG312" s="431"/>
      <c r="AH312" s="431"/>
      <c r="AI312" s="431"/>
      <c r="AJ312" s="431"/>
      <c r="AK312" s="431"/>
      <c r="AL312" s="431"/>
      <c r="AM312" s="431"/>
      <c r="AN312" s="431"/>
      <c r="AO312" s="431"/>
      <c r="AP312" s="431"/>
      <c r="AQ312" s="431"/>
      <c r="AR312" s="431"/>
      <c r="AS312" s="431"/>
      <c r="AT312" s="431"/>
      <c r="AU312" s="431"/>
      <c r="AV312" s="431"/>
      <c r="AW312" s="431"/>
      <c r="AX312" s="431"/>
      <c r="AY312" s="431"/>
      <c r="AZ312" s="431"/>
      <c r="BA312" s="431"/>
      <c r="BB312" s="431"/>
      <c r="BC312" s="431"/>
      <c r="BD312" s="431"/>
      <c r="BE312" s="431"/>
      <c r="BF312" s="431"/>
      <c r="BG312" s="431"/>
      <c r="BH312" s="431"/>
      <c r="BI312" s="431"/>
      <c r="BJ312" s="431"/>
      <c r="BK312" s="431"/>
      <c r="BL312" s="431"/>
      <c r="BM312" s="431"/>
      <c r="BN312" s="431"/>
      <c r="BO312" s="431"/>
      <c r="BP312" s="431"/>
      <c r="BQ312" s="431"/>
      <c r="BR312" s="431"/>
      <c r="BS312" s="431"/>
      <c r="BT312" s="431"/>
      <c r="BU312" s="431"/>
      <c r="BV312" s="431"/>
      <c r="BW312" s="431"/>
      <c r="BX312" s="431"/>
      <c r="BY312" s="431"/>
      <c r="BZ312" s="431"/>
      <c r="CA312" s="431"/>
      <c r="CB312" s="431"/>
      <c r="CC312" s="431"/>
      <c r="CD312" s="431"/>
      <c r="CE312" s="431"/>
      <c r="CF312" s="431"/>
      <c r="CG312" s="431"/>
      <c r="CH312" s="431"/>
    </row>
    <row r="313" spans="1:86" ht="15.75" customHeight="1" outlineLevel="1" x14ac:dyDescent="0.25">
      <c r="A313" s="431"/>
      <c r="B313" s="443"/>
      <c r="C313" s="397" t="s">
        <v>99</v>
      </c>
      <c r="D313" s="511"/>
      <c r="E313" s="555">
        <v>13.64</v>
      </c>
      <c r="F313" s="559"/>
      <c r="G313" s="503"/>
      <c r="H313" s="431"/>
      <c r="I313" s="431"/>
      <c r="J313" s="431"/>
      <c r="K313" s="431"/>
      <c r="L313" s="431"/>
      <c r="M313" s="431"/>
      <c r="N313" s="431"/>
      <c r="O313" s="431"/>
      <c r="P313" s="431"/>
      <c r="Q313" s="431"/>
      <c r="R313" s="431"/>
      <c r="S313" s="431"/>
      <c r="T313" s="431"/>
      <c r="U313" s="431"/>
      <c r="V313" s="431"/>
      <c r="W313" s="431"/>
      <c r="X313" s="431"/>
      <c r="Y313" s="431"/>
      <c r="Z313" s="431"/>
      <c r="AA313" s="431"/>
      <c r="AB313" s="431"/>
      <c r="AC313" s="431"/>
      <c r="AD313" s="431"/>
      <c r="AE313" s="431"/>
      <c r="AF313" s="431"/>
      <c r="AG313" s="431"/>
      <c r="AH313" s="431"/>
      <c r="AI313" s="431"/>
      <c r="AJ313" s="431"/>
      <c r="AK313" s="431"/>
      <c r="AL313" s="431"/>
      <c r="AM313" s="431"/>
      <c r="AN313" s="431"/>
      <c r="AO313" s="431"/>
      <c r="AP313" s="431"/>
      <c r="AQ313" s="431"/>
      <c r="AR313" s="431"/>
      <c r="AS313" s="431"/>
      <c r="AT313" s="431"/>
      <c r="AU313" s="431"/>
      <c r="AV313" s="431"/>
      <c r="AW313" s="431"/>
      <c r="AX313" s="431"/>
      <c r="AY313" s="431"/>
      <c r="AZ313" s="431"/>
      <c r="BA313" s="431"/>
      <c r="BB313" s="431"/>
      <c r="BC313" s="431"/>
      <c r="BD313" s="431"/>
      <c r="BE313" s="431"/>
      <c r="BF313" s="431"/>
      <c r="BG313" s="431"/>
      <c r="BH313" s="431"/>
      <c r="BI313" s="431"/>
      <c r="BJ313" s="431"/>
      <c r="BK313" s="431"/>
      <c r="BL313" s="431"/>
      <c r="BM313" s="431"/>
      <c r="BN313" s="431"/>
      <c r="BO313" s="431"/>
      <c r="BP313" s="431"/>
      <c r="BQ313" s="431"/>
      <c r="BR313" s="431"/>
      <c r="BS313" s="431"/>
      <c r="BT313" s="431"/>
      <c r="BU313" s="431"/>
      <c r="BV313" s="431"/>
      <c r="BW313" s="431"/>
      <c r="BX313" s="431"/>
      <c r="BY313" s="431"/>
      <c r="BZ313" s="431"/>
      <c r="CA313" s="431"/>
      <c r="CB313" s="431"/>
      <c r="CC313" s="431"/>
      <c r="CD313" s="431"/>
      <c r="CE313" s="431"/>
      <c r="CF313" s="431"/>
      <c r="CG313" s="431"/>
      <c r="CH313" s="431"/>
    </row>
    <row r="314" spans="1:86" ht="15.75" customHeight="1" outlineLevel="1" x14ac:dyDescent="0.25">
      <c r="A314" s="431"/>
      <c r="B314" s="443"/>
      <c r="C314" s="397" t="s">
        <v>100</v>
      </c>
      <c r="D314" s="511"/>
      <c r="E314" s="555">
        <v>3.7199999999999998</v>
      </c>
      <c r="F314" s="559"/>
      <c r="G314" s="503"/>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431"/>
      <c r="AF314" s="431"/>
      <c r="AG314" s="431"/>
      <c r="AH314" s="431"/>
      <c r="AI314" s="431"/>
      <c r="AJ314" s="431"/>
      <c r="AK314" s="431"/>
      <c r="AL314" s="431"/>
      <c r="AM314" s="431"/>
      <c r="AN314" s="431"/>
      <c r="AO314" s="431"/>
      <c r="AP314" s="431"/>
      <c r="AQ314" s="431"/>
      <c r="AR314" s="431"/>
      <c r="AS314" s="431"/>
      <c r="AT314" s="431"/>
      <c r="AU314" s="431"/>
      <c r="AV314" s="431"/>
      <c r="AW314" s="431"/>
      <c r="AX314" s="431"/>
      <c r="AY314" s="431"/>
      <c r="AZ314" s="431"/>
      <c r="BA314" s="431"/>
      <c r="BB314" s="431"/>
      <c r="BC314" s="431"/>
      <c r="BD314" s="431"/>
      <c r="BE314" s="431"/>
      <c r="BF314" s="431"/>
      <c r="BG314" s="431"/>
      <c r="BH314" s="431"/>
      <c r="BI314" s="431"/>
      <c r="BJ314" s="431"/>
      <c r="BK314" s="431"/>
      <c r="BL314" s="431"/>
      <c r="BM314" s="431"/>
      <c r="BN314" s="431"/>
      <c r="BO314" s="431"/>
      <c r="BP314" s="431"/>
      <c r="BQ314" s="431"/>
      <c r="BR314" s="431"/>
      <c r="BS314" s="431"/>
      <c r="BT314" s="431"/>
      <c r="BU314" s="431"/>
      <c r="BV314" s="431"/>
      <c r="BW314" s="431"/>
      <c r="BX314" s="431"/>
      <c r="BY314" s="431"/>
      <c r="BZ314" s="431"/>
      <c r="CA314" s="431"/>
      <c r="CB314" s="431"/>
      <c r="CC314" s="431"/>
      <c r="CD314" s="431"/>
      <c r="CE314" s="431"/>
      <c r="CF314" s="431"/>
      <c r="CG314" s="431"/>
      <c r="CH314" s="431"/>
    </row>
    <row r="315" spans="1:86" ht="15.75" customHeight="1" outlineLevel="1" x14ac:dyDescent="0.25">
      <c r="A315" s="431"/>
      <c r="B315" s="443"/>
      <c r="C315" s="397" t="s">
        <v>101</v>
      </c>
      <c r="D315" s="511"/>
      <c r="E315" s="555">
        <v>441.5</v>
      </c>
      <c r="F315" s="559"/>
      <c r="G315" s="503"/>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431"/>
      <c r="AF315" s="431"/>
      <c r="AG315" s="431"/>
      <c r="AH315" s="431"/>
      <c r="AI315" s="431"/>
      <c r="AJ315" s="431"/>
      <c r="AK315" s="431"/>
      <c r="AL315" s="431"/>
      <c r="AM315" s="431"/>
      <c r="AN315" s="431"/>
      <c r="AO315" s="431"/>
      <c r="AP315" s="431"/>
      <c r="AQ315" s="431"/>
      <c r="AR315" s="431"/>
      <c r="AS315" s="431"/>
      <c r="AT315" s="431"/>
      <c r="AU315" s="431"/>
      <c r="AV315" s="431"/>
      <c r="AW315" s="431"/>
      <c r="AX315" s="431"/>
      <c r="AY315" s="431"/>
      <c r="AZ315" s="431"/>
      <c r="BA315" s="431"/>
      <c r="BB315" s="431"/>
      <c r="BC315" s="431"/>
      <c r="BD315" s="431"/>
      <c r="BE315" s="431"/>
      <c r="BF315" s="431"/>
      <c r="BG315" s="431"/>
      <c r="BH315" s="431"/>
      <c r="BI315" s="431"/>
      <c r="BJ315" s="431"/>
      <c r="BK315" s="431"/>
      <c r="BL315" s="431"/>
      <c r="BM315" s="431"/>
      <c r="BN315" s="431"/>
      <c r="BO315" s="431"/>
      <c r="BP315" s="431"/>
      <c r="BQ315" s="431"/>
      <c r="BR315" s="431"/>
      <c r="BS315" s="431"/>
      <c r="BT315" s="431"/>
      <c r="BU315" s="431"/>
      <c r="BV315" s="431"/>
      <c r="BW315" s="431"/>
      <c r="BX315" s="431"/>
      <c r="BY315" s="431"/>
      <c r="BZ315" s="431"/>
      <c r="CA315" s="431"/>
      <c r="CB315" s="431"/>
      <c r="CC315" s="431"/>
      <c r="CD315" s="431"/>
      <c r="CE315" s="431"/>
      <c r="CF315" s="431"/>
      <c r="CG315" s="431"/>
      <c r="CH315" s="431"/>
    </row>
    <row r="316" spans="1:86" ht="15.75" customHeight="1" outlineLevel="1" x14ac:dyDescent="0.25">
      <c r="A316" s="431"/>
      <c r="B316" s="443"/>
      <c r="C316" s="397" t="s">
        <v>102</v>
      </c>
      <c r="D316" s="511"/>
      <c r="E316" s="555">
        <v>2053.1</v>
      </c>
      <c r="F316" s="559"/>
      <c r="G316" s="503"/>
      <c r="H316" s="431"/>
      <c r="I316" s="431"/>
      <c r="J316" s="431"/>
      <c r="K316" s="431"/>
      <c r="L316" s="431"/>
      <c r="M316" s="431"/>
      <c r="N316" s="431"/>
      <c r="O316" s="431"/>
      <c r="P316" s="431"/>
      <c r="Q316" s="431"/>
      <c r="R316" s="431"/>
      <c r="S316" s="431"/>
      <c r="T316" s="431"/>
      <c r="U316" s="431"/>
      <c r="V316" s="431"/>
      <c r="W316" s="431"/>
      <c r="X316" s="431"/>
      <c r="Y316" s="431"/>
      <c r="Z316" s="431"/>
      <c r="AA316" s="431"/>
      <c r="AB316" s="431"/>
      <c r="AC316" s="431"/>
      <c r="AD316" s="431"/>
      <c r="AE316" s="431"/>
      <c r="AF316" s="431"/>
      <c r="AG316" s="431"/>
      <c r="AH316" s="431"/>
      <c r="AI316" s="431"/>
      <c r="AJ316" s="431"/>
      <c r="AK316" s="431"/>
      <c r="AL316" s="431"/>
      <c r="AM316" s="431"/>
      <c r="AN316" s="431"/>
      <c r="AO316" s="431"/>
      <c r="AP316" s="431"/>
      <c r="AQ316" s="431"/>
      <c r="AR316" s="431"/>
      <c r="AS316" s="431"/>
      <c r="AT316" s="431"/>
      <c r="AU316" s="431"/>
      <c r="AV316" s="431"/>
      <c r="AW316" s="431"/>
      <c r="AX316" s="431"/>
      <c r="AY316" s="431"/>
      <c r="AZ316" s="431"/>
      <c r="BA316" s="431"/>
      <c r="BB316" s="431"/>
      <c r="BC316" s="431"/>
      <c r="BD316" s="431"/>
      <c r="BE316" s="431"/>
      <c r="BF316" s="431"/>
      <c r="BG316" s="431"/>
      <c r="BH316" s="431"/>
      <c r="BI316" s="431"/>
      <c r="BJ316" s="431"/>
      <c r="BK316" s="431"/>
      <c r="BL316" s="431"/>
      <c r="BM316" s="431"/>
      <c r="BN316" s="431"/>
      <c r="BO316" s="431"/>
      <c r="BP316" s="431"/>
      <c r="BQ316" s="431"/>
      <c r="BR316" s="431"/>
      <c r="BS316" s="431"/>
      <c r="BT316" s="431"/>
      <c r="BU316" s="431"/>
      <c r="BV316" s="431"/>
      <c r="BW316" s="431"/>
      <c r="BX316" s="431"/>
      <c r="BY316" s="431"/>
      <c r="BZ316" s="431"/>
      <c r="CA316" s="431"/>
      <c r="CB316" s="431"/>
      <c r="CC316" s="431"/>
      <c r="CD316" s="431"/>
      <c r="CE316" s="431"/>
      <c r="CF316" s="431"/>
      <c r="CG316" s="431"/>
      <c r="CH316" s="431"/>
    </row>
    <row r="317" spans="1:86" ht="15.75" customHeight="1" outlineLevel="1" x14ac:dyDescent="0.25">
      <c r="A317" s="431"/>
      <c r="B317" s="443"/>
      <c r="C317" s="397" t="s">
        <v>103</v>
      </c>
      <c r="D317" s="511"/>
      <c r="E317" s="555">
        <v>0</v>
      </c>
      <c r="F317" s="559"/>
      <c r="G317" s="503"/>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431"/>
      <c r="AE317" s="431"/>
      <c r="AF317" s="431"/>
      <c r="AG317" s="431"/>
      <c r="AH317" s="431"/>
      <c r="AI317" s="431"/>
      <c r="AJ317" s="431"/>
      <c r="AK317" s="431"/>
      <c r="AL317" s="431"/>
      <c r="AM317" s="431"/>
      <c r="AN317" s="431"/>
      <c r="AO317" s="431"/>
      <c r="AP317" s="431"/>
      <c r="AQ317" s="431"/>
      <c r="AR317" s="431"/>
      <c r="AS317" s="431"/>
      <c r="AT317" s="431"/>
      <c r="AU317" s="431"/>
      <c r="AV317" s="431"/>
      <c r="AW317" s="431"/>
      <c r="AX317" s="431"/>
      <c r="AY317" s="431"/>
      <c r="AZ317" s="431"/>
      <c r="BA317" s="431"/>
      <c r="BB317" s="431"/>
      <c r="BC317" s="431"/>
      <c r="BD317" s="431"/>
      <c r="BE317" s="431"/>
      <c r="BF317" s="431"/>
      <c r="BG317" s="431"/>
      <c r="BH317" s="431"/>
      <c r="BI317" s="431"/>
      <c r="BJ317" s="431"/>
      <c r="BK317" s="431"/>
      <c r="BL317" s="431"/>
      <c r="BM317" s="431"/>
      <c r="BN317" s="431"/>
      <c r="BO317" s="431"/>
      <c r="BP317" s="431"/>
      <c r="BQ317" s="431"/>
      <c r="BR317" s="431"/>
      <c r="BS317" s="431"/>
      <c r="BT317" s="431"/>
      <c r="BU317" s="431"/>
      <c r="BV317" s="431"/>
      <c r="BW317" s="431"/>
      <c r="BX317" s="431"/>
      <c r="BY317" s="431"/>
      <c r="BZ317" s="431"/>
      <c r="CA317" s="431"/>
      <c r="CB317" s="431"/>
      <c r="CC317" s="431"/>
      <c r="CD317" s="431"/>
      <c r="CE317" s="431"/>
      <c r="CF317" s="431"/>
      <c r="CG317" s="431"/>
      <c r="CH317" s="431"/>
    </row>
    <row r="318" spans="1:86" ht="15.75" customHeight="1" outlineLevel="1" x14ac:dyDescent="0.25">
      <c r="A318" s="431"/>
      <c r="B318" s="443"/>
      <c r="C318" s="397" t="s">
        <v>104</v>
      </c>
      <c r="D318" s="511"/>
      <c r="E318" s="555">
        <v>0</v>
      </c>
      <c r="F318" s="559"/>
      <c r="G318" s="503"/>
      <c r="H318" s="431"/>
      <c r="I318" s="431"/>
      <c r="J318" s="431"/>
      <c r="K318" s="431"/>
      <c r="L318" s="431"/>
      <c r="M318" s="431"/>
      <c r="N318" s="431"/>
      <c r="O318" s="431"/>
      <c r="P318" s="431"/>
      <c r="Q318" s="431"/>
      <c r="R318" s="431"/>
      <c r="S318" s="431"/>
      <c r="T318" s="431"/>
      <c r="U318" s="431"/>
      <c r="V318" s="431"/>
      <c r="W318" s="431"/>
      <c r="X318" s="431"/>
      <c r="Y318" s="431"/>
      <c r="Z318" s="431"/>
      <c r="AA318" s="431"/>
      <c r="AB318" s="431"/>
      <c r="AC318" s="431"/>
      <c r="AD318" s="431"/>
      <c r="AE318" s="431"/>
      <c r="AF318" s="431"/>
      <c r="AG318" s="431"/>
      <c r="AH318" s="431"/>
      <c r="AI318" s="431"/>
      <c r="AJ318" s="431"/>
      <c r="AK318" s="431"/>
      <c r="AL318" s="431"/>
      <c r="AM318" s="431"/>
      <c r="AN318" s="431"/>
      <c r="AO318" s="431"/>
      <c r="AP318" s="431"/>
      <c r="AQ318" s="431"/>
      <c r="AR318" s="431"/>
      <c r="AS318" s="431"/>
      <c r="AT318" s="431"/>
      <c r="AU318" s="431"/>
      <c r="AV318" s="431"/>
      <c r="AW318" s="431"/>
      <c r="AX318" s="431"/>
      <c r="AY318" s="431"/>
      <c r="AZ318" s="431"/>
      <c r="BA318" s="431"/>
      <c r="BB318" s="431"/>
      <c r="BC318" s="431"/>
      <c r="BD318" s="431"/>
      <c r="BE318" s="431"/>
      <c r="BF318" s="431"/>
      <c r="BG318" s="431"/>
      <c r="BH318" s="431"/>
      <c r="BI318" s="431"/>
      <c r="BJ318" s="431"/>
      <c r="BK318" s="431"/>
      <c r="BL318" s="431"/>
      <c r="BM318" s="431"/>
      <c r="BN318" s="431"/>
      <c r="BO318" s="431"/>
      <c r="BP318" s="431"/>
      <c r="BQ318" s="431"/>
      <c r="BR318" s="431"/>
      <c r="BS318" s="431"/>
      <c r="BT318" s="431"/>
      <c r="BU318" s="431"/>
      <c r="BV318" s="431"/>
      <c r="BW318" s="431"/>
      <c r="BX318" s="431"/>
      <c r="BY318" s="431"/>
      <c r="BZ318" s="431"/>
      <c r="CA318" s="431"/>
      <c r="CB318" s="431"/>
      <c r="CC318" s="431"/>
      <c r="CD318" s="431"/>
      <c r="CE318" s="431"/>
      <c r="CF318" s="431"/>
      <c r="CG318" s="431"/>
      <c r="CH318" s="431"/>
    </row>
    <row r="319" spans="1:86" ht="15.75" customHeight="1" outlineLevel="1" x14ac:dyDescent="0.25">
      <c r="A319" s="431"/>
      <c r="B319" s="443"/>
      <c r="C319" s="397" t="s">
        <v>105</v>
      </c>
      <c r="D319" s="511"/>
      <c r="E319" s="555">
        <v>22.32</v>
      </c>
      <c r="F319" s="559"/>
      <c r="G319" s="503"/>
      <c r="H319" s="431"/>
      <c r="I319" s="431"/>
      <c r="J319" s="431"/>
      <c r="K319" s="431"/>
      <c r="L319" s="431"/>
      <c r="M319" s="431"/>
      <c r="N319" s="431"/>
      <c r="O319" s="431"/>
      <c r="P319" s="431"/>
      <c r="Q319" s="431"/>
      <c r="R319" s="431"/>
      <c r="S319" s="431"/>
      <c r="T319" s="431"/>
      <c r="U319" s="431"/>
      <c r="V319" s="431"/>
      <c r="W319" s="431"/>
      <c r="X319" s="431"/>
      <c r="Y319" s="431"/>
      <c r="Z319" s="431"/>
      <c r="AA319" s="431"/>
      <c r="AB319" s="431"/>
      <c r="AC319" s="431"/>
      <c r="AD319" s="431"/>
      <c r="AE319" s="431"/>
      <c r="AF319" s="431"/>
      <c r="AG319" s="431"/>
      <c r="AH319" s="431"/>
      <c r="AI319" s="431"/>
      <c r="AJ319" s="431"/>
      <c r="AK319" s="431"/>
      <c r="AL319" s="431"/>
      <c r="AM319" s="431"/>
      <c r="AN319" s="431"/>
      <c r="AO319" s="431"/>
      <c r="AP319" s="431"/>
      <c r="AQ319" s="431"/>
      <c r="AR319" s="431"/>
      <c r="AS319" s="431"/>
      <c r="AT319" s="431"/>
      <c r="AU319" s="431"/>
      <c r="AV319" s="431"/>
      <c r="AW319" s="431"/>
      <c r="AX319" s="431"/>
      <c r="AY319" s="431"/>
      <c r="AZ319" s="431"/>
      <c r="BA319" s="431"/>
      <c r="BB319" s="431"/>
      <c r="BC319" s="431"/>
      <c r="BD319" s="431"/>
      <c r="BE319" s="431"/>
      <c r="BF319" s="431"/>
      <c r="BG319" s="431"/>
      <c r="BH319" s="431"/>
      <c r="BI319" s="431"/>
      <c r="BJ319" s="431"/>
      <c r="BK319" s="431"/>
      <c r="BL319" s="431"/>
      <c r="BM319" s="431"/>
      <c r="BN319" s="431"/>
      <c r="BO319" s="431"/>
      <c r="BP319" s="431"/>
      <c r="BQ319" s="431"/>
      <c r="BR319" s="431"/>
      <c r="BS319" s="431"/>
      <c r="BT319" s="431"/>
      <c r="BU319" s="431"/>
      <c r="BV319" s="431"/>
      <c r="BW319" s="431"/>
      <c r="BX319" s="431"/>
      <c r="BY319" s="431"/>
      <c r="BZ319" s="431"/>
      <c r="CA319" s="431"/>
      <c r="CB319" s="431"/>
      <c r="CC319" s="431"/>
      <c r="CD319" s="431"/>
      <c r="CE319" s="431"/>
      <c r="CF319" s="431"/>
      <c r="CG319" s="431"/>
      <c r="CH319" s="431"/>
    </row>
    <row r="320" spans="1:86" ht="15.75" customHeight="1" outlineLevel="1" x14ac:dyDescent="0.25">
      <c r="A320" s="431"/>
      <c r="B320" s="443"/>
      <c r="C320" s="397" t="s">
        <v>106</v>
      </c>
      <c r="D320" s="511"/>
      <c r="E320" s="555">
        <v>93</v>
      </c>
      <c r="F320" s="559"/>
      <c r="G320" s="503"/>
      <c r="H320" s="431"/>
      <c r="I320" s="431"/>
      <c r="J320" s="431"/>
      <c r="K320" s="431"/>
      <c r="L320" s="431"/>
      <c r="M320" s="431"/>
      <c r="N320" s="431"/>
      <c r="O320" s="431"/>
      <c r="P320" s="431"/>
      <c r="Q320" s="431"/>
      <c r="R320" s="431"/>
      <c r="S320" s="431"/>
      <c r="T320" s="431"/>
      <c r="U320" s="431"/>
      <c r="V320" s="431"/>
      <c r="W320" s="431"/>
      <c r="X320" s="431"/>
      <c r="Y320" s="431"/>
      <c r="Z320" s="431"/>
      <c r="AA320" s="431"/>
      <c r="AB320" s="431"/>
      <c r="AC320" s="431"/>
      <c r="AD320" s="431"/>
      <c r="AE320" s="431"/>
      <c r="AF320" s="431"/>
      <c r="AG320" s="431"/>
      <c r="AH320" s="431"/>
      <c r="AI320" s="431"/>
      <c r="AJ320" s="431"/>
      <c r="AK320" s="431"/>
      <c r="AL320" s="431"/>
      <c r="AM320" s="431"/>
      <c r="AN320" s="431"/>
      <c r="AO320" s="431"/>
      <c r="AP320" s="431"/>
      <c r="AQ320" s="431"/>
      <c r="AR320" s="431"/>
      <c r="AS320" s="431"/>
      <c r="AT320" s="431"/>
      <c r="AU320" s="431"/>
      <c r="AV320" s="431"/>
      <c r="AW320" s="431"/>
      <c r="AX320" s="431"/>
      <c r="AY320" s="431"/>
      <c r="AZ320" s="431"/>
      <c r="BA320" s="431"/>
      <c r="BB320" s="431"/>
      <c r="BC320" s="431"/>
      <c r="BD320" s="431"/>
      <c r="BE320" s="431"/>
      <c r="BF320" s="431"/>
      <c r="BG320" s="431"/>
      <c r="BH320" s="431"/>
      <c r="BI320" s="431"/>
      <c r="BJ320" s="431"/>
      <c r="BK320" s="431"/>
      <c r="BL320" s="431"/>
      <c r="BM320" s="431"/>
      <c r="BN320" s="431"/>
      <c r="BO320" s="431"/>
      <c r="BP320" s="431"/>
      <c r="BQ320" s="431"/>
      <c r="BR320" s="431"/>
      <c r="BS320" s="431"/>
      <c r="BT320" s="431"/>
      <c r="BU320" s="431"/>
      <c r="BV320" s="431"/>
      <c r="BW320" s="431"/>
      <c r="BX320" s="431"/>
      <c r="BY320" s="431"/>
      <c r="BZ320" s="431"/>
      <c r="CA320" s="431"/>
      <c r="CB320" s="431"/>
      <c r="CC320" s="431"/>
      <c r="CD320" s="431"/>
      <c r="CE320" s="431"/>
      <c r="CF320" s="431"/>
      <c r="CG320" s="431"/>
      <c r="CH320" s="431"/>
    </row>
    <row r="321" spans="1:86" ht="15.75" customHeight="1" outlineLevel="1" x14ac:dyDescent="0.25">
      <c r="A321" s="431"/>
      <c r="B321" s="443"/>
      <c r="C321" s="397" t="s">
        <v>107</v>
      </c>
      <c r="D321" s="511"/>
      <c r="E321" s="555">
        <v>843.69999999999993</v>
      </c>
      <c r="F321" s="559"/>
      <c r="G321" s="503"/>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431"/>
      <c r="AF321" s="431"/>
      <c r="AG321" s="431"/>
      <c r="AH321" s="431"/>
      <c r="AI321" s="431"/>
      <c r="AJ321" s="431"/>
      <c r="AK321" s="431"/>
      <c r="AL321" s="431"/>
      <c r="AM321" s="431"/>
      <c r="AN321" s="431"/>
      <c r="AO321" s="431"/>
      <c r="AP321" s="431"/>
      <c r="AQ321" s="431"/>
      <c r="AR321" s="431"/>
      <c r="AS321" s="431"/>
      <c r="AT321" s="431"/>
      <c r="AU321" s="431"/>
      <c r="AV321" s="431"/>
      <c r="AW321" s="431"/>
      <c r="AX321" s="431"/>
      <c r="AY321" s="431"/>
      <c r="AZ321" s="431"/>
      <c r="BA321" s="431"/>
      <c r="BB321" s="431"/>
      <c r="BC321" s="431"/>
      <c r="BD321" s="431"/>
      <c r="BE321" s="431"/>
      <c r="BF321" s="431"/>
      <c r="BG321" s="431"/>
      <c r="BH321" s="431"/>
      <c r="BI321" s="431"/>
      <c r="BJ321" s="431"/>
      <c r="BK321" s="431"/>
      <c r="BL321" s="431"/>
      <c r="BM321" s="431"/>
      <c r="BN321" s="431"/>
      <c r="BO321" s="431"/>
      <c r="BP321" s="431"/>
      <c r="BQ321" s="431"/>
      <c r="BR321" s="431"/>
      <c r="BS321" s="431"/>
      <c r="BT321" s="431"/>
      <c r="BU321" s="431"/>
      <c r="BV321" s="431"/>
      <c r="BW321" s="431"/>
      <c r="BX321" s="431"/>
      <c r="BY321" s="431"/>
      <c r="BZ321" s="431"/>
      <c r="CA321" s="431"/>
      <c r="CB321" s="431"/>
      <c r="CC321" s="431"/>
      <c r="CD321" s="431"/>
      <c r="CE321" s="431"/>
      <c r="CF321" s="431"/>
      <c r="CG321" s="431"/>
      <c r="CH321" s="431"/>
    </row>
    <row r="322" spans="1:86" ht="15.75" customHeight="1" outlineLevel="1" x14ac:dyDescent="0.25">
      <c r="A322" s="431"/>
      <c r="B322" s="443"/>
      <c r="C322" s="397" t="s">
        <v>108</v>
      </c>
      <c r="D322" s="511"/>
      <c r="E322" s="555">
        <v>2346</v>
      </c>
      <c r="F322" s="559"/>
      <c r="G322" s="503"/>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431"/>
      <c r="AF322" s="431"/>
      <c r="AG322" s="431"/>
      <c r="AH322" s="431"/>
      <c r="AI322" s="431"/>
      <c r="AJ322" s="431"/>
      <c r="AK322" s="431"/>
      <c r="AL322" s="431"/>
      <c r="AM322" s="431"/>
      <c r="AN322" s="431"/>
      <c r="AO322" s="431"/>
      <c r="AP322" s="431"/>
      <c r="AQ322" s="431"/>
      <c r="AR322" s="431"/>
      <c r="AS322" s="431"/>
      <c r="AT322" s="431"/>
      <c r="AU322" s="431"/>
      <c r="AV322" s="431"/>
      <c r="AW322" s="431"/>
      <c r="AX322" s="431"/>
      <c r="AY322" s="431"/>
      <c r="AZ322" s="431"/>
      <c r="BA322" s="431"/>
      <c r="BB322" s="431"/>
      <c r="BC322" s="431"/>
      <c r="BD322" s="431"/>
      <c r="BE322" s="431"/>
      <c r="BF322" s="431"/>
      <c r="BG322" s="431"/>
      <c r="BH322" s="431"/>
      <c r="BI322" s="431"/>
      <c r="BJ322" s="431"/>
      <c r="BK322" s="431"/>
      <c r="BL322" s="431"/>
      <c r="BM322" s="431"/>
      <c r="BN322" s="431"/>
      <c r="BO322" s="431"/>
      <c r="BP322" s="431"/>
      <c r="BQ322" s="431"/>
      <c r="BR322" s="431"/>
      <c r="BS322" s="431"/>
      <c r="BT322" s="431"/>
      <c r="BU322" s="431"/>
      <c r="BV322" s="431"/>
      <c r="BW322" s="431"/>
      <c r="BX322" s="431"/>
      <c r="BY322" s="431"/>
      <c r="BZ322" s="431"/>
      <c r="CA322" s="431"/>
      <c r="CB322" s="431"/>
      <c r="CC322" s="431"/>
      <c r="CD322" s="431"/>
      <c r="CE322" s="431"/>
      <c r="CF322" s="431"/>
      <c r="CG322" s="431"/>
      <c r="CH322" s="431"/>
    </row>
    <row r="323" spans="1:86" ht="15.75" customHeight="1" outlineLevel="1" x14ac:dyDescent="0.25">
      <c r="A323" s="431"/>
      <c r="B323" s="443"/>
      <c r="C323" s="397" t="s">
        <v>109</v>
      </c>
      <c r="D323" s="511"/>
      <c r="E323" s="555">
        <v>3026.69</v>
      </c>
      <c r="F323" s="559"/>
      <c r="G323" s="503"/>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1"/>
      <c r="AE323" s="431"/>
      <c r="AF323" s="431"/>
      <c r="AG323" s="431"/>
      <c r="AH323" s="431"/>
      <c r="AI323" s="431"/>
      <c r="AJ323" s="431"/>
      <c r="AK323" s="431"/>
      <c r="AL323" s="431"/>
      <c r="AM323" s="431"/>
      <c r="AN323" s="431"/>
      <c r="AO323" s="431"/>
      <c r="AP323" s="431"/>
      <c r="AQ323" s="431"/>
      <c r="AR323" s="431"/>
      <c r="AS323" s="431"/>
      <c r="AT323" s="431"/>
      <c r="AU323" s="431"/>
      <c r="AV323" s="431"/>
      <c r="AW323" s="431"/>
      <c r="AX323" s="431"/>
      <c r="AY323" s="431"/>
      <c r="AZ323" s="431"/>
      <c r="BA323" s="431"/>
      <c r="BB323" s="431"/>
      <c r="BC323" s="431"/>
      <c r="BD323" s="431"/>
      <c r="BE323" s="431"/>
      <c r="BF323" s="431"/>
      <c r="BG323" s="431"/>
      <c r="BH323" s="431"/>
      <c r="BI323" s="431"/>
      <c r="BJ323" s="431"/>
      <c r="BK323" s="431"/>
      <c r="BL323" s="431"/>
      <c r="BM323" s="431"/>
      <c r="BN323" s="431"/>
      <c r="BO323" s="431"/>
      <c r="BP323" s="431"/>
      <c r="BQ323" s="431"/>
      <c r="BR323" s="431"/>
      <c r="BS323" s="431"/>
      <c r="BT323" s="431"/>
      <c r="BU323" s="431"/>
      <c r="BV323" s="431"/>
      <c r="BW323" s="431"/>
      <c r="BX323" s="431"/>
      <c r="BY323" s="431"/>
      <c r="BZ323" s="431"/>
      <c r="CA323" s="431"/>
      <c r="CB323" s="431"/>
      <c r="CC323" s="431"/>
      <c r="CD323" s="431"/>
      <c r="CE323" s="431"/>
      <c r="CF323" s="431"/>
      <c r="CG323" s="431"/>
      <c r="CH323" s="431"/>
    </row>
    <row r="324" spans="1:86" ht="15.75" customHeight="1" outlineLevel="1" x14ac:dyDescent="0.25">
      <c r="A324" s="431"/>
      <c r="B324" s="443"/>
      <c r="C324" s="397" t="s">
        <v>110</v>
      </c>
      <c r="D324" s="511"/>
      <c r="E324" s="555">
        <v>1809.3400000000001</v>
      </c>
      <c r="F324" s="559"/>
      <c r="G324" s="503"/>
      <c r="H324" s="431"/>
      <c r="I324" s="431"/>
      <c r="J324" s="431"/>
      <c r="K324" s="431"/>
      <c r="L324" s="431"/>
      <c r="M324" s="431"/>
      <c r="N324" s="431"/>
      <c r="O324" s="431"/>
      <c r="P324" s="431"/>
      <c r="Q324" s="431"/>
      <c r="R324" s="431"/>
      <c r="S324" s="431"/>
      <c r="T324" s="431"/>
      <c r="U324" s="431"/>
      <c r="V324" s="431"/>
      <c r="W324" s="431"/>
      <c r="X324" s="431"/>
      <c r="Y324" s="431"/>
      <c r="Z324" s="431"/>
      <c r="AA324" s="431"/>
      <c r="AB324" s="431"/>
      <c r="AC324" s="431"/>
      <c r="AD324" s="431"/>
      <c r="AE324" s="431"/>
      <c r="AF324" s="431"/>
      <c r="AG324" s="431"/>
      <c r="AH324" s="431"/>
      <c r="AI324" s="431"/>
      <c r="AJ324" s="431"/>
      <c r="AK324" s="431"/>
      <c r="AL324" s="431"/>
      <c r="AM324" s="431"/>
      <c r="AN324" s="431"/>
      <c r="AO324" s="431"/>
      <c r="AP324" s="431"/>
      <c r="AQ324" s="431"/>
      <c r="AR324" s="431"/>
      <c r="AS324" s="431"/>
      <c r="AT324" s="431"/>
      <c r="AU324" s="431"/>
      <c r="AV324" s="431"/>
      <c r="AW324" s="431"/>
      <c r="AX324" s="431"/>
      <c r="AY324" s="431"/>
      <c r="AZ324" s="431"/>
      <c r="BA324" s="431"/>
      <c r="BB324" s="431"/>
      <c r="BC324" s="431"/>
      <c r="BD324" s="431"/>
      <c r="BE324" s="431"/>
      <c r="BF324" s="431"/>
      <c r="BG324" s="431"/>
      <c r="BH324" s="431"/>
      <c r="BI324" s="431"/>
      <c r="BJ324" s="431"/>
      <c r="BK324" s="431"/>
      <c r="BL324" s="431"/>
      <c r="BM324" s="431"/>
      <c r="BN324" s="431"/>
      <c r="BO324" s="431"/>
      <c r="BP324" s="431"/>
      <c r="BQ324" s="431"/>
      <c r="BR324" s="431"/>
      <c r="BS324" s="431"/>
      <c r="BT324" s="431"/>
      <c r="BU324" s="431"/>
      <c r="BV324" s="431"/>
      <c r="BW324" s="431"/>
      <c r="BX324" s="431"/>
      <c r="BY324" s="431"/>
      <c r="BZ324" s="431"/>
      <c r="CA324" s="431"/>
      <c r="CB324" s="431"/>
      <c r="CC324" s="431"/>
      <c r="CD324" s="431"/>
      <c r="CE324" s="431"/>
      <c r="CF324" s="431"/>
      <c r="CG324" s="431"/>
      <c r="CH324" s="431"/>
    </row>
    <row r="325" spans="1:86" ht="15.75" customHeight="1" outlineLevel="1" x14ac:dyDescent="0.25">
      <c r="A325" s="431"/>
      <c r="B325" s="443"/>
      <c r="C325" s="397" t="s">
        <v>111</v>
      </c>
      <c r="D325" s="511"/>
      <c r="E325" s="555">
        <v>3.1</v>
      </c>
      <c r="F325" s="559"/>
      <c r="G325" s="503"/>
      <c r="H325" s="431"/>
      <c r="I325" s="431"/>
      <c r="J325" s="431"/>
      <c r="K325" s="431"/>
      <c r="L325" s="431"/>
      <c r="M325" s="431"/>
      <c r="N325" s="431"/>
      <c r="O325" s="431"/>
      <c r="P325" s="431"/>
      <c r="Q325" s="431"/>
      <c r="R325" s="431"/>
      <c r="S325" s="431"/>
      <c r="T325" s="431"/>
      <c r="U325" s="431"/>
      <c r="V325" s="431"/>
      <c r="W325" s="431"/>
      <c r="X325" s="431"/>
      <c r="Y325" s="431"/>
      <c r="Z325" s="431"/>
      <c r="AA325" s="431"/>
      <c r="AB325" s="431"/>
      <c r="AC325" s="431"/>
      <c r="AD325" s="431"/>
      <c r="AE325" s="431"/>
      <c r="AF325" s="431"/>
      <c r="AG325" s="431"/>
      <c r="AH325" s="431"/>
      <c r="AI325" s="431"/>
      <c r="AJ325" s="431"/>
      <c r="AK325" s="431"/>
      <c r="AL325" s="431"/>
      <c r="AM325" s="431"/>
      <c r="AN325" s="431"/>
      <c r="AO325" s="431"/>
      <c r="AP325" s="431"/>
      <c r="AQ325" s="431"/>
      <c r="AR325" s="431"/>
      <c r="AS325" s="431"/>
      <c r="AT325" s="431"/>
      <c r="AU325" s="431"/>
      <c r="AV325" s="431"/>
      <c r="AW325" s="431"/>
      <c r="AX325" s="431"/>
      <c r="AY325" s="431"/>
      <c r="AZ325" s="431"/>
      <c r="BA325" s="431"/>
      <c r="BB325" s="431"/>
      <c r="BC325" s="431"/>
      <c r="BD325" s="431"/>
      <c r="BE325" s="431"/>
      <c r="BF325" s="431"/>
      <c r="BG325" s="431"/>
      <c r="BH325" s="431"/>
      <c r="BI325" s="431"/>
      <c r="BJ325" s="431"/>
      <c r="BK325" s="431"/>
      <c r="BL325" s="431"/>
      <c r="BM325" s="431"/>
      <c r="BN325" s="431"/>
      <c r="BO325" s="431"/>
      <c r="BP325" s="431"/>
      <c r="BQ325" s="431"/>
      <c r="BR325" s="431"/>
      <c r="BS325" s="431"/>
      <c r="BT325" s="431"/>
      <c r="BU325" s="431"/>
      <c r="BV325" s="431"/>
      <c r="BW325" s="431"/>
      <c r="BX325" s="431"/>
      <c r="BY325" s="431"/>
      <c r="BZ325" s="431"/>
      <c r="CA325" s="431"/>
      <c r="CB325" s="431"/>
      <c r="CC325" s="431"/>
      <c r="CD325" s="431"/>
      <c r="CE325" s="431"/>
      <c r="CF325" s="431"/>
      <c r="CG325" s="431"/>
      <c r="CH325" s="431"/>
    </row>
    <row r="326" spans="1:86" ht="15.75" customHeight="1" outlineLevel="1" x14ac:dyDescent="0.25">
      <c r="A326" s="431"/>
      <c r="B326" s="443"/>
      <c r="C326" s="397" t="s">
        <v>112</v>
      </c>
      <c r="D326" s="511"/>
      <c r="E326" s="555">
        <v>2966.7</v>
      </c>
      <c r="F326" s="559"/>
      <c r="G326" s="503"/>
      <c r="H326" s="431"/>
      <c r="I326" s="431"/>
      <c r="J326" s="431"/>
      <c r="K326" s="431"/>
      <c r="L326" s="431"/>
      <c r="M326" s="431"/>
      <c r="N326" s="431"/>
      <c r="O326" s="431"/>
      <c r="P326" s="431"/>
      <c r="Q326" s="431"/>
      <c r="R326" s="431"/>
      <c r="S326" s="431"/>
      <c r="T326" s="431"/>
      <c r="U326" s="431"/>
      <c r="V326" s="431"/>
      <c r="W326" s="431"/>
      <c r="X326" s="431"/>
      <c r="Y326" s="431"/>
      <c r="Z326" s="431"/>
      <c r="AA326" s="431"/>
      <c r="AB326" s="431"/>
      <c r="AC326" s="431"/>
      <c r="AD326" s="431"/>
      <c r="AE326" s="431"/>
      <c r="AF326" s="431"/>
      <c r="AG326" s="431"/>
      <c r="AH326" s="431"/>
      <c r="AI326" s="431"/>
      <c r="AJ326" s="431"/>
      <c r="AK326" s="431"/>
      <c r="AL326" s="431"/>
      <c r="AM326" s="431"/>
      <c r="AN326" s="431"/>
      <c r="AO326" s="431"/>
      <c r="AP326" s="431"/>
      <c r="AQ326" s="431"/>
      <c r="AR326" s="431"/>
      <c r="AS326" s="431"/>
      <c r="AT326" s="431"/>
      <c r="AU326" s="431"/>
      <c r="AV326" s="431"/>
      <c r="AW326" s="431"/>
      <c r="AX326" s="431"/>
      <c r="AY326" s="431"/>
      <c r="AZ326" s="431"/>
      <c r="BA326" s="431"/>
      <c r="BB326" s="431"/>
      <c r="BC326" s="431"/>
      <c r="BD326" s="431"/>
      <c r="BE326" s="431"/>
      <c r="BF326" s="431"/>
      <c r="BG326" s="431"/>
      <c r="BH326" s="431"/>
      <c r="BI326" s="431"/>
      <c r="BJ326" s="431"/>
      <c r="BK326" s="431"/>
      <c r="BL326" s="431"/>
      <c r="BM326" s="431"/>
      <c r="BN326" s="431"/>
      <c r="BO326" s="431"/>
      <c r="BP326" s="431"/>
      <c r="BQ326" s="431"/>
      <c r="BR326" s="431"/>
      <c r="BS326" s="431"/>
      <c r="BT326" s="431"/>
      <c r="BU326" s="431"/>
      <c r="BV326" s="431"/>
      <c r="BW326" s="431"/>
      <c r="BX326" s="431"/>
      <c r="BY326" s="431"/>
      <c r="BZ326" s="431"/>
      <c r="CA326" s="431"/>
      <c r="CB326" s="431"/>
      <c r="CC326" s="431"/>
      <c r="CD326" s="431"/>
      <c r="CE326" s="431"/>
      <c r="CF326" s="431"/>
      <c r="CG326" s="431"/>
      <c r="CH326" s="431"/>
    </row>
    <row r="327" spans="1:86" ht="15.75" customHeight="1" outlineLevel="1" x14ac:dyDescent="0.25">
      <c r="A327" s="431"/>
      <c r="B327" s="443"/>
      <c r="C327" s="397" t="s">
        <v>113</v>
      </c>
      <c r="D327" s="511"/>
      <c r="E327" s="555">
        <v>2383.9</v>
      </c>
      <c r="F327" s="559"/>
      <c r="G327" s="503"/>
      <c r="H327" s="431"/>
      <c r="I327" s="431"/>
      <c r="J327" s="431"/>
      <c r="K327" s="431"/>
      <c r="L327" s="431"/>
      <c r="M327" s="431"/>
      <c r="N327" s="431"/>
      <c r="O327" s="431"/>
      <c r="P327" s="431"/>
      <c r="Q327" s="431"/>
      <c r="R327" s="431"/>
      <c r="S327" s="431"/>
      <c r="T327" s="431"/>
      <c r="U327" s="431"/>
      <c r="V327" s="431"/>
      <c r="W327" s="431"/>
      <c r="X327" s="431"/>
      <c r="Y327" s="431"/>
      <c r="Z327" s="431"/>
      <c r="AA327" s="431"/>
      <c r="AB327" s="431"/>
      <c r="AC327" s="431"/>
      <c r="AD327" s="431"/>
      <c r="AE327" s="431"/>
      <c r="AF327" s="431"/>
      <c r="AG327" s="431"/>
      <c r="AH327" s="431"/>
      <c r="AI327" s="431"/>
      <c r="AJ327" s="431"/>
      <c r="AK327" s="431"/>
      <c r="AL327" s="431"/>
      <c r="AM327" s="431"/>
      <c r="AN327" s="431"/>
      <c r="AO327" s="431"/>
      <c r="AP327" s="431"/>
      <c r="AQ327" s="431"/>
      <c r="AR327" s="431"/>
      <c r="AS327" s="431"/>
      <c r="AT327" s="431"/>
      <c r="AU327" s="431"/>
      <c r="AV327" s="431"/>
      <c r="AW327" s="431"/>
      <c r="AX327" s="431"/>
      <c r="AY327" s="431"/>
      <c r="AZ327" s="431"/>
      <c r="BA327" s="431"/>
      <c r="BB327" s="431"/>
      <c r="BC327" s="431"/>
      <c r="BD327" s="431"/>
      <c r="BE327" s="431"/>
      <c r="BF327" s="431"/>
      <c r="BG327" s="431"/>
      <c r="BH327" s="431"/>
      <c r="BI327" s="431"/>
      <c r="BJ327" s="431"/>
      <c r="BK327" s="431"/>
      <c r="BL327" s="431"/>
      <c r="BM327" s="431"/>
      <c r="BN327" s="431"/>
      <c r="BO327" s="431"/>
      <c r="BP327" s="431"/>
      <c r="BQ327" s="431"/>
      <c r="BR327" s="431"/>
      <c r="BS327" s="431"/>
      <c r="BT327" s="431"/>
      <c r="BU327" s="431"/>
      <c r="BV327" s="431"/>
      <c r="BW327" s="431"/>
      <c r="BX327" s="431"/>
      <c r="BY327" s="431"/>
      <c r="BZ327" s="431"/>
      <c r="CA327" s="431"/>
      <c r="CB327" s="431"/>
      <c r="CC327" s="431"/>
      <c r="CD327" s="431"/>
      <c r="CE327" s="431"/>
      <c r="CF327" s="431"/>
      <c r="CG327" s="431"/>
      <c r="CH327" s="431"/>
    </row>
    <row r="328" spans="1:86" ht="15.75" customHeight="1" outlineLevel="1" x14ac:dyDescent="0.25">
      <c r="A328" s="431"/>
      <c r="B328" s="443"/>
      <c r="C328" s="397" t="s">
        <v>114</v>
      </c>
      <c r="D328" s="511"/>
      <c r="E328" s="555">
        <v>1258.4000000000001</v>
      </c>
      <c r="F328" s="559"/>
      <c r="G328" s="503"/>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431"/>
      <c r="AF328" s="431"/>
      <c r="AG328" s="431"/>
      <c r="AH328" s="431"/>
      <c r="AI328" s="431"/>
      <c r="AJ328" s="431"/>
      <c r="AK328" s="431"/>
      <c r="AL328" s="431"/>
      <c r="AM328" s="431"/>
      <c r="AN328" s="431"/>
      <c r="AO328" s="431"/>
      <c r="AP328" s="431"/>
      <c r="AQ328" s="431"/>
      <c r="AR328" s="431"/>
      <c r="AS328" s="431"/>
      <c r="AT328" s="431"/>
      <c r="AU328" s="431"/>
      <c r="AV328" s="431"/>
      <c r="AW328" s="431"/>
      <c r="AX328" s="431"/>
      <c r="AY328" s="431"/>
      <c r="AZ328" s="431"/>
      <c r="BA328" s="431"/>
      <c r="BB328" s="431"/>
      <c r="BC328" s="431"/>
      <c r="BD328" s="431"/>
      <c r="BE328" s="431"/>
      <c r="BF328" s="431"/>
      <c r="BG328" s="431"/>
      <c r="BH328" s="431"/>
      <c r="BI328" s="431"/>
      <c r="BJ328" s="431"/>
      <c r="BK328" s="431"/>
      <c r="BL328" s="431"/>
      <c r="BM328" s="431"/>
      <c r="BN328" s="431"/>
      <c r="BO328" s="431"/>
      <c r="BP328" s="431"/>
      <c r="BQ328" s="431"/>
      <c r="BR328" s="431"/>
      <c r="BS328" s="431"/>
      <c r="BT328" s="431"/>
      <c r="BU328" s="431"/>
      <c r="BV328" s="431"/>
      <c r="BW328" s="431"/>
      <c r="BX328" s="431"/>
      <c r="BY328" s="431"/>
      <c r="BZ328" s="431"/>
      <c r="CA328" s="431"/>
      <c r="CB328" s="431"/>
      <c r="CC328" s="431"/>
      <c r="CD328" s="431"/>
      <c r="CE328" s="431"/>
      <c r="CF328" s="431"/>
      <c r="CG328" s="431"/>
      <c r="CH328" s="431"/>
    </row>
    <row r="329" spans="1:86" ht="15.75" customHeight="1" outlineLevel="1" x14ac:dyDescent="0.25">
      <c r="A329" s="431"/>
      <c r="B329" s="443"/>
      <c r="C329" s="397" t="s">
        <v>115</v>
      </c>
      <c r="D329" s="511"/>
      <c r="E329" s="555">
        <v>2630.6</v>
      </c>
      <c r="F329" s="559"/>
      <c r="G329" s="503"/>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431"/>
      <c r="AF329" s="431"/>
      <c r="AG329" s="431"/>
      <c r="AH329" s="431"/>
      <c r="AI329" s="431"/>
      <c r="AJ329" s="431"/>
      <c r="AK329" s="431"/>
      <c r="AL329" s="431"/>
      <c r="AM329" s="431"/>
      <c r="AN329" s="431"/>
      <c r="AO329" s="431"/>
      <c r="AP329" s="431"/>
      <c r="AQ329" s="431"/>
      <c r="AR329" s="431"/>
      <c r="AS329" s="431"/>
      <c r="AT329" s="431"/>
      <c r="AU329" s="431"/>
      <c r="AV329" s="431"/>
      <c r="AW329" s="431"/>
      <c r="AX329" s="431"/>
      <c r="AY329" s="431"/>
      <c r="AZ329" s="431"/>
      <c r="BA329" s="431"/>
      <c r="BB329" s="431"/>
      <c r="BC329" s="431"/>
      <c r="BD329" s="431"/>
      <c r="BE329" s="431"/>
      <c r="BF329" s="431"/>
      <c r="BG329" s="431"/>
      <c r="BH329" s="431"/>
      <c r="BI329" s="431"/>
      <c r="BJ329" s="431"/>
      <c r="BK329" s="431"/>
      <c r="BL329" s="431"/>
      <c r="BM329" s="431"/>
      <c r="BN329" s="431"/>
      <c r="BO329" s="431"/>
      <c r="BP329" s="431"/>
      <c r="BQ329" s="431"/>
      <c r="BR329" s="431"/>
      <c r="BS329" s="431"/>
      <c r="BT329" s="431"/>
      <c r="BU329" s="431"/>
      <c r="BV329" s="431"/>
      <c r="BW329" s="431"/>
      <c r="BX329" s="431"/>
      <c r="BY329" s="431"/>
      <c r="BZ329" s="431"/>
      <c r="CA329" s="431"/>
      <c r="CB329" s="431"/>
      <c r="CC329" s="431"/>
      <c r="CD329" s="431"/>
      <c r="CE329" s="431"/>
      <c r="CF329" s="431"/>
      <c r="CG329" s="431"/>
      <c r="CH329" s="431"/>
    </row>
    <row r="330" spans="1:86" ht="15.75" customHeight="1" outlineLevel="1" x14ac:dyDescent="0.25">
      <c r="A330" s="431"/>
      <c r="B330" s="443"/>
      <c r="C330" s="397" t="s">
        <v>116</v>
      </c>
      <c r="D330" s="511"/>
      <c r="E330" s="555">
        <v>3189.5</v>
      </c>
      <c r="F330" s="559"/>
      <c r="G330" s="503"/>
      <c r="H330" s="431"/>
      <c r="I330" s="431"/>
      <c r="J330" s="431"/>
      <c r="K330" s="431"/>
      <c r="L330" s="431"/>
      <c r="M330" s="431"/>
      <c r="N330" s="431"/>
      <c r="O330" s="431"/>
      <c r="P330" s="431"/>
      <c r="Q330" s="431"/>
      <c r="R330" s="431"/>
      <c r="S330" s="431"/>
      <c r="T330" s="431"/>
      <c r="U330" s="431"/>
      <c r="V330" s="431"/>
      <c r="W330" s="431"/>
      <c r="X330" s="431"/>
      <c r="Y330" s="431"/>
      <c r="Z330" s="431"/>
      <c r="AA330" s="431"/>
      <c r="AB330" s="431"/>
      <c r="AC330" s="431"/>
      <c r="AD330" s="431"/>
      <c r="AE330" s="431"/>
      <c r="AF330" s="431"/>
      <c r="AG330" s="431"/>
      <c r="AH330" s="431"/>
      <c r="AI330" s="431"/>
      <c r="AJ330" s="431"/>
      <c r="AK330" s="431"/>
      <c r="AL330" s="431"/>
      <c r="AM330" s="431"/>
      <c r="AN330" s="431"/>
      <c r="AO330" s="431"/>
      <c r="AP330" s="431"/>
      <c r="AQ330" s="431"/>
      <c r="AR330" s="431"/>
      <c r="AS330" s="431"/>
      <c r="AT330" s="431"/>
      <c r="AU330" s="431"/>
      <c r="AV330" s="431"/>
      <c r="AW330" s="431"/>
      <c r="AX330" s="431"/>
      <c r="AY330" s="431"/>
      <c r="AZ330" s="431"/>
      <c r="BA330" s="431"/>
      <c r="BB330" s="431"/>
      <c r="BC330" s="431"/>
      <c r="BD330" s="431"/>
      <c r="BE330" s="431"/>
      <c r="BF330" s="431"/>
      <c r="BG330" s="431"/>
      <c r="BH330" s="431"/>
      <c r="BI330" s="431"/>
      <c r="BJ330" s="431"/>
      <c r="BK330" s="431"/>
      <c r="BL330" s="431"/>
      <c r="BM330" s="431"/>
      <c r="BN330" s="431"/>
      <c r="BO330" s="431"/>
      <c r="BP330" s="431"/>
      <c r="BQ330" s="431"/>
      <c r="BR330" s="431"/>
      <c r="BS330" s="431"/>
      <c r="BT330" s="431"/>
      <c r="BU330" s="431"/>
      <c r="BV330" s="431"/>
      <c r="BW330" s="431"/>
      <c r="BX330" s="431"/>
      <c r="BY330" s="431"/>
      <c r="BZ330" s="431"/>
      <c r="CA330" s="431"/>
      <c r="CB330" s="431"/>
      <c r="CC330" s="431"/>
      <c r="CD330" s="431"/>
      <c r="CE330" s="431"/>
      <c r="CF330" s="431"/>
      <c r="CG330" s="431"/>
      <c r="CH330" s="431"/>
    </row>
    <row r="331" spans="1:86" ht="15.75" customHeight="1" outlineLevel="1" x14ac:dyDescent="0.25">
      <c r="A331" s="431"/>
      <c r="B331" s="443"/>
      <c r="C331" s="397" t="s">
        <v>117</v>
      </c>
      <c r="D331" s="511"/>
      <c r="E331" s="555">
        <v>3142.95</v>
      </c>
      <c r="F331" s="559"/>
      <c r="G331" s="503"/>
      <c r="H331" s="431"/>
      <c r="I331" s="431"/>
      <c r="J331" s="431"/>
      <c r="K331" s="431"/>
      <c r="L331" s="431"/>
      <c r="M331" s="431"/>
      <c r="N331" s="431"/>
      <c r="O331" s="431"/>
      <c r="P331" s="431"/>
      <c r="Q331" s="431"/>
      <c r="R331" s="431"/>
      <c r="S331" s="431"/>
      <c r="T331" s="431"/>
      <c r="U331" s="431"/>
      <c r="V331" s="431"/>
      <c r="W331" s="431"/>
      <c r="X331" s="431"/>
      <c r="Y331" s="431"/>
      <c r="Z331" s="431"/>
      <c r="AA331" s="431"/>
      <c r="AB331" s="431"/>
      <c r="AC331" s="431"/>
      <c r="AD331" s="431"/>
      <c r="AE331" s="431"/>
      <c r="AF331" s="431"/>
      <c r="AG331" s="431"/>
      <c r="AH331" s="431"/>
      <c r="AI331" s="431"/>
      <c r="AJ331" s="431"/>
      <c r="AK331" s="431"/>
      <c r="AL331" s="431"/>
      <c r="AM331" s="431"/>
      <c r="AN331" s="431"/>
      <c r="AO331" s="431"/>
      <c r="AP331" s="431"/>
      <c r="AQ331" s="431"/>
      <c r="AR331" s="431"/>
      <c r="AS331" s="431"/>
      <c r="AT331" s="431"/>
      <c r="AU331" s="431"/>
      <c r="AV331" s="431"/>
      <c r="AW331" s="431"/>
      <c r="AX331" s="431"/>
      <c r="AY331" s="431"/>
      <c r="AZ331" s="431"/>
      <c r="BA331" s="431"/>
      <c r="BB331" s="431"/>
      <c r="BC331" s="431"/>
      <c r="BD331" s="431"/>
      <c r="BE331" s="431"/>
      <c r="BF331" s="431"/>
      <c r="BG331" s="431"/>
      <c r="BH331" s="431"/>
      <c r="BI331" s="431"/>
      <c r="BJ331" s="431"/>
      <c r="BK331" s="431"/>
      <c r="BL331" s="431"/>
      <c r="BM331" s="431"/>
      <c r="BN331" s="431"/>
      <c r="BO331" s="431"/>
      <c r="BP331" s="431"/>
      <c r="BQ331" s="431"/>
      <c r="BR331" s="431"/>
      <c r="BS331" s="431"/>
      <c r="BT331" s="431"/>
      <c r="BU331" s="431"/>
      <c r="BV331" s="431"/>
      <c r="BW331" s="431"/>
      <c r="BX331" s="431"/>
      <c r="BY331" s="431"/>
      <c r="BZ331" s="431"/>
      <c r="CA331" s="431"/>
      <c r="CB331" s="431"/>
      <c r="CC331" s="431"/>
      <c r="CD331" s="431"/>
      <c r="CE331" s="431"/>
      <c r="CF331" s="431"/>
      <c r="CG331" s="431"/>
      <c r="CH331" s="431"/>
    </row>
    <row r="332" spans="1:86" ht="15.75" customHeight="1" outlineLevel="1" x14ac:dyDescent="0.25">
      <c r="A332" s="431"/>
      <c r="B332" s="443"/>
      <c r="C332" s="397" t="s">
        <v>118</v>
      </c>
      <c r="D332" s="511"/>
      <c r="E332" s="555">
        <v>2525.6000000000004</v>
      </c>
      <c r="F332" s="559"/>
      <c r="G332" s="503"/>
      <c r="H332" s="431"/>
      <c r="I332" s="431"/>
      <c r="J332" s="431"/>
      <c r="K332" s="431"/>
      <c r="L332" s="431"/>
      <c r="M332" s="431"/>
      <c r="N332" s="431"/>
      <c r="O332" s="431"/>
      <c r="P332" s="431"/>
      <c r="Q332" s="431"/>
      <c r="R332" s="431"/>
      <c r="S332" s="431"/>
      <c r="T332" s="431"/>
      <c r="U332" s="431"/>
      <c r="V332" s="431"/>
      <c r="W332" s="431"/>
      <c r="X332" s="431"/>
      <c r="Y332" s="431"/>
      <c r="Z332" s="431"/>
      <c r="AA332" s="431"/>
      <c r="AB332" s="431"/>
      <c r="AC332" s="431"/>
      <c r="AD332" s="431"/>
      <c r="AE332" s="431"/>
      <c r="AF332" s="431"/>
      <c r="AG332" s="431"/>
      <c r="AH332" s="431"/>
      <c r="AI332" s="431"/>
      <c r="AJ332" s="431"/>
      <c r="AK332" s="431"/>
      <c r="AL332" s="431"/>
      <c r="AM332" s="431"/>
      <c r="AN332" s="431"/>
      <c r="AO332" s="431"/>
      <c r="AP332" s="431"/>
      <c r="AQ332" s="431"/>
      <c r="AR332" s="431"/>
      <c r="AS332" s="431"/>
      <c r="AT332" s="431"/>
      <c r="AU332" s="431"/>
      <c r="AV332" s="431"/>
      <c r="AW332" s="431"/>
      <c r="AX332" s="431"/>
      <c r="AY332" s="431"/>
      <c r="AZ332" s="431"/>
      <c r="BA332" s="431"/>
      <c r="BB332" s="431"/>
      <c r="BC332" s="431"/>
      <c r="BD332" s="431"/>
      <c r="BE332" s="431"/>
      <c r="BF332" s="431"/>
      <c r="BG332" s="431"/>
      <c r="BH332" s="431"/>
      <c r="BI332" s="431"/>
      <c r="BJ332" s="431"/>
      <c r="BK332" s="431"/>
      <c r="BL332" s="431"/>
      <c r="BM332" s="431"/>
      <c r="BN332" s="431"/>
      <c r="BO332" s="431"/>
      <c r="BP332" s="431"/>
      <c r="BQ332" s="431"/>
      <c r="BR332" s="431"/>
      <c r="BS332" s="431"/>
      <c r="BT332" s="431"/>
      <c r="BU332" s="431"/>
      <c r="BV332" s="431"/>
      <c r="BW332" s="431"/>
      <c r="BX332" s="431"/>
      <c r="BY332" s="431"/>
      <c r="BZ332" s="431"/>
      <c r="CA332" s="431"/>
      <c r="CB332" s="431"/>
      <c r="CC332" s="431"/>
      <c r="CD332" s="431"/>
      <c r="CE332" s="431"/>
      <c r="CF332" s="431"/>
      <c r="CG332" s="431"/>
      <c r="CH332" s="431"/>
    </row>
    <row r="333" spans="1:86" ht="15.75" customHeight="1" outlineLevel="1" x14ac:dyDescent="0.25">
      <c r="A333" s="431"/>
      <c r="B333" s="443"/>
      <c r="C333" s="397" t="s">
        <v>119</v>
      </c>
      <c r="D333" s="511"/>
      <c r="E333" s="555">
        <v>3084.5</v>
      </c>
      <c r="F333" s="559"/>
      <c r="G333" s="503"/>
      <c r="H333" s="431"/>
      <c r="I333" s="431"/>
      <c r="J333" s="431"/>
      <c r="K333" s="431"/>
      <c r="L333" s="431"/>
      <c r="M333" s="431"/>
      <c r="N333" s="431"/>
      <c r="O333" s="431"/>
      <c r="P333" s="431"/>
      <c r="Q333" s="431"/>
      <c r="R333" s="431"/>
      <c r="S333" s="431"/>
      <c r="T333" s="431"/>
      <c r="U333" s="431"/>
      <c r="V333" s="431"/>
      <c r="W333" s="431"/>
      <c r="X333" s="431"/>
      <c r="Y333" s="431"/>
      <c r="Z333" s="431"/>
      <c r="AA333" s="431"/>
      <c r="AB333" s="431"/>
      <c r="AC333" s="431"/>
      <c r="AD333" s="431"/>
      <c r="AE333" s="431"/>
      <c r="AF333" s="431"/>
      <c r="AG333" s="431"/>
      <c r="AH333" s="431"/>
      <c r="AI333" s="431"/>
      <c r="AJ333" s="431"/>
      <c r="AK333" s="431"/>
      <c r="AL333" s="431"/>
      <c r="AM333" s="431"/>
      <c r="AN333" s="431"/>
      <c r="AO333" s="431"/>
      <c r="AP333" s="431"/>
      <c r="AQ333" s="431"/>
      <c r="AR333" s="431"/>
      <c r="AS333" s="431"/>
      <c r="AT333" s="431"/>
      <c r="AU333" s="431"/>
      <c r="AV333" s="431"/>
      <c r="AW333" s="431"/>
      <c r="AX333" s="431"/>
      <c r="AY333" s="431"/>
      <c r="AZ333" s="431"/>
      <c r="BA333" s="431"/>
      <c r="BB333" s="431"/>
      <c r="BC333" s="431"/>
      <c r="BD333" s="431"/>
      <c r="BE333" s="431"/>
      <c r="BF333" s="431"/>
      <c r="BG333" s="431"/>
      <c r="BH333" s="431"/>
      <c r="BI333" s="431"/>
      <c r="BJ333" s="431"/>
      <c r="BK333" s="431"/>
      <c r="BL333" s="431"/>
      <c r="BM333" s="431"/>
      <c r="BN333" s="431"/>
      <c r="BO333" s="431"/>
      <c r="BP333" s="431"/>
      <c r="BQ333" s="431"/>
      <c r="BR333" s="431"/>
      <c r="BS333" s="431"/>
      <c r="BT333" s="431"/>
      <c r="BU333" s="431"/>
      <c r="BV333" s="431"/>
      <c r="BW333" s="431"/>
      <c r="BX333" s="431"/>
      <c r="BY333" s="431"/>
      <c r="BZ333" s="431"/>
      <c r="CA333" s="431"/>
      <c r="CB333" s="431"/>
      <c r="CC333" s="431"/>
      <c r="CD333" s="431"/>
      <c r="CE333" s="431"/>
      <c r="CF333" s="431"/>
      <c r="CG333" s="431"/>
      <c r="CH333" s="431"/>
    </row>
    <row r="334" spans="1:86" ht="15.75" customHeight="1" outlineLevel="1" x14ac:dyDescent="0.25">
      <c r="A334" s="431"/>
      <c r="B334" s="443"/>
      <c r="C334" s="397" t="s">
        <v>120</v>
      </c>
      <c r="D334" s="511"/>
      <c r="E334" s="555">
        <v>2725.45</v>
      </c>
      <c r="F334" s="559"/>
      <c r="G334" s="503"/>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c r="BT334" s="431"/>
      <c r="BU334" s="431"/>
      <c r="BV334" s="431"/>
      <c r="BW334" s="431"/>
      <c r="BX334" s="431"/>
      <c r="BY334" s="431"/>
      <c r="BZ334" s="431"/>
      <c r="CA334" s="431"/>
      <c r="CB334" s="431"/>
      <c r="CC334" s="431"/>
      <c r="CD334" s="431"/>
      <c r="CE334" s="431"/>
      <c r="CF334" s="431"/>
      <c r="CG334" s="431"/>
      <c r="CH334" s="431"/>
    </row>
    <row r="335" spans="1:86" ht="15.75" customHeight="1" outlineLevel="1" x14ac:dyDescent="0.25">
      <c r="A335" s="431"/>
      <c r="B335" s="443"/>
      <c r="C335" s="397" t="s">
        <v>121</v>
      </c>
      <c r="D335" s="511"/>
      <c r="E335" s="555">
        <v>2591.9899999999998</v>
      </c>
      <c r="F335" s="559"/>
      <c r="G335" s="503"/>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1"/>
      <c r="AD335" s="431"/>
      <c r="AE335" s="431"/>
      <c r="AF335" s="431"/>
      <c r="AG335" s="431"/>
      <c r="AH335" s="431"/>
      <c r="AI335" s="431"/>
      <c r="AJ335" s="431"/>
      <c r="AK335" s="431"/>
      <c r="AL335" s="431"/>
      <c r="AM335" s="431"/>
      <c r="AN335" s="431"/>
      <c r="AO335" s="431"/>
      <c r="AP335" s="431"/>
      <c r="AQ335" s="431"/>
      <c r="AR335" s="431"/>
      <c r="AS335" s="431"/>
      <c r="AT335" s="431"/>
      <c r="AU335" s="431"/>
      <c r="AV335" s="431"/>
      <c r="AW335" s="431"/>
      <c r="AX335" s="431"/>
      <c r="AY335" s="431"/>
      <c r="AZ335" s="431"/>
      <c r="BA335" s="431"/>
      <c r="BB335" s="431"/>
      <c r="BC335" s="431"/>
      <c r="BD335" s="431"/>
      <c r="BE335" s="431"/>
      <c r="BF335" s="431"/>
      <c r="BG335" s="431"/>
      <c r="BH335" s="431"/>
      <c r="BI335" s="431"/>
      <c r="BJ335" s="431"/>
      <c r="BK335" s="431"/>
      <c r="BL335" s="431"/>
      <c r="BM335" s="431"/>
      <c r="BN335" s="431"/>
      <c r="BO335" s="431"/>
      <c r="BP335" s="431"/>
      <c r="BQ335" s="431"/>
      <c r="BR335" s="431"/>
      <c r="BS335" s="431"/>
      <c r="BT335" s="431"/>
      <c r="BU335" s="431"/>
      <c r="BV335" s="431"/>
      <c r="BW335" s="431"/>
      <c r="BX335" s="431"/>
      <c r="BY335" s="431"/>
      <c r="BZ335" s="431"/>
      <c r="CA335" s="431"/>
      <c r="CB335" s="431"/>
      <c r="CC335" s="431"/>
      <c r="CD335" s="431"/>
      <c r="CE335" s="431"/>
      <c r="CF335" s="431"/>
      <c r="CG335" s="431"/>
      <c r="CH335" s="431"/>
    </row>
    <row r="336" spans="1:86" ht="15.75" customHeight="1" outlineLevel="1" x14ac:dyDescent="0.25">
      <c r="A336" s="431"/>
      <c r="B336" s="443"/>
      <c r="C336" s="397" t="s">
        <v>122</v>
      </c>
      <c r="D336" s="511"/>
      <c r="E336" s="555">
        <v>2280.25</v>
      </c>
      <c r="F336" s="559"/>
      <c r="G336" s="503"/>
      <c r="H336" s="431"/>
      <c r="I336" s="431"/>
      <c r="J336" s="431"/>
      <c r="K336" s="431"/>
      <c r="L336" s="431"/>
      <c r="M336" s="431"/>
      <c r="N336" s="431"/>
      <c r="O336" s="431"/>
      <c r="P336" s="431"/>
      <c r="Q336" s="431"/>
      <c r="R336" s="431"/>
      <c r="S336" s="431"/>
      <c r="T336" s="431"/>
      <c r="U336" s="431"/>
      <c r="V336" s="431"/>
      <c r="W336" s="431"/>
      <c r="X336" s="431"/>
      <c r="Y336" s="431"/>
      <c r="Z336" s="431"/>
      <c r="AA336" s="431"/>
      <c r="AB336" s="431"/>
      <c r="AC336" s="431"/>
      <c r="AD336" s="431"/>
      <c r="AE336" s="431"/>
      <c r="AF336" s="431"/>
      <c r="AG336" s="431"/>
      <c r="AH336" s="431"/>
      <c r="AI336" s="431"/>
      <c r="AJ336" s="431"/>
      <c r="AK336" s="431"/>
      <c r="AL336" s="431"/>
      <c r="AM336" s="431"/>
      <c r="AN336" s="431"/>
      <c r="AO336" s="431"/>
      <c r="AP336" s="431"/>
      <c r="AQ336" s="431"/>
      <c r="AR336" s="431"/>
      <c r="AS336" s="431"/>
      <c r="AT336" s="431"/>
      <c r="AU336" s="431"/>
      <c r="AV336" s="431"/>
      <c r="AW336" s="431"/>
      <c r="AX336" s="431"/>
      <c r="AY336" s="431"/>
      <c r="AZ336" s="431"/>
      <c r="BA336" s="431"/>
      <c r="BB336" s="431"/>
      <c r="BC336" s="431"/>
      <c r="BD336" s="431"/>
      <c r="BE336" s="431"/>
      <c r="BF336" s="431"/>
      <c r="BG336" s="431"/>
      <c r="BH336" s="431"/>
      <c r="BI336" s="431"/>
      <c r="BJ336" s="431"/>
      <c r="BK336" s="431"/>
      <c r="BL336" s="431"/>
      <c r="BM336" s="431"/>
      <c r="BN336" s="431"/>
      <c r="BO336" s="431"/>
      <c r="BP336" s="431"/>
      <c r="BQ336" s="431"/>
      <c r="BR336" s="431"/>
      <c r="BS336" s="431"/>
      <c r="BT336" s="431"/>
      <c r="BU336" s="431"/>
      <c r="BV336" s="431"/>
      <c r="BW336" s="431"/>
      <c r="BX336" s="431"/>
      <c r="BY336" s="431"/>
      <c r="BZ336" s="431"/>
      <c r="CA336" s="431"/>
      <c r="CB336" s="431"/>
      <c r="CC336" s="431"/>
      <c r="CD336" s="431"/>
      <c r="CE336" s="431"/>
      <c r="CF336" s="431"/>
      <c r="CG336" s="431"/>
      <c r="CH336" s="431"/>
    </row>
    <row r="337" spans="1:86" ht="15.75" customHeight="1" outlineLevel="1" x14ac:dyDescent="0.25">
      <c r="A337" s="431"/>
      <c r="B337" s="443"/>
      <c r="C337" s="397" t="s">
        <v>123</v>
      </c>
      <c r="D337" s="511"/>
      <c r="E337" s="555">
        <v>2439.6</v>
      </c>
      <c r="F337" s="559"/>
      <c r="G337" s="503"/>
      <c r="H337" s="431"/>
      <c r="I337" s="431"/>
      <c r="J337" s="431"/>
      <c r="K337" s="431"/>
      <c r="L337" s="431"/>
      <c r="M337" s="431"/>
      <c r="N337" s="431"/>
      <c r="O337" s="431"/>
      <c r="P337" s="431"/>
      <c r="Q337" s="431"/>
      <c r="R337" s="431"/>
      <c r="S337" s="431"/>
      <c r="T337" s="431"/>
      <c r="U337" s="431"/>
      <c r="V337" s="431"/>
      <c r="W337" s="431"/>
      <c r="X337" s="431"/>
      <c r="Y337" s="431"/>
      <c r="Z337" s="431"/>
      <c r="AA337" s="431"/>
      <c r="AB337" s="431"/>
      <c r="AC337" s="431"/>
      <c r="AD337" s="431"/>
      <c r="AE337" s="431"/>
      <c r="AF337" s="431"/>
      <c r="AG337" s="431"/>
      <c r="AH337" s="431"/>
      <c r="AI337" s="431"/>
      <c r="AJ337" s="431"/>
      <c r="AK337" s="431"/>
      <c r="AL337" s="431"/>
      <c r="AM337" s="431"/>
      <c r="AN337" s="431"/>
      <c r="AO337" s="431"/>
      <c r="AP337" s="431"/>
      <c r="AQ337" s="431"/>
      <c r="AR337" s="431"/>
      <c r="AS337" s="431"/>
      <c r="AT337" s="431"/>
      <c r="AU337" s="431"/>
      <c r="AV337" s="431"/>
      <c r="AW337" s="431"/>
      <c r="AX337" s="431"/>
      <c r="AY337" s="431"/>
      <c r="AZ337" s="431"/>
      <c r="BA337" s="431"/>
      <c r="BB337" s="431"/>
      <c r="BC337" s="431"/>
      <c r="BD337" s="431"/>
      <c r="BE337" s="431"/>
      <c r="BF337" s="431"/>
      <c r="BG337" s="431"/>
      <c r="BH337" s="431"/>
      <c r="BI337" s="431"/>
      <c r="BJ337" s="431"/>
      <c r="BK337" s="431"/>
      <c r="BL337" s="431"/>
      <c r="BM337" s="431"/>
      <c r="BN337" s="431"/>
      <c r="BO337" s="431"/>
      <c r="BP337" s="431"/>
      <c r="BQ337" s="431"/>
      <c r="BR337" s="431"/>
      <c r="BS337" s="431"/>
      <c r="BT337" s="431"/>
      <c r="BU337" s="431"/>
      <c r="BV337" s="431"/>
      <c r="BW337" s="431"/>
      <c r="BX337" s="431"/>
      <c r="BY337" s="431"/>
      <c r="BZ337" s="431"/>
      <c r="CA337" s="431"/>
      <c r="CB337" s="431"/>
      <c r="CC337" s="431"/>
      <c r="CD337" s="431"/>
      <c r="CE337" s="431"/>
      <c r="CF337" s="431"/>
      <c r="CG337" s="431"/>
      <c r="CH337" s="431"/>
    </row>
    <row r="338" spans="1:86" ht="15.75" customHeight="1" outlineLevel="1" x14ac:dyDescent="0.25">
      <c r="A338" s="431"/>
      <c r="B338" s="443"/>
      <c r="C338" s="397" t="s">
        <v>124</v>
      </c>
      <c r="D338" s="511"/>
      <c r="E338" s="555">
        <v>1505.125</v>
      </c>
      <c r="F338" s="559"/>
      <c r="G338" s="503"/>
      <c r="H338" s="431"/>
      <c r="I338" s="431"/>
      <c r="J338" s="431"/>
      <c r="K338" s="431"/>
      <c r="L338" s="431"/>
      <c r="M338" s="431"/>
      <c r="N338" s="431"/>
      <c r="O338" s="431"/>
      <c r="P338" s="431"/>
      <c r="Q338" s="431"/>
      <c r="R338" s="431"/>
      <c r="S338" s="431"/>
      <c r="T338" s="431"/>
      <c r="U338" s="431"/>
      <c r="V338" s="431"/>
      <c r="W338" s="431"/>
      <c r="X338" s="431"/>
      <c r="Y338" s="431"/>
      <c r="Z338" s="431"/>
      <c r="AA338" s="431"/>
      <c r="AB338" s="431"/>
      <c r="AC338" s="431"/>
      <c r="AD338" s="431"/>
      <c r="AE338" s="431"/>
      <c r="AF338" s="431"/>
      <c r="AG338" s="431"/>
      <c r="AH338" s="431"/>
      <c r="AI338" s="431"/>
      <c r="AJ338" s="431"/>
      <c r="AK338" s="431"/>
      <c r="AL338" s="431"/>
      <c r="AM338" s="431"/>
      <c r="AN338" s="431"/>
      <c r="AO338" s="431"/>
      <c r="AP338" s="431"/>
      <c r="AQ338" s="431"/>
      <c r="AR338" s="431"/>
      <c r="AS338" s="431"/>
      <c r="AT338" s="431"/>
      <c r="AU338" s="431"/>
      <c r="AV338" s="431"/>
      <c r="AW338" s="431"/>
      <c r="AX338" s="431"/>
      <c r="AY338" s="431"/>
      <c r="AZ338" s="431"/>
      <c r="BA338" s="431"/>
      <c r="BB338" s="431"/>
      <c r="BC338" s="431"/>
      <c r="BD338" s="431"/>
      <c r="BE338" s="431"/>
      <c r="BF338" s="431"/>
      <c r="BG338" s="431"/>
      <c r="BH338" s="431"/>
      <c r="BI338" s="431"/>
      <c r="BJ338" s="431"/>
      <c r="BK338" s="431"/>
      <c r="BL338" s="431"/>
      <c r="BM338" s="431"/>
      <c r="BN338" s="431"/>
      <c r="BO338" s="431"/>
      <c r="BP338" s="431"/>
      <c r="BQ338" s="431"/>
      <c r="BR338" s="431"/>
      <c r="BS338" s="431"/>
      <c r="BT338" s="431"/>
      <c r="BU338" s="431"/>
      <c r="BV338" s="431"/>
      <c r="BW338" s="431"/>
      <c r="BX338" s="431"/>
      <c r="BY338" s="431"/>
      <c r="BZ338" s="431"/>
      <c r="CA338" s="431"/>
      <c r="CB338" s="431"/>
      <c r="CC338" s="431"/>
      <c r="CD338" s="431"/>
      <c r="CE338" s="431"/>
      <c r="CF338" s="431"/>
      <c r="CG338" s="431"/>
      <c r="CH338" s="431"/>
    </row>
    <row r="339" spans="1:86" ht="15.75" customHeight="1" outlineLevel="1" x14ac:dyDescent="0.25">
      <c r="A339" s="431"/>
      <c r="B339" s="443"/>
      <c r="C339" s="397" t="s">
        <v>125</v>
      </c>
      <c r="D339" s="511"/>
      <c r="E339" s="555">
        <v>1508.4</v>
      </c>
      <c r="F339" s="559"/>
      <c r="G339" s="503"/>
      <c r="H339" s="431"/>
      <c r="I339" s="431"/>
      <c r="J339" s="431"/>
      <c r="K339" s="431"/>
      <c r="L339" s="431"/>
      <c r="M339" s="431"/>
      <c r="N339" s="431"/>
      <c r="O339" s="431"/>
      <c r="P339" s="431"/>
      <c r="Q339" s="431"/>
      <c r="R339" s="431"/>
      <c r="S339" s="431"/>
      <c r="T339" s="431"/>
      <c r="U339" s="431"/>
      <c r="V339" s="431"/>
      <c r="W339" s="431"/>
      <c r="X339" s="431"/>
      <c r="Y339" s="431"/>
      <c r="Z339" s="431"/>
      <c r="AA339" s="431"/>
      <c r="AB339" s="431"/>
      <c r="AC339" s="431"/>
      <c r="AD339" s="431"/>
      <c r="AE339" s="431"/>
      <c r="AF339" s="431"/>
      <c r="AG339" s="431"/>
      <c r="AH339" s="431"/>
      <c r="AI339" s="431"/>
      <c r="AJ339" s="431"/>
      <c r="AK339" s="431"/>
      <c r="AL339" s="431"/>
      <c r="AM339" s="431"/>
      <c r="AN339" s="431"/>
      <c r="AO339" s="431"/>
      <c r="AP339" s="431"/>
      <c r="AQ339" s="431"/>
      <c r="AR339" s="431"/>
      <c r="AS339" s="431"/>
      <c r="AT339" s="431"/>
      <c r="AU339" s="431"/>
      <c r="AV339" s="431"/>
      <c r="AW339" s="431"/>
      <c r="AX339" s="431"/>
      <c r="AY339" s="431"/>
      <c r="AZ339" s="431"/>
      <c r="BA339" s="431"/>
      <c r="BB339" s="431"/>
      <c r="BC339" s="431"/>
      <c r="BD339" s="431"/>
      <c r="BE339" s="431"/>
      <c r="BF339" s="431"/>
      <c r="BG339" s="431"/>
      <c r="BH339" s="431"/>
      <c r="BI339" s="431"/>
      <c r="BJ339" s="431"/>
      <c r="BK339" s="431"/>
      <c r="BL339" s="431"/>
      <c r="BM339" s="431"/>
      <c r="BN339" s="431"/>
      <c r="BO339" s="431"/>
      <c r="BP339" s="431"/>
      <c r="BQ339" s="431"/>
      <c r="BR339" s="431"/>
      <c r="BS339" s="431"/>
      <c r="BT339" s="431"/>
      <c r="BU339" s="431"/>
      <c r="BV339" s="431"/>
      <c r="BW339" s="431"/>
      <c r="BX339" s="431"/>
      <c r="BY339" s="431"/>
      <c r="BZ339" s="431"/>
      <c r="CA339" s="431"/>
      <c r="CB339" s="431"/>
      <c r="CC339" s="431"/>
      <c r="CD339" s="431"/>
      <c r="CE339" s="431"/>
      <c r="CF339" s="431"/>
      <c r="CG339" s="431"/>
      <c r="CH339" s="431"/>
    </row>
    <row r="340" spans="1:86" ht="15.75" customHeight="1" outlineLevel="1" x14ac:dyDescent="0.25">
      <c r="A340" s="431"/>
      <c r="B340" s="443"/>
      <c r="C340" s="397" t="s">
        <v>126</v>
      </c>
      <c r="D340" s="511"/>
      <c r="E340" s="555">
        <v>2138.25</v>
      </c>
      <c r="F340" s="559"/>
      <c r="G340" s="503"/>
      <c r="H340" s="431"/>
      <c r="I340" s="431"/>
      <c r="J340" s="431"/>
      <c r="K340" s="431"/>
      <c r="L340" s="431"/>
      <c r="M340" s="431"/>
      <c r="N340" s="431"/>
      <c r="O340" s="431"/>
      <c r="P340" s="431"/>
      <c r="Q340" s="431"/>
      <c r="R340" s="431"/>
      <c r="S340" s="431"/>
      <c r="T340" s="431"/>
      <c r="U340" s="431"/>
      <c r="V340" s="431"/>
      <c r="W340" s="431"/>
      <c r="X340" s="431"/>
      <c r="Y340" s="431"/>
      <c r="Z340" s="431"/>
      <c r="AA340" s="431"/>
      <c r="AB340" s="431"/>
      <c r="AC340" s="431"/>
      <c r="AD340" s="431"/>
      <c r="AE340" s="431"/>
      <c r="AF340" s="431"/>
      <c r="AG340" s="431"/>
      <c r="AH340" s="431"/>
      <c r="AI340" s="431"/>
      <c r="AJ340" s="431"/>
      <c r="AK340" s="431"/>
      <c r="AL340" s="431"/>
      <c r="AM340" s="431"/>
      <c r="AN340" s="431"/>
      <c r="AO340" s="431"/>
      <c r="AP340" s="431"/>
      <c r="AQ340" s="431"/>
      <c r="AR340" s="431"/>
      <c r="AS340" s="431"/>
      <c r="AT340" s="431"/>
      <c r="AU340" s="431"/>
      <c r="AV340" s="431"/>
      <c r="AW340" s="431"/>
      <c r="AX340" s="431"/>
      <c r="AY340" s="431"/>
      <c r="AZ340" s="431"/>
      <c r="BA340" s="431"/>
      <c r="BB340" s="431"/>
      <c r="BC340" s="431"/>
      <c r="BD340" s="431"/>
      <c r="BE340" s="431"/>
      <c r="BF340" s="431"/>
      <c r="BG340" s="431"/>
      <c r="BH340" s="431"/>
      <c r="BI340" s="431"/>
      <c r="BJ340" s="431"/>
      <c r="BK340" s="431"/>
      <c r="BL340" s="431"/>
      <c r="BM340" s="431"/>
      <c r="BN340" s="431"/>
      <c r="BO340" s="431"/>
      <c r="BP340" s="431"/>
      <c r="BQ340" s="431"/>
      <c r="BR340" s="431"/>
      <c r="BS340" s="431"/>
      <c r="BT340" s="431"/>
      <c r="BU340" s="431"/>
      <c r="BV340" s="431"/>
      <c r="BW340" s="431"/>
      <c r="BX340" s="431"/>
      <c r="BY340" s="431"/>
      <c r="BZ340" s="431"/>
      <c r="CA340" s="431"/>
      <c r="CB340" s="431"/>
      <c r="CC340" s="431"/>
      <c r="CD340" s="431"/>
      <c r="CE340" s="431"/>
      <c r="CF340" s="431"/>
      <c r="CG340" s="431"/>
      <c r="CH340" s="431"/>
    </row>
    <row r="341" spans="1:86" ht="15.75" customHeight="1" outlineLevel="1" x14ac:dyDescent="0.25">
      <c r="A341" s="431"/>
      <c r="B341" s="443"/>
      <c r="C341" s="397" t="s">
        <v>127</v>
      </c>
      <c r="D341" s="511"/>
      <c r="E341" s="555">
        <v>3606.5</v>
      </c>
      <c r="F341" s="559"/>
      <c r="G341" s="503"/>
      <c r="H341" s="431"/>
      <c r="I341" s="431"/>
      <c r="J341" s="431"/>
      <c r="K341" s="431"/>
      <c r="L341" s="431"/>
      <c r="M341" s="431"/>
      <c r="N341" s="431"/>
      <c r="O341" s="431"/>
      <c r="P341" s="431"/>
      <c r="Q341" s="431"/>
      <c r="R341" s="431"/>
      <c r="S341" s="431"/>
      <c r="T341" s="431"/>
      <c r="U341" s="431"/>
      <c r="V341" s="431"/>
      <c r="W341" s="431"/>
      <c r="X341" s="431"/>
      <c r="Y341" s="431"/>
      <c r="Z341" s="431"/>
      <c r="AA341" s="431"/>
      <c r="AB341" s="431"/>
      <c r="AC341" s="431"/>
      <c r="AD341" s="431"/>
      <c r="AE341" s="431"/>
      <c r="AF341" s="431"/>
      <c r="AG341" s="431"/>
      <c r="AH341" s="431"/>
      <c r="AI341" s="431"/>
      <c r="AJ341" s="431"/>
      <c r="AK341" s="431"/>
      <c r="AL341" s="431"/>
      <c r="AM341" s="431"/>
      <c r="AN341" s="431"/>
      <c r="AO341" s="431"/>
      <c r="AP341" s="431"/>
      <c r="AQ341" s="431"/>
      <c r="AR341" s="431"/>
      <c r="AS341" s="431"/>
      <c r="AT341" s="431"/>
      <c r="AU341" s="431"/>
      <c r="AV341" s="431"/>
      <c r="AW341" s="431"/>
      <c r="AX341" s="431"/>
      <c r="AY341" s="431"/>
      <c r="AZ341" s="431"/>
      <c r="BA341" s="431"/>
      <c r="BB341" s="431"/>
      <c r="BC341" s="431"/>
      <c r="BD341" s="431"/>
      <c r="BE341" s="431"/>
      <c r="BF341" s="431"/>
      <c r="BG341" s="431"/>
      <c r="BH341" s="431"/>
      <c r="BI341" s="431"/>
      <c r="BJ341" s="431"/>
      <c r="BK341" s="431"/>
      <c r="BL341" s="431"/>
      <c r="BM341" s="431"/>
      <c r="BN341" s="431"/>
      <c r="BO341" s="431"/>
      <c r="BP341" s="431"/>
      <c r="BQ341" s="431"/>
      <c r="BR341" s="431"/>
      <c r="BS341" s="431"/>
      <c r="BT341" s="431"/>
      <c r="BU341" s="431"/>
      <c r="BV341" s="431"/>
      <c r="BW341" s="431"/>
      <c r="BX341" s="431"/>
      <c r="BY341" s="431"/>
      <c r="BZ341" s="431"/>
      <c r="CA341" s="431"/>
      <c r="CB341" s="431"/>
      <c r="CC341" s="431"/>
      <c r="CD341" s="431"/>
      <c r="CE341" s="431"/>
      <c r="CF341" s="431"/>
      <c r="CG341" s="431"/>
      <c r="CH341" s="431"/>
    </row>
    <row r="342" spans="1:86" ht="15.75" customHeight="1" outlineLevel="1" x14ac:dyDescent="0.25">
      <c r="A342" s="431"/>
      <c r="B342" s="443"/>
      <c r="C342" s="397" t="s">
        <v>128</v>
      </c>
      <c r="D342" s="511"/>
      <c r="E342" s="555">
        <v>12.4</v>
      </c>
      <c r="F342" s="559"/>
      <c r="G342" s="503"/>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431"/>
      <c r="AE342" s="431"/>
      <c r="AF342" s="431"/>
      <c r="AG342" s="431"/>
      <c r="AH342" s="431"/>
      <c r="AI342" s="431"/>
      <c r="AJ342" s="431"/>
      <c r="AK342" s="431"/>
      <c r="AL342" s="431"/>
      <c r="AM342" s="431"/>
      <c r="AN342" s="431"/>
      <c r="AO342" s="431"/>
      <c r="AP342" s="431"/>
      <c r="AQ342" s="431"/>
      <c r="AR342" s="431"/>
      <c r="AS342" s="431"/>
      <c r="AT342" s="431"/>
      <c r="AU342" s="431"/>
      <c r="AV342" s="431"/>
      <c r="AW342" s="431"/>
      <c r="AX342" s="431"/>
      <c r="AY342" s="431"/>
      <c r="AZ342" s="431"/>
      <c r="BA342" s="431"/>
      <c r="BB342" s="431"/>
      <c r="BC342" s="431"/>
      <c r="BD342" s="431"/>
      <c r="BE342" s="431"/>
      <c r="BF342" s="431"/>
      <c r="BG342" s="431"/>
      <c r="BH342" s="431"/>
      <c r="BI342" s="431"/>
      <c r="BJ342" s="431"/>
      <c r="BK342" s="431"/>
      <c r="BL342" s="431"/>
      <c r="BM342" s="431"/>
      <c r="BN342" s="431"/>
      <c r="BO342" s="431"/>
      <c r="BP342" s="431"/>
      <c r="BQ342" s="431"/>
      <c r="BR342" s="431"/>
      <c r="BS342" s="431"/>
      <c r="BT342" s="431"/>
      <c r="BU342" s="431"/>
      <c r="BV342" s="431"/>
      <c r="BW342" s="431"/>
      <c r="BX342" s="431"/>
      <c r="BY342" s="431"/>
      <c r="BZ342" s="431"/>
      <c r="CA342" s="431"/>
      <c r="CB342" s="431"/>
      <c r="CC342" s="431"/>
      <c r="CD342" s="431"/>
      <c r="CE342" s="431"/>
      <c r="CF342" s="431"/>
      <c r="CG342" s="431"/>
      <c r="CH342" s="431"/>
    </row>
    <row r="343" spans="1:86" ht="15.75" customHeight="1" outlineLevel="1" x14ac:dyDescent="0.25">
      <c r="A343" s="431"/>
      <c r="B343" s="443"/>
      <c r="C343" s="397" t="s">
        <v>129</v>
      </c>
      <c r="D343" s="511"/>
      <c r="E343" s="555">
        <v>94.24</v>
      </c>
      <c r="F343" s="559"/>
      <c r="G343" s="503"/>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1"/>
      <c r="AD343" s="431"/>
      <c r="AE343" s="431"/>
      <c r="AF343" s="431"/>
      <c r="AG343" s="431"/>
      <c r="AH343" s="431"/>
      <c r="AI343" s="431"/>
      <c r="AJ343" s="431"/>
      <c r="AK343" s="431"/>
      <c r="AL343" s="431"/>
      <c r="AM343" s="431"/>
      <c r="AN343" s="431"/>
      <c r="AO343" s="431"/>
      <c r="AP343" s="431"/>
      <c r="AQ343" s="431"/>
      <c r="AR343" s="431"/>
      <c r="AS343" s="431"/>
      <c r="AT343" s="431"/>
      <c r="AU343" s="431"/>
      <c r="AV343" s="431"/>
      <c r="AW343" s="431"/>
      <c r="AX343" s="431"/>
      <c r="AY343" s="431"/>
      <c r="AZ343" s="431"/>
      <c r="BA343" s="431"/>
      <c r="BB343" s="431"/>
      <c r="BC343" s="431"/>
      <c r="BD343" s="431"/>
      <c r="BE343" s="431"/>
      <c r="BF343" s="431"/>
      <c r="BG343" s="431"/>
      <c r="BH343" s="431"/>
      <c r="BI343" s="431"/>
      <c r="BJ343" s="431"/>
      <c r="BK343" s="431"/>
      <c r="BL343" s="431"/>
      <c r="BM343" s="431"/>
      <c r="BN343" s="431"/>
      <c r="BO343" s="431"/>
      <c r="BP343" s="431"/>
      <c r="BQ343" s="431"/>
      <c r="BR343" s="431"/>
      <c r="BS343" s="431"/>
      <c r="BT343" s="431"/>
      <c r="BU343" s="431"/>
      <c r="BV343" s="431"/>
      <c r="BW343" s="431"/>
      <c r="BX343" s="431"/>
      <c r="BY343" s="431"/>
      <c r="BZ343" s="431"/>
      <c r="CA343" s="431"/>
      <c r="CB343" s="431"/>
      <c r="CC343" s="431"/>
      <c r="CD343" s="431"/>
      <c r="CE343" s="431"/>
      <c r="CF343" s="431"/>
      <c r="CG343" s="431"/>
      <c r="CH343" s="431"/>
    </row>
    <row r="344" spans="1:86" ht="15.75" customHeight="1" outlineLevel="1" x14ac:dyDescent="0.25">
      <c r="A344" s="431"/>
      <c r="B344" s="443"/>
      <c r="C344" s="397" t="s">
        <v>130</v>
      </c>
      <c r="D344" s="511"/>
      <c r="E344" s="555">
        <v>35.96</v>
      </c>
      <c r="F344" s="559"/>
      <c r="G344" s="503"/>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431"/>
      <c r="AF344" s="431"/>
      <c r="AG344" s="431"/>
      <c r="AH344" s="431"/>
      <c r="AI344" s="431"/>
      <c r="AJ344" s="431"/>
      <c r="AK344" s="431"/>
      <c r="AL344" s="431"/>
      <c r="AM344" s="431"/>
      <c r="AN344" s="431"/>
      <c r="AO344" s="431"/>
      <c r="AP344" s="431"/>
      <c r="AQ344" s="431"/>
      <c r="AR344" s="431"/>
      <c r="AS344" s="431"/>
      <c r="AT344" s="431"/>
      <c r="AU344" s="431"/>
      <c r="AV344" s="431"/>
      <c r="AW344" s="431"/>
      <c r="AX344" s="431"/>
      <c r="AY344" s="431"/>
      <c r="AZ344" s="431"/>
      <c r="BA344" s="431"/>
      <c r="BB344" s="431"/>
      <c r="BC344" s="431"/>
      <c r="BD344" s="431"/>
      <c r="BE344" s="431"/>
      <c r="BF344" s="431"/>
      <c r="BG344" s="431"/>
      <c r="BH344" s="431"/>
      <c r="BI344" s="431"/>
      <c r="BJ344" s="431"/>
      <c r="BK344" s="431"/>
      <c r="BL344" s="431"/>
      <c r="BM344" s="431"/>
      <c r="BN344" s="431"/>
      <c r="BO344" s="431"/>
      <c r="BP344" s="431"/>
      <c r="BQ344" s="431"/>
      <c r="BR344" s="431"/>
      <c r="BS344" s="431"/>
      <c r="BT344" s="431"/>
      <c r="BU344" s="431"/>
      <c r="BV344" s="431"/>
      <c r="BW344" s="431"/>
      <c r="BX344" s="431"/>
      <c r="BY344" s="431"/>
      <c r="BZ344" s="431"/>
      <c r="CA344" s="431"/>
      <c r="CB344" s="431"/>
      <c r="CC344" s="431"/>
      <c r="CD344" s="431"/>
      <c r="CE344" s="431"/>
      <c r="CF344" s="431"/>
      <c r="CG344" s="431"/>
      <c r="CH344" s="431"/>
    </row>
    <row r="345" spans="1:86" ht="15.75" customHeight="1" outlineLevel="1" x14ac:dyDescent="0.25">
      <c r="A345" s="431"/>
      <c r="B345" s="443"/>
      <c r="C345" s="397" t="s">
        <v>131</v>
      </c>
      <c r="D345" s="511"/>
      <c r="E345" s="555">
        <v>0</v>
      </c>
      <c r="F345" s="559"/>
      <c r="G345" s="503"/>
      <c r="H345" s="431"/>
      <c r="I345" s="431"/>
      <c r="J345" s="431"/>
      <c r="K345" s="431"/>
      <c r="L345" s="431"/>
      <c r="M345" s="431"/>
      <c r="N345" s="431"/>
      <c r="O345" s="431"/>
      <c r="P345" s="431"/>
      <c r="Q345" s="431"/>
      <c r="R345" s="431"/>
      <c r="S345" s="431"/>
      <c r="T345" s="431"/>
      <c r="U345" s="431"/>
      <c r="V345" s="431"/>
      <c r="W345" s="431"/>
      <c r="X345" s="431"/>
      <c r="Y345" s="431"/>
      <c r="Z345" s="431"/>
      <c r="AA345" s="431"/>
      <c r="AB345" s="431"/>
      <c r="AC345" s="431"/>
      <c r="AD345" s="431"/>
      <c r="AE345" s="431"/>
      <c r="AF345" s="431"/>
      <c r="AG345" s="431"/>
      <c r="AH345" s="431"/>
      <c r="AI345" s="431"/>
      <c r="AJ345" s="431"/>
      <c r="AK345" s="431"/>
      <c r="AL345" s="431"/>
      <c r="AM345" s="431"/>
      <c r="AN345" s="431"/>
      <c r="AO345" s="431"/>
      <c r="AP345" s="431"/>
      <c r="AQ345" s="431"/>
      <c r="AR345" s="431"/>
      <c r="AS345" s="431"/>
      <c r="AT345" s="431"/>
      <c r="AU345" s="431"/>
      <c r="AV345" s="431"/>
      <c r="AW345" s="431"/>
      <c r="AX345" s="431"/>
      <c r="AY345" s="431"/>
      <c r="AZ345" s="431"/>
      <c r="BA345" s="431"/>
      <c r="BB345" s="431"/>
      <c r="BC345" s="431"/>
      <c r="BD345" s="431"/>
      <c r="BE345" s="431"/>
      <c r="BF345" s="431"/>
      <c r="BG345" s="431"/>
      <c r="BH345" s="431"/>
      <c r="BI345" s="431"/>
      <c r="BJ345" s="431"/>
      <c r="BK345" s="431"/>
      <c r="BL345" s="431"/>
      <c r="BM345" s="431"/>
      <c r="BN345" s="431"/>
      <c r="BO345" s="431"/>
      <c r="BP345" s="431"/>
      <c r="BQ345" s="431"/>
      <c r="BR345" s="431"/>
      <c r="BS345" s="431"/>
      <c r="BT345" s="431"/>
      <c r="BU345" s="431"/>
      <c r="BV345" s="431"/>
      <c r="BW345" s="431"/>
      <c r="BX345" s="431"/>
      <c r="BY345" s="431"/>
      <c r="BZ345" s="431"/>
      <c r="CA345" s="431"/>
      <c r="CB345" s="431"/>
      <c r="CC345" s="431"/>
      <c r="CD345" s="431"/>
      <c r="CE345" s="431"/>
      <c r="CF345" s="431"/>
      <c r="CG345" s="431"/>
      <c r="CH345" s="431"/>
    </row>
    <row r="346" spans="1:86" ht="15.75" customHeight="1" outlineLevel="1" x14ac:dyDescent="0.25">
      <c r="A346" s="431"/>
      <c r="B346" s="443"/>
      <c r="C346" s="397" t="s">
        <v>132</v>
      </c>
      <c r="D346" s="511"/>
      <c r="E346" s="555">
        <v>0</v>
      </c>
      <c r="F346" s="559"/>
      <c r="G346" s="503"/>
      <c r="H346" s="431"/>
      <c r="I346" s="431"/>
      <c r="J346" s="431"/>
      <c r="K346" s="431"/>
      <c r="L346" s="431"/>
      <c r="M346" s="431"/>
      <c r="N346" s="431"/>
      <c r="O346" s="431"/>
      <c r="P346" s="431"/>
      <c r="Q346" s="431"/>
      <c r="R346" s="431"/>
      <c r="S346" s="431"/>
      <c r="T346" s="431"/>
      <c r="U346" s="431"/>
      <c r="V346" s="431"/>
      <c r="W346" s="431"/>
      <c r="X346" s="431"/>
      <c r="Y346" s="431"/>
      <c r="Z346" s="431"/>
      <c r="AA346" s="431"/>
      <c r="AB346" s="431"/>
      <c r="AC346" s="431"/>
      <c r="AD346" s="431"/>
      <c r="AE346" s="431"/>
      <c r="AF346" s="431"/>
      <c r="AG346" s="431"/>
      <c r="AH346" s="431"/>
      <c r="AI346" s="431"/>
      <c r="AJ346" s="431"/>
      <c r="AK346" s="431"/>
      <c r="AL346" s="431"/>
      <c r="AM346" s="431"/>
      <c r="AN346" s="431"/>
      <c r="AO346" s="431"/>
      <c r="AP346" s="431"/>
      <c r="AQ346" s="431"/>
      <c r="AR346" s="431"/>
      <c r="AS346" s="431"/>
      <c r="AT346" s="431"/>
      <c r="AU346" s="431"/>
      <c r="AV346" s="431"/>
      <c r="AW346" s="431"/>
      <c r="AX346" s="431"/>
      <c r="AY346" s="431"/>
      <c r="AZ346" s="431"/>
      <c r="BA346" s="431"/>
      <c r="BB346" s="431"/>
      <c r="BC346" s="431"/>
      <c r="BD346" s="431"/>
      <c r="BE346" s="431"/>
      <c r="BF346" s="431"/>
      <c r="BG346" s="431"/>
      <c r="BH346" s="431"/>
      <c r="BI346" s="431"/>
      <c r="BJ346" s="431"/>
      <c r="BK346" s="431"/>
      <c r="BL346" s="431"/>
      <c r="BM346" s="431"/>
      <c r="BN346" s="431"/>
      <c r="BO346" s="431"/>
      <c r="BP346" s="431"/>
      <c r="BQ346" s="431"/>
      <c r="BR346" s="431"/>
      <c r="BS346" s="431"/>
      <c r="BT346" s="431"/>
      <c r="BU346" s="431"/>
      <c r="BV346" s="431"/>
      <c r="BW346" s="431"/>
      <c r="BX346" s="431"/>
      <c r="BY346" s="431"/>
      <c r="BZ346" s="431"/>
      <c r="CA346" s="431"/>
      <c r="CB346" s="431"/>
      <c r="CC346" s="431"/>
      <c r="CD346" s="431"/>
      <c r="CE346" s="431"/>
      <c r="CF346" s="431"/>
      <c r="CG346" s="431"/>
      <c r="CH346" s="431"/>
    </row>
    <row r="347" spans="1:86" ht="15.75" customHeight="1" outlineLevel="1" x14ac:dyDescent="0.25">
      <c r="A347" s="431"/>
      <c r="B347" s="443"/>
      <c r="C347" s="397" t="s">
        <v>133</v>
      </c>
      <c r="D347" s="511"/>
      <c r="E347" s="555">
        <v>3245.4</v>
      </c>
      <c r="F347" s="559"/>
      <c r="G347" s="503"/>
      <c r="H347" s="431"/>
      <c r="I347" s="431"/>
      <c r="J347" s="431"/>
      <c r="K347" s="431"/>
      <c r="L347" s="431"/>
      <c r="M347" s="431"/>
      <c r="N347" s="431"/>
      <c r="O347" s="431"/>
      <c r="P347" s="431"/>
      <c r="Q347" s="431"/>
      <c r="R347" s="431"/>
      <c r="S347" s="431"/>
      <c r="T347" s="431"/>
      <c r="U347" s="431"/>
      <c r="V347" s="431"/>
      <c r="W347" s="431"/>
      <c r="X347" s="431"/>
      <c r="Y347" s="431"/>
      <c r="Z347" s="431"/>
      <c r="AA347" s="431"/>
      <c r="AB347" s="431"/>
      <c r="AC347" s="431"/>
      <c r="AD347" s="431"/>
      <c r="AE347" s="431"/>
      <c r="AF347" s="431"/>
      <c r="AG347" s="431"/>
      <c r="AH347" s="431"/>
      <c r="AI347" s="431"/>
      <c r="AJ347" s="431"/>
      <c r="AK347" s="431"/>
      <c r="AL347" s="431"/>
      <c r="AM347" s="431"/>
      <c r="AN347" s="431"/>
      <c r="AO347" s="431"/>
      <c r="AP347" s="431"/>
      <c r="AQ347" s="431"/>
      <c r="AR347" s="431"/>
      <c r="AS347" s="431"/>
      <c r="AT347" s="431"/>
      <c r="AU347" s="431"/>
      <c r="AV347" s="431"/>
      <c r="AW347" s="431"/>
      <c r="AX347" s="431"/>
      <c r="AY347" s="431"/>
      <c r="AZ347" s="431"/>
      <c r="BA347" s="431"/>
      <c r="BB347" s="431"/>
      <c r="BC347" s="431"/>
      <c r="BD347" s="431"/>
      <c r="BE347" s="431"/>
      <c r="BF347" s="431"/>
      <c r="BG347" s="431"/>
      <c r="BH347" s="431"/>
      <c r="BI347" s="431"/>
      <c r="BJ347" s="431"/>
      <c r="BK347" s="431"/>
      <c r="BL347" s="431"/>
      <c r="BM347" s="431"/>
      <c r="BN347" s="431"/>
      <c r="BO347" s="431"/>
      <c r="BP347" s="431"/>
      <c r="BQ347" s="431"/>
      <c r="BR347" s="431"/>
      <c r="BS347" s="431"/>
      <c r="BT347" s="431"/>
      <c r="BU347" s="431"/>
      <c r="BV347" s="431"/>
      <c r="BW347" s="431"/>
      <c r="BX347" s="431"/>
      <c r="BY347" s="431"/>
      <c r="BZ347" s="431"/>
      <c r="CA347" s="431"/>
      <c r="CB347" s="431"/>
      <c r="CC347" s="431"/>
      <c r="CD347" s="431"/>
      <c r="CE347" s="431"/>
      <c r="CF347" s="431"/>
      <c r="CG347" s="431"/>
      <c r="CH347" s="431"/>
    </row>
    <row r="348" spans="1:86" ht="15.75" customHeight="1" outlineLevel="1" x14ac:dyDescent="0.25">
      <c r="A348" s="431"/>
      <c r="B348" s="443"/>
      <c r="C348" s="397" t="s">
        <v>134</v>
      </c>
      <c r="D348" s="511"/>
      <c r="E348" s="555">
        <v>24.8</v>
      </c>
      <c r="F348" s="559"/>
      <c r="G348" s="503"/>
      <c r="H348" s="431"/>
      <c r="I348" s="431"/>
      <c r="J348" s="431"/>
      <c r="K348" s="431"/>
      <c r="L348" s="431"/>
      <c r="M348" s="431"/>
      <c r="N348" s="431"/>
      <c r="O348" s="431"/>
      <c r="P348" s="431"/>
      <c r="Q348" s="431"/>
      <c r="R348" s="431"/>
      <c r="S348" s="431"/>
      <c r="T348" s="431"/>
      <c r="U348" s="431"/>
      <c r="V348" s="431"/>
      <c r="W348" s="431"/>
      <c r="X348" s="431"/>
      <c r="Y348" s="431"/>
      <c r="Z348" s="431"/>
      <c r="AA348" s="431"/>
      <c r="AB348" s="431"/>
      <c r="AC348" s="431"/>
      <c r="AD348" s="431"/>
      <c r="AE348" s="431"/>
      <c r="AF348" s="431"/>
      <c r="AG348" s="431"/>
      <c r="AH348" s="431"/>
      <c r="AI348" s="431"/>
      <c r="AJ348" s="431"/>
      <c r="AK348" s="431"/>
      <c r="AL348" s="431"/>
      <c r="AM348" s="431"/>
      <c r="AN348" s="431"/>
      <c r="AO348" s="431"/>
      <c r="AP348" s="431"/>
      <c r="AQ348" s="431"/>
      <c r="AR348" s="431"/>
      <c r="AS348" s="431"/>
      <c r="AT348" s="431"/>
      <c r="AU348" s="431"/>
      <c r="AV348" s="431"/>
      <c r="AW348" s="431"/>
      <c r="AX348" s="431"/>
      <c r="AY348" s="431"/>
      <c r="AZ348" s="431"/>
      <c r="BA348" s="431"/>
      <c r="BB348" s="431"/>
      <c r="BC348" s="431"/>
      <c r="BD348" s="431"/>
      <c r="BE348" s="431"/>
      <c r="BF348" s="431"/>
      <c r="BG348" s="431"/>
      <c r="BH348" s="431"/>
      <c r="BI348" s="431"/>
      <c r="BJ348" s="431"/>
      <c r="BK348" s="431"/>
      <c r="BL348" s="431"/>
      <c r="BM348" s="431"/>
      <c r="BN348" s="431"/>
      <c r="BO348" s="431"/>
      <c r="BP348" s="431"/>
      <c r="BQ348" s="431"/>
      <c r="BR348" s="431"/>
      <c r="BS348" s="431"/>
      <c r="BT348" s="431"/>
      <c r="BU348" s="431"/>
      <c r="BV348" s="431"/>
      <c r="BW348" s="431"/>
      <c r="BX348" s="431"/>
      <c r="BY348" s="431"/>
      <c r="BZ348" s="431"/>
      <c r="CA348" s="431"/>
      <c r="CB348" s="431"/>
      <c r="CC348" s="431"/>
      <c r="CD348" s="431"/>
      <c r="CE348" s="431"/>
      <c r="CF348" s="431"/>
      <c r="CG348" s="431"/>
      <c r="CH348" s="431"/>
    </row>
    <row r="349" spans="1:86" ht="15.75" customHeight="1" outlineLevel="1" x14ac:dyDescent="0.25">
      <c r="A349" s="431"/>
      <c r="B349" s="443"/>
      <c r="C349" s="397" t="s">
        <v>135</v>
      </c>
      <c r="D349" s="511"/>
      <c r="E349" s="555">
        <v>0</v>
      </c>
      <c r="F349" s="559"/>
      <c r="G349" s="503"/>
      <c r="H349" s="431"/>
      <c r="I349" s="431"/>
      <c r="J349" s="431"/>
      <c r="K349" s="431"/>
      <c r="L349" s="431"/>
      <c r="M349" s="431"/>
      <c r="N349" s="431"/>
      <c r="O349" s="431"/>
      <c r="P349" s="431"/>
      <c r="Q349" s="431"/>
      <c r="R349" s="431"/>
      <c r="S349" s="431"/>
      <c r="T349" s="431"/>
      <c r="U349" s="431"/>
      <c r="V349" s="431"/>
      <c r="W349" s="431"/>
      <c r="X349" s="431"/>
      <c r="Y349" s="431"/>
      <c r="Z349" s="431"/>
      <c r="AA349" s="431"/>
      <c r="AB349" s="431"/>
      <c r="AC349" s="431"/>
      <c r="AD349" s="431"/>
      <c r="AE349" s="431"/>
      <c r="AF349" s="431"/>
      <c r="AG349" s="431"/>
      <c r="AH349" s="431"/>
      <c r="AI349" s="431"/>
      <c r="AJ349" s="431"/>
      <c r="AK349" s="431"/>
      <c r="AL349" s="431"/>
      <c r="AM349" s="431"/>
      <c r="AN349" s="431"/>
      <c r="AO349" s="431"/>
      <c r="AP349" s="431"/>
      <c r="AQ349" s="431"/>
      <c r="AR349" s="431"/>
      <c r="AS349" s="431"/>
      <c r="AT349" s="431"/>
      <c r="AU349" s="431"/>
      <c r="AV349" s="431"/>
      <c r="AW349" s="431"/>
      <c r="AX349" s="431"/>
      <c r="AY349" s="431"/>
      <c r="AZ349" s="431"/>
      <c r="BA349" s="431"/>
      <c r="BB349" s="431"/>
      <c r="BC349" s="431"/>
      <c r="BD349" s="431"/>
      <c r="BE349" s="431"/>
      <c r="BF349" s="431"/>
      <c r="BG349" s="431"/>
      <c r="BH349" s="431"/>
      <c r="BI349" s="431"/>
      <c r="BJ349" s="431"/>
      <c r="BK349" s="431"/>
      <c r="BL349" s="431"/>
      <c r="BM349" s="431"/>
      <c r="BN349" s="431"/>
      <c r="BO349" s="431"/>
      <c r="BP349" s="431"/>
      <c r="BQ349" s="431"/>
      <c r="BR349" s="431"/>
      <c r="BS349" s="431"/>
      <c r="BT349" s="431"/>
      <c r="BU349" s="431"/>
      <c r="BV349" s="431"/>
      <c r="BW349" s="431"/>
      <c r="BX349" s="431"/>
      <c r="BY349" s="431"/>
      <c r="BZ349" s="431"/>
      <c r="CA349" s="431"/>
      <c r="CB349" s="431"/>
      <c r="CC349" s="431"/>
      <c r="CD349" s="431"/>
      <c r="CE349" s="431"/>
      <c r="CF349" s="431"/>
      <c r="CG349" s="431"/>
      <c r="CH349" s="431"/>
    </row>
    <row r="350" spans="1:86" ht="15.75" customHeight="1" outlineLevel="1" x14ac:dyDescent="0.25">
      <c r="A350" s="431"/>
      <c r="B350" s="443"/>
      <c r="C350" s="397" t="s">
        <v>136</v>
      </c>
      <c r="D350" s="511"/>
      <c r="E350" s="555">
        <v>0</v>
      </c>
      <c r="F350" s="559"/>
      <c r="G350" s="503"/>
      <c r="H350" s="431"/>
      <c r="I350" s="431"/>
      <c r="J350" s="431"/>
      <c r="K350" s="431"/>
      <c r="L350" s="431"/>
      <c r="M350" s="431"/>
      <c r="N350" s="431"/>
      <c r="O350" s="431"/>
      <c r="P350" s="431"/>
      <c r="Q350" s="431"/>
      <c r="R350" s="431"/>
      <c r="S350" s="431"/>
      <c r="T350" s="431"/>
      <c r="U350" s="431"/>
      <c r="V350" s="431"/>
      <c r="W350" s="431"/>
      <c r="X350" s="431"/>
      <c r="Y350" s="431"/>
      <c r="Z350" s="431"/>
      <c r="AA350" s="431"/>
      <c r="AB350" s="431"/>
      <c r="AC350" s="431"/>
      <c r="AD350" s="431"/>
      <c r="AE350" s="431"/>
      <c r="AF350" s="431"/>
      <c r="AG350" s="431"/>
      <c r="AH350" s="431"/>
      <c r="AI350" s="431"/>
      <c r="AJ350" s="431"/>
      <c r="AK350" s="431"/>
      <c r="AL350" s="431"/>
      <c r="AM350" s="431"/>
      <c r="AN350" s="431"/>
      <c r="AO350" s="431"/>
      <c r="AP350" s="431"/>
      <c r="AQ350" s="431"/>
      <c r="AR350" s="431"/>
      <c r="AS350" s="431"/>
      <c r="AT350" s="431"/>
      <c r="AU350" s="431"/>
      <c r="AV350" s="431"/>
      <c r="AW350" s="431"/>
      <c r="AX350" s="431"/>
      <c r="AY350" s="431"/>
      <c r="AZ350" s="431"/>
      <c r="BA350" s="431"/>
      <c r="BB350" s="431"/>
      <c r="BC350" s="431"/>
      <c r="BD350" s="431"/>
      <c r="BE350" s="431"/>
      <c r="BF350" s="431"/>
      <c r="BG350" s="431"/>
      <c r="BH350" s="431"/>
      <c r="BI350" s="431"/>
      <c r="BJ350" s="431"/>
      <c r="BK350" s="431"/>
      <c r="BL350" s="431"/>
      <c r="BM350" s="431"/>
      <c r="BN350" s="431"/>
      <c r="BO350" s="431"/>
      <c r="BP350" s="431"/>
      <c r="BQ350" s="431"/>
      <c r="BR350" s="431"/>
      <c r="BS350" s="431"/>
      <c r="BT350" s="431"/>
      <c r="BU350" s="431"/>
      <c r="BV350" s="431"/>
      <c r="BW350" s="431"/>
      <c r="BX350" s="431"/>
      <c r="BY350" s="431"/>
      <c r="BZ350" s="431"/>
      <c r="CA350" s="431"/>
      <c r="CB350" s="431"/>
      <c r="CC350" s="431"/>
      <c r="CD350" s="431"/>
      <c r="CE350" s="431"/>
      <c r="CF350" s="431"/>
      <c r="CG350" s="431"/>
      <c r="CH350" s="431"/>
    </row>
    <row r="351" spans="1:86" ht="15.75" customHeight="1" outlineLevel="1" x14ac:dyDescent="0.25">
      <c r="A351" s="431"/>
      <c r="B351" s="443"/>
      <c r="C351" s="397" t="s">
        <v>137</v>
      </c>
      <c r="D351" s="511"/>
      <c r="E351" s="555">
        <v>1805.05</v>
      </c>
      <c r="F351" s="559"/>
      <c r="G351" s="503"/>
      <c r="H351" s="431"/>
      <c r="I351" s="431"/>
      <c r="J351" s="431"/>
      <c r="K351" s="431"/>
      <c r="L351" s="431"/>
      <c r="M351" s="431"/>
      <c r="N351" s="431"/>
      <c r="O351" s="431"/>
      <c r="P351" s="431"/>
      <c r="Q351" s="431"/>
      <c r="R351" s="431"/>
      <c r="S351" s="431"/>
      <c r="T351" s="431"/>
      <c r="U351" s="431"/>
      <c r="V351" s="431"/>
      <c r="W351" s="431"/>
      <c r="X351" s="431"/>
      <c r="Y351" s="431"/>
      <c r="Z351" s="431"/>
      <c r="AA351" s="431"/>
      <c r="AB351" s="431"/>
      <c r="AC351" s="431"/>
      <c r="AD351" s="431"/>
      <c r="AE351" s="431"/>
      <c r="AF351" s="431"/>
      <c r="AG351" s="431"/>
      <c r="AH351" s="431"/>
      <c r="AI351" s="431"/>
      <c r="AJ351" s="431"/>
      <c r="AK351" s="431"/>
      <c r="AL351" s="431"/>
      <c r="AM351" s="431"/>
      <c r="AN351" s="431"/>
      <c r="AO351" s="431"/>
      <c r="AP351" s="431"/>
      <c r="AQ351" s="431"/>
      <c r="AR351" s="431"/>
      <c r="AS351" s="431"/>
      <c r="AT351" s="431"/>
      <c r="AU351" s="431"/>
      <c r="AV351" s="431"/>
      <c r="AW351" s="431"/>
      <c r="AX351" s="431"/>
      <c r="AY351" s="431"/>
      <c r="AZ351" s="431"/>
      <c r="BA351" s="431"/>
      <c r="BB351" s="431"/>
      <c r="BC351" s="431"/>
      <c r="BD351" s="431"/>
      <c r="BE351" s="431"/>
      <c r="BF351" s="431"/>
      <c r="BG351" s="431"/>
      <c r="BH351" s="431"/>
      <c r="BI351" s="431"/>
      <c r="BJ351" s="431"/>
      <c r="BK351" s="431"/>
      <c r="BL351" s="431"/>
      <c r="BM351" s="431"/>
      <c r="BN351" s="431"/>
      <c r="BO351" s="431"/>
      <c r="BP351" s="431"/>
      <c r="BQ351" s="431"/>
      <c r="BR351" s="431"/>
      <c r="BS351" s="431"/>
      <c r="BT351" s="431"/>
      <c r="BU351" s="431"/>
      <c r="BV351" s="431"/>
      <c r="BW351" s="431"/>
      <c r="BX351" s="431"/>
      <c r="BY351" s="431"/>
      <c r="BZ351" s="431"/>
      <c r="CA351" s="431"/>
      <c r="CB351" s="431"/>
      <c r="CC351" s="431"/>
      <c r="CD351" s="431"/>
      <c r="CE351" s="431"/>
      <c r="CF351" s="431"/>
      <c r="CG351" s="431"/>
      <c r="CH351" s="431"/>
    </row>
    <row r="352" spans="1:86" ht="15.75" customHeight="1" outlineLevel="1" x14ac:dyDescent="0.25">
      <c r="A352" s="431"/>
      <c r="B352" s="443"/>
      <c r="C352" s="397" t="s">
        <v>138</v>
      </c>
      <c r="D352" s="511"/>
      <c r="E352" s="555">
        <v>2264.4349999999999</v>
      </c>
      <c r="F352" s="559"/>
      <c r="G352" s="503"/>
      <c r="H352" s="431"/>
      <c r="I352" s="431"/>
      <c r="J352" s="431"/>
      <c r="K352" s="431"/>
      <c r="L352" s="431"/>
      <c r="M352" s="431"/>
      <c r="N352" s="431"/>
      <c r="O352" s="431"/>
      <c r="P352" s="431"/>
      <c r="Q352" s="431"/>
      <c r="R352" s="431"/>
      <c r="S352" s="431"/>
      <c r="T352" s="431"/>
      <c r="U352" s="431"/>
      <c r="V352" s="431"/>
      <c r="W352" s="431"/>
      <c r="X352" s="431"/>
      <c r="Y352" s="431"/>
      <c r="Z352" s="431"/>
      <c r="AA352" s="431"/>
      <c r="AB352" s="431"/>
      <c r="AC352" s="431"/>
      <c r="AD352" s="431"/>
      <c r="AE352" s="431"/>
      <c r="AF352" s="431"/>
      <c r="AG352" s="431"/>
      <c r="AH352" s="431"/>
      <c r="AI352" s="431"/>
      <c r="AJ352" s="431"/>
      <c r="AK352" s="431"/>
      <c r="AL352" s="431"/>
      <c r="AM352" s="431"/>
      <c r="AN352" s="431"/>
      <c r="AO352" s="431"/>
      <c r="AP352" s="431"/>
      <c r="AQ352" s="431"/>
      <c r="AR352" s="431"/>
      <c r="AS352" s="431"/>
      <c r="AT352" s="431"/>
      <c r="AU352" s="431"/>
      <c r="AV352" s="431"/>
      <c r="AW352" s="431"/>
      <c r="AX352" s="431"/>
      <c r="AY352" s="431"/>
      <c r="AZ352" s="431"/>
      <c r="BA352" s="431"/>
      <c r="BB352" s="431"/>
      <c r="BC352" s="431"/>
      <c r="BD352" s="431"/>
      <c r="BE352" s="431"/>
      <c r="BF352" s="431"/>
      <c r="BG352" s="431"/>
      <c r="BH352" s="431"/>
      <c r="BI352" s="431"/>
      <c r="BJ352" s="431"/>
      <c r="BK352" s="431"/>
      <c r="BL352" s="431"/>
      <c r="BM352" s="431"/>
      <c r="BN352" s="431"/>
      <c r="BO352" s="431"/>
      <c r="BP352" s="431"/>
      <c r="BQ352" s="431"/>
      <c r="BR352" s="431"/>
      <c r="BS352" s="431"/>
      <c r="BT352" s="431"/>
      <c r="BU352" s="431"/>
      <c r="BV352" s="431"/>
      <c r="BW352" s="431"/>
      <c r="BX352" s="431"/>
      <c r="BY352" s="431"/>
      <c r="BZ352" s="431"/>
      <c r="CA352" s="431"/>
      <c r="CB352" s="431"/>
      <c r="CC352" s="431"/>
      <c r="CD352" s="431"/>
      <c r="CE352" s="431"/>
      <c r="CF352" s="431"/>
      <c r="CG352" s="431"/>
      <c r="CH352" s="431"/>
    </row>
    <row r="353" spans="1:86" ht="15.75" customHeight="1" outlineLevel="1" x14ac:dyDescent="0.25">
      <c r="A353" s="431"/>
      <c r="B353" s="443"/>
      <c r="C353" s="397" t="s">
        <v>139</v>
      </c>
      <c r="D353" s="511"/>
      <c r="E353" s="555">
        <v>1982.5</v>
      </c>
      <c r="F353" s="559"/>
      <c r="G353" s="503"/>
      <c r="H353" s="431"/>
      <c r="I353" s="431"/>
      <c r="J353" s="431"/>
      <c r="K353" s="431"/>
      <c r="L353" s="431"/>
      <c r="M353" s="431"/>
      <c r="N353" s="431"/>
      <c r="O353" s="431"/>
      <c r="P353" s="431"/>
      <c r="Q353" s="431"/>
      <c r="R353" s="431"/>
      <c r="S353" s="431"/>
      <c r="T353" s="431"/>
      <c r="U353" s="431"/>
      <c r="V353" s="431"/>
      <c r="W353" s="431"/>
      <c r="X353" s="431"/>
      <c r="Y353" s="431"/>
      <c r="Z353" s="431"/>
      <c r="AA353" s="431"/>
      <c r="AB353" s="431"/>
      <c r="AC353" s="431"/>
      <c r="AD353" s="431"/>
      <c r="AE353" s="431"/>
      <c r="AF353" s="431"/>
      <c r="AG353" s="431"/>
      <c r="AH353" s="431"/>
      <c r="AI353" s="431"/>
      <c r="AJ353" s="431"/>
      <c r="AK353" s="431"/>
      <c r="AL353" s="431"/>
      <c r="AM353" s="431"/>
      <c r="AN353" s="431"/>
      <c r="AO353" s="431"/>
      <c r="AP353" s="431"/>
      <c r="AQ353" s="431"/>
      <c r="AR353" s="431"/>
      <c r="AS353" s="431"/>
      <c r="AT353" s="431"/>
      <c r="AU353" s="431"/>
      <c r="AV353" s="431"/>
      <c r="AW353" s="431"/>
      <c r="AX353" s="431"/>
      <c r="AY353" s="431"/>
      <c r="AZ353" s="431"/>
      <c r="BA353" s="431"/>
      <c r="BB353" s="431"/>
      <c r="BC353" s="431"/>
      <c r="BD353" s="431"/>
      <c r="BE353" s="431"/>
      <c r="BF353" s="431"/>
      <c r="BG353" s="431"/>
      <c r="BH353" s="431"/>
      <c r="BI353" s="431"/>
      <c r="BJ353" s="431"/>
      <c r="BK353" s="431"/>
      <c r="BL353" s="431"/>
      <c r="BM353" s="431"/>
      <c r="BN353" s="431"/>
      <c r="BO353" s="431"/>
      <c r="BP353" s="431"/>
      <c r="BQ353" s="431"/>
      <c r="BR353" s="431"/>
      <c r="BS353" s="431"/>
      <c r="BT353" s="431"/>
      <c r="BU353" s="431"/>
      <c r="BV353" s="431"/>
      <c r="BW353" s="431"/>
      <c r="BX353" s="431"/>
      <c r="BY353" s="431"/>
      <c r="BZ353" s="431"/>
      <c r="CA353" s="431"/>
      <c r="CB353" s="431"/>
      <c r="CC353" s="431"/>
      <c r="CD353" s="431"/>
      <c r="CE353" s="431"/>
      <c r="CF353" s="431"/>
      <c r="CG353" s="431"/>
      <c r="CH353" s="431"/>
    </row>
    <row r="354" spans="1:86" ht="15.75" customHeight="1" outlineLevel="1" x14ac:dyDescent="0.25">
      <c r="A354" s="431"/>
      <c r="B354" s="443"/>
      <c r="C354" s="397" t="s">
        <v>140</v>
      </c>
      <c r="D354" s="511"/>
      <c r="E354" s="555">
        <v>144.15199999999999</v>
      </c>
      <c r="F354" s="559"/>
      <c r="G354" s="503"/>
      <c r="H354" s="431"/>
      <c r="I354" s="431"/>
      <c r="J354" s="431"/>
      <c r="K354" s="431"/>
      <c r="L354" s="431"/>
      <c r="M354" s="431"/>
      <c r="N354" s="431"/>
      <c r="O354" s="431"/>
      <c r="P354" s="431"/>
      <c r="Q354" s="431"/>
      <c r="R354" s="431"/>
      <c r="S354" s="431"/>
      <c r="T354" s="431"/>
      <c r="U354" s="431"/>
      <c r="V354" s="431"/>
      <c r="W354" s="431"/>
      <c r="X354" s="431"/>
      <c r="Y354" s="431"/>
      <c r="Z354" s="431"/>
      <c r="AA354" s="431"/>
      <c r="AB354" s="431"/>
      <c r="AC354" s="431"/>
      <c r="AD354" s="431"/>
      <c r="AE354" s="431"/>
      <c r="AF354" s="431"/>
      <c r="AG354" s="431"/>
      <c r="AH354" s="431"/>
      <c r="AI354" s="431"/>
      <c r="AJ354" s="431"/>
      <c r="AK354" s="431"/>
      <c r="AL354" s="431"/>
      <c r="AM354" s="431"/>
      <c r="AN354" s="431"/>
      <c r="AO354" s="431"/>
      <c r="AP354" s="431"/>
      <c r="AQ354" s="431"/>
      <c r="AR354" s="431"/>
      <c r="AS354" s="431"/>
      <c r="AT354" s="431"/>
      <c r="AU354" s="431"/>
      <c r="AV354" s="431"/>
      <c r="AW354" s="431"/>
      <c r="AX354" s="431"/>
      <c r="AY354" s="431"/>
      <c r="AZ354" s="431"/>
      <c r="BA354" s="431"/>
      <c r="BB354" s="431"/>
      <c r="BC354" s="431"/>
      <c r="BD354" s="431"/>
      <c r="BE354" s="431"/>
      <c r="BF354" s="431"/>
      <c r="BG354" s="431"/>
      <c r="BH354" s="431"/>
      <c r="BI354" s="431"/>
      <c r="BJ354" s="431"/>
      <c r="BK354" s="431"/>
      <c r="BL354" s="431"/>
      <c r="BM354" s="431"/>
      <c r="BN354" s="431"/>
      <c r="BO354" s="431"/>
      <c r="BP354" s="431"/>
      <c r="BQ354" s="431"/>
      <c r="BR354" s="431"/>
      <c r="BS354" s="431"/>
      <c r="BT354" s="431"/>
      <c r="BU354" s="431"/>
      <c r="BV354" s="431"/>
      <c r="BW354" s="431"/>
      <c r="BX354" s="431"/>
      <c r="BY354" s="431"/>
      <c r="BZ354" s="431"/>
      <c r="CA354" s="431"/>
      <c r="CB354" s="431"/>
      <c r="CC354" s="431"/>
      <c r="CD354" s="431"/>
      <c r="CE354" s="431"/>
      <c r="CF354" s="431"/>
      <c r="CG354" s="431"/>
      <c r="CH354" s="431"/>
    </row>
    <row r="355" spans="1:86" ht="15.75" customHeight="1" outlineLevel="1" x14ac:dyDescent="0.25">
      <c r="A355" s="431"/>
      <c r="B355" s="443"/>
      <c r="C355" s="397" t="s">
        <v>141</v>
      </c>
      <c r="D355" s="511"/>
      <c r="E355" s="555">
        <v>0</v>
      </c>
      <c r="F355" s="559"/>
      <c r="G355" s="503"/>
      <c r="H355" s="431"/>
      <c r="I355" s="431"/>
      <c r="J355" s="431"/>
      <c r="K355" s="431"/>
      <c r="L355" s="431"/>
      <c r="M355" s="431"/>
      <c r="N355" s="431"/>
      <c r="O355" s="431"/>
      <c r="P355" s="431"/>
      <c r="Q355" s="431"/>
      <c r="R355" s="431"/>
      <c r="S355" s="431"/>
      <c r="T355" s="431"/>
      <c r="U355" s="431"/>
      <c r="V355" s="431"/>
      <c r="W355" s="431"/>
      <c r="X355" s="431"/>
      <c r="Y355" s="431"/>
      <c r="Z355" s="431"/>
      <c r="AA355" s="431"/>
      <c r="AB355" s="431"/>
      <c r="AC355" s="431"/>
      <c r="AD355" s="431"/>
      <c r="AE355" s="431"/>
      <c r="AF355" s="431"/>
      <c r="AG355" s="431"/>
      <c r="AH355" s="431"/>
      <c r="AI355" s="431"/>
      <c r="AJ355" s="431"/>
      <c r="AK355" s="431"/>
      <c r="AL355" s="431"/>
      <c r="AM355" s="431"/>
      <c r="AN355" s="431"/>
      <c r="AO355" s="431"/>
      <c r="AP355" s="431"/>
      <c r="AQ355" s="431"/>
      <c r="AR355" s="431"/>
      <c r="AS355" s="431"/>
      <c r="AT355" s="431"/>
      <c r="AU355" s="431"/>
      <c r="AV355" s="431"/>
      <c r="AW355" s="431"/>
      <c r="AX355" s="431"/>
      <c r="AY355" s="431"/>
      <c r="AZ355" s="431"/>
      <c r="BA355" s="431"/>
      <c r="BB355" s="431"/>
      <c r="BC355" s="431"/>
      <c r="BD355" s="431"/>
      <c r="BE355" s="431"/>
      <c r="BF355" s="431"/>
      <c r="BG355" s="431"/>
      <c r="BH355" s="431"/>
      <c r="BI355" s="431"/>
      <c r="BJ355" s="431"/>
      <c r="BK355" s="431"/>
      <c r="BL355" s="431"/>
      <c r="BM355" s="431"/>
      <c r="BN355" s="431"/>
      <c r="BO355" s="431"/>
      <c r="BP355" s="431"/>
      <c r="BQ355" s="431"/>
      <c r="BR355" s="431"/>
      <c r="BS355" s="431"/>
      <c r="BT355" s="431"/>
      <c r="BU355" s="431"/>
      <c r="BV355" s="431"/>
      <c r="BW355" s="431"/>
      <c r="BX355" s="431"/>
      <c r="BY355" s="431"/>
      <c r="BZ355" s="431"/>
      <c r="CA355" s="431"/>
      <c r="CB355" s="431"/>
      <c r="CC355" s="431"/>
      <c r="CD355" s="431"/>
      <c r="CE355" s="431"/>
      <c r="CF355" s="431"/>
      <c r="CG355" s="431"/>
      <c r="CH355" s="431"/>
    </row>
    <row r="356" spans="1:86" ht="15.75" customHeight="1" outlineLevel="1" x14ac:dyDescent="0.25">
      <c r="A356" s="431"/>
      <c r="B356" s="443"/>
      <c r="C356" s="397" t="s">
        <v>142</v>
      </c>
      <c r="D356" s="511"/>
      <c r="E356" s="555">
        <v>1887.97</v>
      </c>
      <c r="F356" s="559"/>
      <c r="G356" s="503"/>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1"/>
      <c r="AD356" s="431"/>
      <c r="AE356" s="431"/>
      <c r="AF356" s="431"/>
      <c r="AG356" s="431"/>
      <c r="AH356" s="431"/>
      <c r="AI356" s="431"/>
      <c r="AJ356" s="431"/>
      <c r="AK356" s="431"/>
      <c r="AL356" s="431"/>
      <c r="AM356" s="431"/>
      <c r="AN356" s="431"/>
      <c r="AO356" s="431"/>
      <c r="AP356" s="431"/>
      <c r="AQ356" s="431"/>
      <c r="AR356" s="431"/>
      <c r="AS356" s="431"/>
      <c r="AT356" s="431"/>
      <c r="AU356" s="431"/>
      <c r="AV356" s="431"/>
      <c r="AW356" s="431"/>
      <c r="AX356" s="431"/>
      <c r="AY356" s="431"/>
      <c r="AZ356" s="431"/>
      <c r="BA356" s="431"/>
      <c r="BB356" s="431"/>
      <c r="BC356" s="431"/>
      <c r="BD356" s="431"/>
      <c r="BE356" s="431"/>
      <c r="BF356" s="431"/>
      <c r="BG356" s="431"/>
      <c r="BH356" s="431"/>
      <c r="BI356" s="431"/>
      <c r="BJ356" s="431"/>
      <c r="BK356" s="431"/>
      <c r="BL356" s="431"/>
      <c r="BM356" s="431"/>
      <c r="BN356" s="431"/>
      <c r="BO356" s="431"/>
      <c r="BP356" s="431"/>
      <c r="BQ356" s="431"/>
      <c r="BR356" s="431"/>
      <c r="BS356" s="431"/>
      <c r="BT356" s="431"/>
      <c r="BU356" s="431"/>
      <c r="BV356" s="431"/>
      <c r="BW356" s="431"/>
      <c r="BX356" s="431"/>
      <c r="BY356" s="431"/>
      <c r="BZ356" s="431"/>
      <c r="CA356" s="431"/>
      <c r="CB356" s="431"/>
      <c r="CC356" s="431"/>
      <c r="CD356" s="431"/>
      <c r="CE356" s="431"/>
      <c r="CF356" s="431"/>
      <c r="CG356" s="431"/>
      <c r="CH356" s="431"/>
    </row>
    <row r="357" spans="1:86" ht="15.75" customHeight="1" outlineLevel="1" x14ac:dyDescent="0.25">
      <c r="A357" s="431"/>
      <c r="B357" s="443"/>
      <c r="C357" s="397" t="s">
        <v>143</v>
      </c>
      <c r="D357" s="511"/>
      <c r="E357" s="555">
        <v>0</v>
      </c>
      <c r="F357" s="559"/>
      <c r="G357" s="503"/>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431"/>
      <c r="AF357" s="431"/>
      <c r="AG357" s="431"/>
      <c r="AH357" s="431"/>
      <c r="AI357" s="431"/>
      <c r="AJ357" s="431"/>
      <c r="AK357" s="431"/>
      <c r="AL357" s="431"/>
      <c r="AM357" s="431"/>
      <c r="AN357" s="431"/>
      <c r="AO357" s="431"/>
      <c r="AP357" s="431"/>
      <c r="AQ357" s="431"/>
      <c r="AR357" s="431"/>
      <c r="AS357" s="431"/>
      <c r="AT357" s="431"/>
      <c r="AU357" s="431"/>
      <c r="AV357" s="431"/>
      <c r="AW357" s="431"/>
      <c r="AX357" s="431"/>
      <c r="AY357" s="431"/>
      <c r="AZ357" s="431"/>
      <c r="BA357" s="431"/>
      <c r="BB357" s="431"/>
      <c r="BC357" s="431"/>
      <c r="BD357" s="431"/>
      <c r="BE357" s="431"/>
      <c r="BF357" s="431"/>
      <c r="BG357" s="431"/>
      <c r="BH357" s="431"/>
      <c r="BI357" s="431"/>
      <c r="BJ357" s="431"/>
      <c r="BK357" s="431"/>
      <c r="BL357" s="431"/>
      <c r="BM357" s="431"/>
      <c r="BN357" s="431"/>
      <c r="BO357" s="431"/>
      <c r="BP357" s="431"/>
      <c r="BQ357" s="431"/>
      <c r="BR357" s="431"/>
      <c r="BS357" s="431"/>
      <c r="BT357" s="431"/>
      <c r="BU357" s="431"/>
      <c r="BV357" s="431"/>
      <c r="BW357" s="431"/>
      <c r="BX357" s="431"/>
      <c r="BY357" s="431"/>
      <c r="BZ357" s="431"/>
      <c r="CA357" s="431"/>
      <c r="CB357" s="431"/>
      <c r="CC357" s="431"/>
      <c r="CD357" s="431"/>
      <c r="CE357" s="431"/>
      <c r="CF357" s="431"/>
      <c r="CG357" s="431"/>
      <c r="CH357" s="431"/>
    </row>
    <row r="358" spans="1:86" ht="15.75" customHeight="1" outlineLevel="1" x14ac:dyDescent="0.25">
      <c r="A358" s="431"/>
      <c r="B358" s="443"/>
      <c r="C358" s="397" t="s">
        <v>144</v>
      </c>
      <c r="D358" s="511"/>
      <c r="E358" s="555">
        <v>87.2</v>
      </c>
      <c r="F358" s="559"/>
      <c r="G358" s="503"/>
      <c r="H358" s="431"/>
      <c r="I358" s="431"/>
      <c r="J358" s="431"/>
      <c r="K358" s="431"/>
      <c r="L358" s="431"/>
      <c r="M358" s="431"/>
      <c r="N358" s="431"/>
      <c r="O358" s="431"/>
      <c r="P358" s="431"/>
      <c r="Q358" s="431"/>
      <c r="R358" s="431"/>
      <c r="S358" s="431"/>
      <c r="T358" s="431"/>
      <c r="U358" s="431"/>
      <c r="V358" s="431"/>
      <c r="W358" s="431"/>
      <c r="X358" s="431"/>
      <c r="Y358" s="431"/>
      <c r="Z358" s="431"/>
      <c r="AA358" s="431"/>
      <c r="AB358" s="431"/>
      <c r="AC358" s="431"/>
      <c r="AD358" s="431"/>
      <c r="AE358" s="431"/>
      <c r="AF358" s="431"/>
      <c r="AG358" s="431"/>
      <c r="AH358" s="431"/>
      <c r="AI358" s="431"/>
      <c r="AJ358" s="431"/>
      <c r="AK358" s="431"/>
      <c r="AL358" s="431"/>
      <c r="AM358" s="431"/>
      <c r="AN358" s="431"/>
      <c r="AO358" s="431"/>
      <c r="AP358" s="431"/>
      <c r="AQ358" s="431"/>
      <c r="AR358" s="431"/>
      <c r="AS358" s="431"/>
      <c r="AT358" s="431"/>
      <c r="AU358" s="431"/>
      <c r="AV358" s="431"/>
      <c r="AW358" s="431"/>
      <c r="AX358" s="431"/>
      <c r="AY358" s="431"/>
      <c r="AZ358" s="431"/>
      <c r="BA358" s="431"/>
      <c r="BB358" s="431"/>
      <c r="BC358" s="431"/>
      <c r="BD358" s="431"/>
      <c r="BE358" s="431"/>
      <c r="BF358" s="431"/>
      <c r="BG358" s="431"/>
      <c r="BH358" s="431"/>
      <c r="BI358" s="431"/>
      <c r="BJ358" s="431"/>
      <c r="BK358" s="431"/>
      <c r="BL358" s="431"/>
      <c r="BM358" s="431"/>
      <c r="BN358" s="431"/>
      <c r="BO358" s="431"/>
      <c r="BP358" s="431"/>
      <c r="BQ358" s="431"/>
      <c r="BR358" s="431"/>
      <c r="BS358" s="431"/>
      <c r="BT358" s="431"/>
      <c r="BU358" s="431"/>
      <c r="BV358" s="431"/>
      <c r="BW358" s="431"/>
      <c r="BX358" s="431"/>
      <c r="BY358" s="431"/>
      <c r="BZ358" s="431"/>
      <c r="CA358" s="431"/>
      <c r="CB358" s="431"/>
      <c r="CC358" s="431"/>
      <c r="CD358" s="431"/>
      <c r="CE358" s="431"/>
      <c r="CF358" s="431"/>
      <c r="CG358" s="431"/>
      <c r="CH358" s="431"/>
    </row>
    <row r="359" spans="1:86" ht="15.75" customHeight="1" outlineLevel="1" x14ac:dyDescent="0.25">
      <c r="A359" s="431"/>
      <c r="B359" s="443"/>
      <c r="C359" s="397" t="s">
        <v>145</v>
      </c>
      <c r="D359" s="511"/>
      <c r="E359" s="555">
        <v>128.69999999999999</v>
      </c>
      <c r="F359" s="559"/>
      <c r="G359" s="503"/>
      <c r="H359" s="431"/>
      <c r="I359" s="431"/>
      <c r="J359" s="431"/>
      <c r="K359" s="431"/>
      <c r="L359" s="431"/>
      <c r="M359" s="431"/>
      <c r="N359" s="431"/>
      <c r="O359" s="431"/>
      <c r="P359" s="431"/>
      <c r="Q359" s="431"/>
      <c r="R359" s="431"/>
      <c r="S359" s="431"/>
      <c r="T359" s="431"/>
      <c r="U359" s="431"/>
      <c r="V359" s="431"/>
      <c r="W359" s="431"/>
      <c r="X359" s="431"/>
      <c r="Y359" s="431"/>
      <c r="Z359" s="431"/>
      <c r="AA359" s="431"/>
      <c r="AB359" s="431"/>
      <c r="AC359" s="431"/>
      <c r="AD359" s="431"/>
      <c r="AE359" s="431"/>
      <c r="AF359" s="431"/>
      <c r="AG359" s="431"/>
      <c r="AH359" s="431"/>
      <c r="AI359" s="431"/>
      <c r="AJ359" s="431"/>
      <c r="AK359" s="431"/>
      <c r="AL359" s="431"/>
      <c r="AM359" s="431"/>
      <c r="AN359" s="431"/>
      <c r="AO359" s="431"/>
      <c r="AP359" s="431"/>
      <c r="AQ359" s="431"/>
      <c r="AR359" s="431"/>
      <c r="AS359" s="431"/>
      <c r="AT359" s="431"/>
      <c r="AU359" s="431"/>
      <c r="AV359" s="431"/>
      <c r="AW359" s="431"/>
      <c r="AX359" s="431"/>
      <c r="AY359" s="431"/>
      <c r="AZ359" s="431"/>
      <c r="BA359" s="431"/>
      <c r="BB359" s="431"/>
      <c r="BC359" s="431"/>
      <c r="BD359" s="431"/>
      <c r="BE359" s="431"/>
      <c r="BF359" s="431"/>
      <c r="BG359" s="431"/>
      <c r="BH359" s="431"/>
      <c r="BI359" s="431"/>
      <c r="BJ359" s="431"/>
      <c r="BK359" s="431"/>
      <c r="BL359" s="431"/>
      <c r="BM359" s="431"/>
      <c r="BN359" s="431"/>
      <c r="BO359" s="431"/>
      <c r="BP359" s="431"/>
      <c r="BQ359" s="431"/>
      <c r="BR359" s="431"/>
      <c r="BS359" s="431"/>
      <c r="BT359" s="431"/>
      <c r="BU359" s="431"/>
      <c r="BV359" s="431"/>
      <c r="BW359" s="431"/>
      <c r="BX359" s="431"/>
      <c r="BY359" s="431"/>
      <c r="BZ359" s="431"/>
      <c r="CA359" s="431"/>
      <c r="CB359" s="431"/>
      <c r="CC359" s="431"/>
      <c r="CD359" s="431"/>
      <c r="CE359" s="431"/>
      <c r="CF359" s="431"/>
      <c r="CG359" s="431"/>
      <c r="CH359" s="431"/>
    </row>
    <row r="360" spans="1:86" ht="15.75" customHeight="1" outlineLevel="1" x14ac:dyDescent="0.25">
      <c r="A360" s="431"/>
      <c r="B360" s="443"/>
      <c r="C360" s="397" t="s">
        <v>146</v>
      </c>
      <c r="D360" s="511"/>
      <c r="E360" s="555">
        <v>32.488</v>
      </c>
      <c r="F360" s="559"/>
      <c r="G360" s="503"/>
      <c r="H360" s="431"/>
      <c r="I360" s="431"/>
      <c r="J360" s="431"/>
      <c r="K360" s="431"/>
      <c r="L360" s="431"/>
      <c r="M360" s="431"/>
      <c r="N360" s="431"/>
      <c r="O360" s="431"/>
      <c r="P360" s="431"/>
      <c r="Q360" s="431"/>
      <c r="R360" s="431"/>
      <c r="S360" s="431"/>
      <c r="T360" s="431"/>
      <c r="U360" s="431"/>
      <c r="V360" s="431"/>
      <c r="W360" s="431"/>
      <c r="X360" s="431"/>
      <c r="Y360" s="431"/>
      <c r="Z360" s="431"/>
      <c r="AA360" s="431"/>
      <c r="AB360" s="431"/>
      <c r="AC360" s="431"/>
      <c r="AD360" s="431"/>
      <c r="AE360" s="431"/>
      <c r="AF360" s="431"/>
      <c r="AG360" s="431"/>
      <c r="AH360" s="431"/>
      <c r="AI360" s="431"/>
      <c r="AJ360" s="431"/>
      <c r="AK360" s="431"/>
      <c r="AL360" s="431"/>
      <c r="AM360" s="431"/>
      <c r="AN360" s="431"/>
      <c r="AO360" s="431"/>
      <c r="AP360" s="431"/>
      <c r="AQ360" s="431"/>
      <c r="AR360" s="431"/>
      <c r="AS360" s="431"/>
      <c r="AT360" s="431"/>
      <c r="AU360" s="431"/>
      <c r="AV360" s="431"/>
      <c r="AW360" s="431"/>
      <c r="AX360" s="431"/>
      <c r="AY360" s="431"/>
      <c r="AZ360" s="431"/>
      <c r="BA360" s="431"/>
      <c r="BB360" s="431"/>
      <c r="BC360" s="431"/>
      <c r="BD360" s="431"/>
      <c r="BE360" s="431"/>
      <c r="BF360" s="431"/>
      <c r="BG360" s="431"/>
      <c r="BH360" s="431"/>
      <c r="BI360" s="431"/>
      <c r="BJ360" s="431"/>
      <c r="BK360" s="431"/>
      <c r="BL360" s="431"/>
      <c r="BM360" s="431"/>
      <c r="BN360" s="431"/>
      <c r="BO360" s="431"/>
      <c r="BP360" s="431"/>
      <c r="BQ360" s="431"/>
      <c r="BR360" s="431"/>
      <c r="BS360" s="431"/>
      <c r="BT360" s="431"/>
      <c r="BU360" s="431"/>
      <c r="BV360" s="431"/>
      <c r="BW360" s="431"/>
      <c r="BX360" s="431"/>
      <c r="BY360" s="431"/>
      <c r="BZ360" s="431"/>
      <c r="CA360" s="431"/>
      <c r="CB360" s="431"/>
      <c r="CC360" s="431"/>
      <c r="CD360" s="431"/>
      <c r="CE360" s="431"/>
      <c r="CF360" s="431"/>
      <c r="CG360" s="431"/>
      <c r="CH360" s="431"/>
    </row>
    <row r="361" spans="1:86" ht="15.75" customHeight="1" outlineLevel="1" x14ac:dyDescent="0.25">
      <c r="A361" s="431"/>
      <c r="B361" s="443"/>
      <c r="C361" s="397" t="s">
        <v>147</v>
      </c>
      <c r="D361" s="511"/>
      <c r="E361" s="555">
        <v>0</v>
      </c>
      <c r="F361" s="559"/>
      <c r="G361" s="503"/>
      <c r="H361" s="431"/>
      <c r="I361" s="431"/>
      <c r="J361" s="431"/>
      <c r="K361" s="431"/>
      <c r="L361" s="431"/>
      <c r="M361" s="431"/>
      <c r="N361" s="431"/>
      <c r="O361" s="431"/>
      <c r="P361" s="431"/>
      <c r="Q361" s="431"/>
      <c r="R361" s="431"/>
      <c r="S361" s="431"/>
      <c r="T361" s="431"/>
      <c r="U361" s="431"/>
      <c r="V361" s="431"/>
      <c r="W361" s="431"/>
      <c r="X361" s="431"/>
      <c r="Y361" s="431"/>
      <c r="Z361" s="431"/>
      <c r="AA361" s="431"/>
      <c r="AB361" s="431"/>
      <c r="AC361" s="431"/>
      <c r="AD361" s="431"/>
      <c r="AE361" s="431"/>
      <c r="AF361" s="431"/>
      <c r="AG361" s="431"/>
      <c r="AH361" s="431"/>
      <c r="AI361" s="431"/>
      <c r="AJ361" s="431"/>
      <c r="AK361" s="431"/>
      <c r="AL361" s="431"/>
      <c r="AM361" s="431"/>
      <c r="AN361" s="431"/>
      <c r="AO361" s="431"/>
      <c r="AP361" s="431"/>
      <c r="AQ361" s="431"/>
      <c r="AR361" s="431"/>
      <c r="AS361" s="431"/>
      <c r="AT361" s="431"/>
      <c r="AU361" s="431"/>
      <c r="AV361" s="431"/>
      <c r="AW361" s="431"/>
      <c r="AX361" s="431"/>
      <c r="AY361" s="431"/>
      <c r="AZ361" s="431"/>
      <c r="BA361" s="431"/>
      <c r="BB361" s="431"/>
      <c r="BC361" s="431"/>
      <c r="BD361" s="431"/>
      <c r="BE361" s="431"/>
      <c r="BF361" s="431"/>
      <c r="BG361" s="431"/>
      <c r="BH361" s="431"/>
      <c r="BI361" s="431"/>
      <c r="BJ361" s="431"/>
      <c r="BK361" s="431"/>
      <c r="BL361" s="431"/>
      <c r="BM361" s="431"/>
      <c r="BN361" s="431"/>
      <c r="BO361" s="431"/>
      <c r="BP361" s="431"/>
      <c r="BQ361" s="431"/>
      <c r="BR361" s="431"/>
      <c r="BS361" s="431"/>
      <c r="BT361" s="431"/>
      <c r="BU361" s="431"/>
      <c r="BV361" s="431"/>
      <c r="BW361" s="431"/>
      <c r="BX361" s="431"/>
      <c r="BY361" s="431"/>
      <c r="BZ361" s="431"/>
      <c r="CA361" s="431"/>
      <c r="CB361" s="431"/>
      <c r="CC361" s="431"/>
      <c r="CD361" s="431"/>
      <c r="CE361" s="431"/>
      <c r="CF361" s="431"/>
      <c r="CG361" s="431"/>
      <c r="CH361" s="431"/>
    </row>
    <row r="362" spans="1:86" ht="15.75" customHeight="1" outlineLevel="1" x14ac:dyDescent="0.25">
      <c r="A362" s="431"/>
      <c r="B362" s="443"/>
      <c r="C362" s="397" t="s">
        <v>148</v>
      </c>
      <c r="D362" s="511"/>
      <c r="E362" s="555">
        <v>0</v>
      </c>
      <c r="F362" s="559"/>
      <c r="G362" s="503"/>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1"/>
      <c r="AD362" s="431"/>
      <c r="AE362" s="431"/>
      <c r="AF362" s="431"/>
      <c r="AG362" s="431"/>
      <c r="AH362" s="431"/>
      <c r="AI362" s="431"/>
      <c r="AJ362" s="431"/>
      <c r="AK362" s="431"/>
      <c r="AL362" s="431"/>
      <c r="AM362" s="431"/>
      <c r="AN362" s="431"/>
      <c r="AO362" s="431"/>
      <c r="AP362" s="431"/>
      <c r="AQ362" s="431"/>
      <c r="AR362" s="431"/>
      <c r="AS362" s="431"/>
      <c r="AT362" s="431"/>
      <c r="AU362" s="431"/>
      <c r="AV362" s="431"/>
      <c r="AW362" s="431"/>
      <c r="AX362" s="431"/>
      <c r="AY362" s="431"/>
      <c r="AZ362" s="431"/>
      <c r="BA362" s="431"/>
      <c r="BB362" s="431"/>
      <c r="BC362" s="431"/>
      <c r="BD362" s="431"/>
      <c r="BE362" s="431"/>
      <c r="BF362" s="431"/>
      <c r="BG362" s="431"/>
      <c r="BH362" s="431"/>
      <c r="BI362" s="431"/>
      <c r="BJ362" s="431"/>
      <c r="BK362" s="431"/>
      <c r="BL362" s="431"/>
      <c r="BM362" s="431"/>
      <c r="BN362" s="431"/>
      <c r="BO362" s="431"/>
      <c r="BP362" s="431"/>
      <c r="BQ362" s="431"/>
      <c r="BR362" s="431"/>
      <c r="BS362" s="431"/>
      <c r="BT362" s="431"/>
      <c r="BU362" s="431"/>
      <c r="BV362" s="431"/>
      <c r="BW362" s="431"/>
      <c r="BX362" s="431"/>
      <c r="BY362" s="431"/>
      <c r="BZ362" s="431"/>
      <c r="CA362" s="431"/>
      <c r="CB362" s="431"/>
      <c r="CC362" s="431"/>
      <c r="CD362" s="431"/>
      <c r="CE362" s="431"/>
      <c r="CF362" s="431"/>
      <c r="CG362" s="431"/>
      <c r="CH362" s="431"/>
    </row>
    <row r="363" spans="1:86" ht="15.75" customHeight="1" outlineLevel="1" x14ac:dyDescent="0.25">
      <c r="A363" s="431"/>
      <c r="B363" s="443"/>
      <c r="C363" s="397" t="s">
        <v>149</v>
      </c>
      <c r="D363" s="511"/>
      <c r="E363" s="555">
        <v>5934.8</v>
      </c>
      <c r="F363" s="559"/>
      <c r="G363" s="503"/>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1"/>
      <c r="AD363" s="431"/>
      <c r="AE363" s="431"/>
      <c r="AF363" s="431"/>
      <c r="AG363" s="431"/>
      <c r="AH363" s="431"/>
      <c r="AI363" s="431"/>
      <c r="AJ363" s="431"/>
      <c r="AK363" s="431"/>
      <c r="AL363" s="431"/>
      <c r="AM363" s="431"/>
      <c r="AN363" s="431"/>
      <c r="AO363" s="431"/>
      <c r="AP363" s="431"/>
      <c r="AQ363" s="431"/>
      <c r="AR363" s="431"/>
      <c r="AS363" s="431"/>
      <c r="AT363" s="431"/>
      <c r="AU363" s="431"/>
      <c r="AV363" s="431"/>
      <c r="AW363" s="431"/>
      <c r="AX363" s="431"/>
      <c r="AY363" s="431"/>
      <c r="AZ363" s="431"/>
      <c r="BA363" s="431"/>
      <c r="BB363" s="431"/>
      <c r="BC363" s="431"/>
      <c r="BD363" s="431"/>
      <c r="BE363" s="431"/>
      <c r="BF363" s="431"/>
      <c r="BG363" s="431"/>
      <c r="BH363" s="431"/>
      <c r="BI363" s="431"/>
      <c r="BJ363" s="431"/>
      <c r="BK363" s="431"/>
      <c r="BL363" s="431"/>
      <c r="BM363" s="431"/>
      <c r="BN363" s="431"/>
      <c r="BO363" s="431"/>
      <c r="BP363" s="431"/>
      <c r="BQ363" s="431"/>
      <c r="BR363" s="431"/>
      <c r="BS363" s="431"/>
      <c r="BT363" s="431"/>
      <c r="BU363" s="431"/>
      <c r="BV363" s="431"/>
      <c r="BW363" s="431"/>
      <c r="BX363" s="431"/>
      <c r="BY363" s="431"/>
      <c r="BZ363" s="431"/>
      <c r="CA363" s="431"/>
      <c r="CB363" s="431"/>
      <c r="CC363" s="431"/>
      <c r="CD363" s="431"/>
      <c r="CE363" s="431"/>
      <c r="CF363" s="431"/>
      <c r="CG363" s="431"/>
      <c r="CH363" s="431"/>
    </row>
    <row r="364" spans="1:86" ht="15.75" customHeight="1" outlineLevel="1" x14ac:dyDescent="0.25">
      <c r="A364" s="431"/>
      <c r="B364" s="443"/>
      <c r="C364" s="397" t="s">
        <v>150</v>
      </c>
      <c r="D364" s="511"/>
      <c r="E364" s="555">
        <v>325.34999999999997</v>
      </c>
      <c r="F364" s="559"/>
      <c r="G364" s="503"/>
      <c r="H364" s="431"/>
      <c r="I364" s="431"/>
      <c r="J364" s="431"/>
      <c r="K364" s="431"/>
      <c r="L364" s="431"/>
      <c r="M364" s="431"/>
      <c r="N364" s="431"/>
      <c r="O364" s="431"/>
      <c r="P364" s="431"/>
      <c r="Q364" s="431"/>
      <c r="R364" s="431"/>
      <c r="S364" s="431"/>
      <c r="T364" s="431"/>
      <c r="U364" s="431"/>
      <c r="V364" s="431"/>
      <c r="W364" s="431"/>
      <c r="X364" s="431"/>
      <c r="Y364" s="431"/>
      <c r="Z364" s="431"/>
      <c r="AA364" s="431"/>
      <c r="AB364" s="431"/>
      <c r="AC364" s="431"/>
      <c r="AD364" s="431"/>
      <c r="AE364" s="431"/>
      <c r="AF364" s="431"/>
      <c r="AG364" s="431"/>
      <c r="AH364" s="431"/>
      <c r="AI364" s="431"/>
      <c r="AJ364" s="431"/>
      <c r="AK364" s="431"/>
      <c r="AL364" s="431"/>
      <c r="AM364" s="431"/>
      <c r="AN364" s="431"/>
      <c r="AO364" s="431"/>
      <c r="AP364" s="431"/>
      <c r="AQ364" s="431"/>
      <c r="AR364" s="431"/>
      <c r="AS364" s="431"/>
      <c r="AT364" s="431"/>
      <c r="AU364" s="431"/>
      <c r="AV364" s="431"/>
      <c r="AW364" s="431"/>
      <c r="AX364" s="431"/>
      <c r="AY364" s="431"/>
      <c r="AZ364" s="431"/>
      <c r="BA364" s="431"/>
      <c r="BB364" s="431"/>
      <c r="BC364" s="431"/>
      <c r="BD364" s="431"/>
      <c r="BE364" s="431"/>
      <c r="BF364" s="431"/>
      <c r="BG364" s="431"/>
      <c r="BH364" s="431"/>
      <c r="BI364" s="431"/>
      <c r="BJ364" s="431"/>
      <c r="BK364" s="431"/>
      <c r="BL364" s="431"/>
      <c r="BM364" s="431"/>
      <c r="BN364" s="431"/>
      <c r="BO364" s="431"/>
      <c r="BP364" s="431"/>
      <c r="BQ364" s="431"/>
      <c r="BR364" s="431"/>
      <c r="BS364" s="431"/>
      <c r="BT364" s="431"/>
      <c r="BU364" s="431"/>
      <c r="BV364" s="431"/>
      <c r="BW364" s="431"/>
      <c r="BX364" s="431"/>
      <c r="BY364" s="431"/>
      <c r="BZ364" s="431"/>
      <c r="CA364" s="431"/>
      <c r="CB364" s="431"/>
      <c r="CC364" s="431"/>
      <c r="CD364" s="431"/>
      <c r="CE364" s="431"/>
      <c r="CF364" s="431"/>
      <c r="CG364" s="431"/>
      <c r="CH364" s="431"/>
    </row>
    <row r="365" spans="1:86" ht="15.75" customHeight="1" outlineLevel="1" x14ac:dyDescent="0.25">
      <c r="A365" s="431"/>
      <c r="B365" s="443"/>
      <c r="C365" s="397" t="s">
        <v>151</v>
      </c>
      <c r="D365" s="511"/>
      <c r="E365" s="555">
        <v>0</v>
      </c>
      <c r="F365" s="559"/>
      <c r="G365" s="503"/>
      <c r="H365" s="431"/>
      <c r="I365" s="431"/>
      <c r="J365" s="431"/>
      <c r="K365" s="431"/>
      <c r="L365" s="431"/>
      <c r="M365" s="431"/>
      <c r="N365" s="431"/>
      <c r="O365" s="431"/>
      <c r="P365" s="431"/>
      <c r="Q365" s="431"/>
      <c r="R365" s="431"/>
      <c r="S365" s="431"/>
      <c r="T365" s="431"/>
      <c r="U365" s="431"/>
      <c r="V365" s="431"/>
      <c r="W365" s="431"/>
      <c r="X365" s="431"/>
      <c r="Y365" s="431"/>
      <c r="Z365" s="431"/>
      <c r="AA365" s="431"/>
      <c r="AB365" s="431"/>
      <c r="AC365" s="431"/>
      <c r="AD365" s="431"/>
      <c r="AE365" s="431"/>
      <c r="AF365" s="431"/>
      <c r="AG365" s="431"/>
      <c r="AH365" s="431"/>
      <c r="AI365" s="431"/>
      <c r="AJ365" s="431"/>
      <c r="AK365" s="431"/>
      <c r="AL365" s="431"/>
      <c r="AM365" s="431"/>
      <c r="AN365" s="431"/>
      <c r="AO365" s="431"/>
      <c r="AP365" s="431"/>
      <c r="AQ365" s="431"/>
      <c r="AR365" s="431"/>
      <c r="AS365" s="431"/>
      <c r="AT365" s="431"/>
      <c r="AU365" s="431"/>
      <c r="AV365" s="431"/>
      <c r="AW365" s="431"/>
      <c r="AX365" s="431"/>
      <c r="AY365" s="431"/>
      <c r="AZ365" s="431"/>
      <c r="BA365" s="431"/>
      <c r="BB365" s="431"/>
      <c r="BC365" s="431"/>
      <c r="BD365" s="431"/>
      <c r="BE365" s="431"/>
      <c r="BF365" s="431"/>
      <c r="BG365" s="431"/>
      <c r="BH365" s="431"/>
      <c r="BI365" s="431"/>
      <c r="BJ365" s="431"/>
      <c r="BK365" s="431"/>
      <c r="BL365" s="431"/>
      <c r="BM365" s="431"/>
      <c r="BN365" s="431"/>
      <c r="BO365" s="431"/>
      <c r="BP365" s="431"/>
      <c r="BQ365" s="431"/>
      <c r="BR365" s="431"/>
      <c r="BS365" s="431"/>
      <c r="BT365" s="431"/>
      <c r="BU365" s="431"/>
      <c r="BV365" s="431"/>
      <c r="BW365" s="431"/>
      <c r="BX365" s="431"/>
      <c r="BY365" s="431"/>
      <c r="BZ365" s="431"/>
      <c r="CA365" s="431"/>
      <c r="CB365" s="431"/>
      <c r="CC365" s="431"/>
      <c r="CD365" s="431"/>
      <c r="CE365" s="431"/>
      <c r="CF365" s="431"/>
      <c r="CG365" s="431"/>
      <c r="CH365" s="431"/>
    </row>
    <row r="366" spans="1:86" ht="15.75" customHeight="1" outlineLevel="1" x14ac:dyDescent="0.25">
      <c r="A366" s="431"/>
      <c r="B366" s="443"/>
      <c r="C366" s="397" t="s">
        <v>152</v>
      </c>
      <c r="D366" s="511"/>
      <c r="E366" s="555">
        <v>0</v>
      </c>
      <c r="F366" s="559"/>
      <c r="G366" s="503"/>
      <c r="H366" s="431"/>
      <c r="I366" s="431"/>
      <c r="J366" s="431"/>
      <c r="K366" s="431"/>
      <c r="L366" s="431"/>
      <c r="M366" s="431"/>
      <c r="N366" s="431"/>
      <c r="O366" s="431"/>
      <c r="P366" s="431"/>
      <c r="Q366" s="431"/>
      <c r="R366" s="431"/>
      <c r="S366" s="431"/>
      <c r="T366" s="431"/>
      <c r="U366" s="431"/>
      <c r="V366" s="431"/>
      <c r="W366" s="431"/>
      <c r="X366" s="431"/>
      <c r="Y366" s="431"/>
      <c r="Z366" s="431"/>
      <c r="AA366" s="431"/>
      <c r="AB366" s="431"/>
      <c r="AC366" s="431"/>
      <c r="AD366" s="431"/>
      <c r="AE366" s="431"/>
      <c r="AF366" s="431"/>
      <c r="AG366" s="431"/>
      <c r="AH366" s="431"/>
      <c r="AI366" s="431"/>
      <c r="AJ366" s="431"/>
      <c r="AK366" s="431"/>
      <c r="AL366" s="431"/>
      <c r="AM366" s="431"/>
      <c r="AN366" s="431"/>
      <c r="AO366" s="431"/>
      <c r="AP366" s="431"/>
      <c r="AQ366" s="431"/>
      <c r="AR366" s="431"/>
      <c r="AS366" s="431"/>
      <c r="AT366" s="431"/>
      <c r="AU366" s="431"/>
      <c r="AV366" s="431"/>
      <c r="AW366" s="431"/>
      <c r="AX366" s="431"/>
      <c r="AY366" s="431"/>
      <c r="AZ366" s="431"/>
      <c r="BA366" s="431"/>
      <c r="BB366" s="431"/>
      <c r="BC366" s="431"/>
      <c r="BD366" s="431"/>
      <c r="BE366" s="431"/>
      <c r="BF366" s="431"/>
      <c r="BG366" s="431"/>
      <c r="BH366" s="431"/>
      <c r="BI366" s="431"/>
      <c r="BJ366" s="431"/>
      <c r="BK366" s="431"/>
      <c r="BL366" s="431"/>
      <c r="BM366" s="431"/>
      <c r="BN366" s="431"/>
      <c r="BO366" s="431"/>
      <c r="BP366" s="431"/>
      <c r="BQ366" s="431"/>
      <c r="BR366" s="431"/>
      <c r="BS366" s="431"/>
      <c r="BT366" s="431"/>
      <c r="BU366" s="431"/>
      <c r="BV366" s="431"/>
      <c r="BW366" s="431"/>
      <c r="BX366" s="431"/>
      <c r="BY366" s="431"/>
      <c r="BZ366" s="431"/>
      <c r="CA366" s="431"/>
      <c r="CB366" s="431"/>
      <c r="CC366" s="431"/>
      <c r="CD366" s="431"/>
      <c r="CE366" s="431"/>
      <c r="CF366" s="431"/>
      <c r="CG366" s="431"/>
      <c r="CH366" s="431"/>
    </row>
    <row r="367" spans="1:86" ht="15.75" customHeight="1" outlineLevel="1" x14ac:dyDescent="0.25">
      <c r="A367" s="431"/>
      <c r="B367" s="443"/>
      <c r="C367" s="397" t="s">
        <v>153</v>
      </c>
      <c r="D367" s="511"/>
      <c r="E367" s="555">
        <v>3985</v>
      </c>
      <c r="F367" s="559"/>
      <c r="G367" s="503"/>
      <c r="H367" s="431"/>
      <c r="I367" s="431"/>
      <c r="J367" s="431"/>
      <c r="K367" s="431"/>
      <c r="L367" s="431"/>
      <c r="M367" s="431"/>
      <c r="N367" s="431"/>
      <c r="O367" s="431"/>
      <c r="P367" s="431"/>
      <c r="Q367" s="431"/>
      <c r="R367" s="431"/>
      <c r="S367" s="431"/>
      <c r="T367" s="431"/>
      <c r="U367" s="431"/>
      <c r="V367" s="431"/>
      <c r="W367" s="431"/>
      <c r="X367" s="431"/>
      <c r="Y367" s="431"/>
      <c r="Z367" s="431"/>
      <c r="AA367" s="431"/>
      <c r="AB367" s="431"/>
      <c r="AC367" s="431"/>
      <c r="AD367" s="431"/>
      <c r="AE367" s="431"/>
      <c r="AF367" s="431"/>
      <c r="AG367" s="431"/>
      <c r="AH367" s="431"/>
      <c r="AI367" s="431"/>
      <c r="AJ367" s="431"/>
      <c r="AK367" s="431"/>
      <c r="AL367" s="431"/>
      <c r="AM367" s="431"/>
      <c r="AN367" s="431"/>
      <c r="AO367" s="431"/>
      <c r="AP367" s="431"/>
      <c r="AQ367" s="431"/>
      <c r="AR367" s="431"/>
      <c r="AS367" s="431"/>
      <c r="AT367" s="431"/>
      <c r="AU367" s="431"/>
      <c r="AV367" s="431"/>
      <c r="AW367" s="431"/>
      <c r="AX367" s="431"/>
      <c r="AY367" s="431"/>
      <c r="AZ367" s="431"/>
      <c r="BA367" s="431"/>
      <c r="BB367" s="431"/>
      <c r="BC367" s="431"/>
      <c r="BD367" s="431"/>
      <c r="BE367" s="431"/>
      <c r="BF367" s="431"/>
      <c r="BG367" s="431"/>
      <c r="BH367" s="431"/>
      <c r="BI367" s="431"/>
      <c r="BJ367" s="431"/>
      <c r="BK367" s="431"/>
      <c r="BL367" s="431"/>
      <c r="BM367" s="431"/>
      <c r="BN367" s="431"/>
      <c r="BO367" s="431"/>
      <c r="BP367" s="431"/>
      <c r="BQ367" s="431"/>
      <c r="BR367" s="431"/>
      <c r="BS367" s="431"/>
      <c r="BT367" s="431"/>
      <c r="BU367" s="431"/>
      <c r="BV367" s="431"/>
      <c r="BW367" s="431"/>
      <c r="BX367" s="431"/>
      <c r="BY367" s="431"/>
      <c r="BZ367" s="431"/>
      <c r="CA367" s="431"/>
      <c r="CB367" s="431"/>
      <c r="CC367" s="431"/>
      <c r="CD367" s="431"/>
      <c r="CE367" s="431"/>
      <c r="CF367" s="431"/>
      <c r="CG367" s="431"/>
      <c r="CH367" s="431"/>
    </row>
    <row r="368" spans="1:86" ht="15.75" customHeight="1" outlineLevel="1" x14ac:dyDescent="0.25">
      <c r="A368" s="431"/>
      <c r="B368" s="443"/>
      <c r="C368" s="397" t="s">
        <v>154</v>
      </c>
      <c r="D368" s="511"/>
      <c r="E368" s="555">
        <v>13214</v>
      </c>
      <c r="F368" s="559"/>
      <c r="G368" s="503"/>
      <c r="H368" s="431"/>
      <c r="I368" s="431"/>
      <c r="J368" s="431"/>
      <c r="K368" s="431"/>
      <c r="L368" s="431"/>
      <c r="M368" s="431"/>
      <c r="N368" s="431"/>
      <c r="O368" s="431"/>
      <c r="P368" s="431"/>
      <c r="Q368" s="431"/>
      <c r="R368" s="431"/>
      <c r="S368" s="431"/>
      <c r="T368" s="431"/>
      <c r="U368" s="431"/>
      <c r="V368" s="431"/>
      <c r="W368" s="431"/>
      <c r="X368" s="431"/>
      <c r="Y368" s="431"/>
      <c r="Z368" s="431"/>
      <c r="AA368" s="431"/>
      <c r="AB368" s="431"/>
      <c r="AC368" s="431"/>
      <c r="AD368" s="431"/>
      <c r="AE368" s="431"/>
      <c r="AF368" s="431"/>
      <c r="AG368" s="431"/>
      <c r="AH368" s="431"/>
      <c r="AI368" s="431"/>
      <c r="AJ368" s="431"/>
      <c r="AK368" s="431"/>
      <c r="AL368" s="431"/>
      <c r="AM368" s="431"/>
      <c r="AN368" s="431"/>
      <c r="AO368" s="431"/>
      <c r="AP368" s="431"/>
      <c r="AQ368" s="431"/>
      <c r="AR368" s="431"/>
      <c r="AS368" s="431"/>
      <c r="AT368" s="431"/>
      <c r="AU368" s="431"/>
      <c r="AV368" s="431"/>
      <c r="AW368" s="431"/>
      <c r="AX368" s="431"/>
      <c r="AY368" s="431"/>
      <c r="AZ368" s="431"/>
      <c r="BA368" s="431"/>
      <c r="BB368" s="431"/>
      <c r="BC368" s="431"/>
      <c r="BD368" s="431"/>
      <c r="BE368" s="431"/>
      <c r="BF368" s="431"/>
      <c r="BG368" s="431"/>
      <c r="BH368" s="431"/>
      <c r="BI368" s="431"/>
      <c r="BJ368" s="431"/>
      <c r="BK368" s="431"/>
      <c r="BL368" s="431"/>
      <c r="BM368" s="431"/>
      <c r="BN368" s="431"/>
      <c r="BO368" s="431"/>
      <c r="BP368" s="431"/>
      <c r="BQ368" s="431"/>
      <c r="BR368" s="431"/>
      <c r="BS368" s="431"/>
      <c r="BT368" s="431"/>
      <c r="BU368" s="431"/>
      <c r="BV368" s="431"/>
      <c r="BW368" s="431"/>
      <c r="BX368" s="431"/>
      <c r="BY368" s="431"/>
      <c r="BZ368" s="431"/>
      <c r="CA368" s="431"/>
      <c r="CB368" s="431"/>
      <c r="CC368" s="431"/>
      <c r="CD368" s="431"/>
      <c r="CE368" s="431"/>
      <c r="CF368" s="431"/>
      <c r="CG368" s="431"/>
      <c r="CH368" s="431"/>
    </row>
    <row r="369" spans="1:86" ht="15.75" customHeight="1" outlineLevel="1" x14ac:dyDescent="0.25">
      <c r="A369" s="431"/>
      <c r="B369" s="443"/>
      <c r="C369" s="397" t="s">
        <v>155</v>
      </c>
      <c r="D369" s="511"/>
      <c r="E369" s="555">
        <v>13396</v>
      </c>
      <c r="F369" s="559"/>
      <c r="G369" s="503"/>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431"/>
      <c r="AF369" s="431"/>
      <c r="AG369" s="431"/>
      <c r="AH369" s="431"/>
      <c r="AI369" s="431"/>
      <c r="AJ369" s="431"/>
      <c r="AK369" s="431"/>
      <c r="AL369" s="431"/>
      <c r="AM369" s="431"/>
      <c r="AN369" s="431"/>
      <c r="AO369" s="431"/>
      <c r="AP369" s="431"/>
      <c r="AQ369" s="431"/>
      <c r="AR369" s="431"/>
      <c r="AS369" s="431"/>
      <c r="AT369" s="431"/>
      <c r="AU369" s="431"/>
      <c r="AV369" s="431"/>
      <c r="AW369" s="431"/>
      <c r="AX369" s="431"/>
      <c r="AY369" s="431"/>
      <c r="AZ369" s="431"/>
      <c r="BA369" s="431"/>
      <c r="BB369" s="431"/>
      <c r="BC369" s="431"/>
      <c r="BD369" s="431"/>
      <c r="BE369" s="431"/>
      <c r="BF369" s="431"/>
      <c r="BG369" s="431"/>
      <c r="BH369" s="431"/>
      <c r="BI369" s="431"/>
      <c r="BJ369" s="431"/>
      <c r="BK369" s="431"/>
      <c r="BL369" s="431"/>
      <c r="BM369" s="431"/>
      <c r="BN369" s="431"/>
      <c r="BO369" s="431"/>
      <c r="BP369" s="431"/>
      <c r="BQ369" s="431"/>
      <c r="BR369" s="431"/>
      <c r="BS369" s="431"/>
      <c r="BT369" s="431"/>
      <c r="BU369" s="431"/>
      <c r="BV369" s="431"/>
      <c r="BW369" s="431"/>
      <c r="BX369" s="431"/>
      <c r="BY369" s="431"/>
      <c r="BZ369" s="431"/>
      <c r="CA369" s="431"/>
      <c r="CB369" s="431"/>
      <c r="CC369" s="431"/>
      <c r="CD369" s="431"/>
      <c r="CE369" s="431"/>
      <c r="CF369" s="431"/>
      <c r="CG369" s="431"/>
      <c r="CH369" s="431"/>
    </row>
    <row r="370" spans="1:86" ht="15.75" customHeight="1" outlineLevel="1" x14ac:dyDescent="0.25">
      <c r="A370" s="431"/>
      <c r="B370" s="443"/>
      <c r="C370" s="397" t="s">
        <v>156</v>
      </c>
      <c r="D370" s="511"/>
      <c r="E370" s="555">
        <v>4944.8</v>
      </c>
      <c r="F370" s="559"/>
      <c r="G370" s="503"/>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431"/>
      <c r="AF370" s="431"/>
      <c r="AG370" s="431"/>
      <c r="AH370" s="431"/>
      <c r="AI370" s="431"/>
      <c r="AJ370" s="431"/>
      <c r="AK370" s="431"/>
      <c r="AL370" s="431"/>
      <c r="AM370" s="431"/>
      <c r="AN370" s="431"/>
      <c r="AO370" s="431"/>
      <c r="AP370" s="431"/>
      <c r="AQ370" s="431"/>
      <c r="AR370" s="431"/>
      <c r="AS370" s="431"/>
      <c r="AT370" s="431"/>
      <c r="AU370" s="431"/>
      <c r="AV370" s="431"/>
      <c r="AW370" s="431"/>
      <c r="AX370" s="431"/>
      <c r="AY370" s="431"/>
      <c r="AZ370" s="431"/>
      <c r="BA370" s="431"/>
      <c r="BB370" s="431"/>
      <c r="BC370" s="431"/>
      <c r="BD370" s="431"/>
      <c r="BE370" s="431"/>
      <c r="BF370" s="431"/>
      <c r="BG370" s="431"/>
      <c r="BH370" s="431"/>
      <c r="BI370" s="431"/>
      <c r="BJ370" s="431"/>
      <c r="BK370" s="431"/>
      <c r="BL370" s="431"/>
      <c r="BM370" s="431"/>
      <c r="BN370" s="431"/>
      <c r="BO370" s="431"/>
      <c r="BP370" s="431"/>
      <c r="BQ370" s="431"/>
      <c r="BR370" s="431"/>
      <c r="BS370" s="431"/>
      <c r="BT370" s="431"/>
      <c r="BU370" s="431"/>
      <c r="BV370" s="431"/>
      <c r="BW370" s="431"/>
      <c r="BX370" s="431"/>
      <c r="BY370" s="431"/>
      <c r="BZ370" s="431"/>
      <c r="CA370" s="431"/>
      <c r="CB370" s="431"/>
      <c r="CC370" s="431"/>
      <c r="CD370" s="431"/>
      <c r="CE370" s="431"/>
      <c r="CF370" s="431"/>
      <c r="CG370" s="431"/>
      <c r="CH370" s="431"/>
    </row>
    <row r="371" spans="1:86" ht="15.75" customHeight="1" outlineLevel="1" x14ac:dyDescent="0.25">
      <c r="A371" s="431"/>
      <c r="B371" s="443"/>
      <c r="C371" s="397" t="s">
        <v>157</v>
      </c>
      <c r="D371" s="511"/>
      <c r="E371" s="555">
        <v>0</v>
      </c>
      <c r="F371" s="559"/>
      <c r="G371" s="503"/>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431"/>
      <c r="AF371" s="431"/>
      <c r="AG371" s="431"/>
      <c r="AH371" s="431"/>
      <c r="AI371" s="431"/>
      <c r="AJ371" s="431"/>
      <c r="AK371" s="431"/>
      <c r="AL371" s="431"/>
      <c r="AM371" s="431"/>
      <c r="AN371" s="431"/>
      <c r="AO371" s="431"/>
      <c r="AP371" s="431"/>
      <c r="AQ371" s="431"/>
      <c r="AR371" s="431"/>
      <c r="AS371" s="431"/>
      <c r="AT371" s="431"/>
      <c r="AU371" s="431"/>
      <c r="AV371" s="431"/>
      <c r="AW371" s="431"/>
      <c r="AX371" s="431"/>
      <c r="AY371" s="431"/>
      <c r="AZ371" s="431"/>
      <c r="BA371" s="431"/>
      <c r="BB371" s="431"/>
      <c r="BC371" s="431"/>
      <c r="BD371" s="431"/>
      <c r="BE371" s="431"/>
      <c r="BF371" s="431"/>
      <c r="BG371" s="431"/>
      <c r="BH371" s="431"/>
      <c r="BI371" s="431"/>
      <c r="BJ371" s="431"/>
      <c r="BK371" s="431"/>
      <c r="BL371" s="431"/>
      <c r="BM371" s="431"/>
      <c r="BN371" s="431"/>
      <c r="BO371" s="431"/>
      <c r="BP371" s="431"/>
      <c r="BQ371" s="431"/>
      <c r="BR371" s="431"/>
      <c r="BS371" s="431"/>
      <c r="BT371" s="431"/>
      <c r="BU371" s="431"/>
      <c r="BV371" s="431"/>
      <c r="BW371" s="431"/>
      <c r="BX371" s="431"/>
      <c r="BY371" s="431"/>
      <c r="BZ371" s="431"/>
      <c r="CA371" s="431"/>
      <c r="CB371" s="431"/>
      <c r="CC371" s="431"/>
      <c r="CD371" s="431"/>
      <c r="CE371" s="431"/>
      <c r="CF371" s="431"/>
      <c r="CG371" s="431"/>
      <c r="CH371" s="431"/>
    </row>
    <row r="372" spans="1:86" ht="15.75" customHeight="1" outlineLevel="1" x14ac:dyDescent="0.25">
      <c r="A372" s="431"/>
      <c r="B372" s="443"/>
      <c r="C372" s="397" t="s">
        <v>158</v>
      </c>
      <c r="D372" s="511"/>
      <c r="E372" s="555">
        <v>0</v>
      </c>
      <c r="F372" s="559"/>
      <c r="G372" s="503"/>
      <c r="H372" s="431"/>
      <c r="I372" s="431"/>
      <c r="J372" s="431"/>
      <c r="K372" s="431"/>
      <c r="L372" s="431"/>
      <c r="M372" s="431"/>
      <c r="N372" s="431"/>
      <c r="O372" s="431"/>
      <c r="P372" s="431"/>
      <c r="Q372" s="431"/>
      <c r="R372" s="431"/>
      <c r="S372" s="431"/>
      <c r="T372" s="431"/>
      <c r="U372" s="431"/>
      <c r="V372" s="431"/>
      <c r="W372" s="431"/>
      <c r="X372" s="431"/>
      <c r="Y372" s="431"/>
      <c r="Z372" s="431"/>
      <c r="AA372" s="431"/>
      <c r="AB372" s="431"/>
      <c r="AC372" s="431"/>
      <c r="AD372" s="431"/>
      <c r="AE372" s="431"/>
      <c r="AF372" s="431"/>
      <c r="AG372" s="431"/>
      <c r="AH372" s="431"/>
      <c r="AI372" s="431"/>
      <c r="AJ372" s="431"/>
      <c r="AK372" s="431"/>
      <c r="AL372" s="431"/>
      <c r="AM372" s="431"/>
      <c r="AN372" s="431"/>
      <c r="AO372" s="431"/>
      <c r="AP372" s="431"/>
      <c r="AQ372" s="431"/>
      <c r="AR372" s="431"/>
      <c r="AS372" s="431"/>
      <c r="AT372" s="431"/>
      <c r="AU372" s="431"/>
      <c r="AV372" s="431"/>
      <c r="AW372" s="431"/>
      <c r="AX372" s="431"/>
      <c r="AY372" s="431"/>
      <c r="AZ372" s="431"/>
      <c r="BA372" s="431"/>
      <c r="BB372" s="431"/>
      <c r="BC372" s="431"/>
      <c r="BD372" s="431"/>
      <c r="BE372" s="431"/>
      <c r="BF372" s="431"/>
      <c r="BG372" s="431"/>
      <c r="BH372" s="431"/>
      <c r="BI372" s="431"/>
      <c r="BJ372" s="431"/>
      <c r="BK372" s="431"/>
      <c r="BL372" s="431"/>
      <c r="BM372" s="431"/>
      <c r="BN372" s="431"/>
      <c r="BO372" s="431"/>
      <c r="BP372" s="431"/>
      <c r="BQ372" s="431"/>
      <c r="BR372" s="431"/>
      <c r="BS372" s="431"/>
      <c r="BT372" s="431"/>
      <c r="BU372" s="431"/>
      <c r="BV372" s="431"/>
      <c r="BW372" s="431"/>
      <c r="BX372" s="431"/>
      <c r="BY372" s="431"/>
      <c r="BZ372" s="431"/>
      <c r="CA372" s="431"/>
      <c r="CB372" s="431"/>
      <c r="CC372" s="431"/>
      <c r="CD372" s="431"/>
      <c r="CE372" s="431"/>
      <c r="CF372" s="431"/>
      <c r="CG372" s="431"/>
      <c r="CH372" s="431"/>
    </row>
    <row r="373" spans="1:86" ht="15.6" customHeight="1" outlineLevel="1" x14ac:dyDescent="0.25">
      <c r="A373" s="431"/>
      <c r="B373" s="443"/>
      <c r="C373" s="397" t="s">
        <v>159</v>
      </c>
      <c r="D373" s="520"/>
      <c r="E373" s="555">
        <v>189.3</v>
      </c>
      <c r="F373" s="559"/>
      <c r="G373" s="503"/>
      <c r="H373" s="431"/>
      <c r="I373" s="431"/>
      <c r="J373" s="431"/>
      <c r="K373" s="431"/>
      <c r="L373" s="431"/>
      <c r="M373" s="431"/>
      <c r="N373" s="431"/>
      <c r="O373" s="431"/>
      <c r="P373" s="431"/>
      <c r="Q373" s="431"/>
      <c r="R373" s="431"/>
      <c r="S373" s="431"/>
      <c r="T373" s="431"/>
      <c r="U373" s="431"/>
      <c r="V373" s="431"/>
      <c r="W373" s="431"/>
      <c r="X373" s="431"/>
      <c r="Y373" s="431"/>
      <c r="Z373" s="431"/>
      <c r="AA373" s="431"/>
      <c r="AB373" s="431"/>
      <c r="AC373" s="431"/>
      <c r="AD373" s="431"/>
      <c r="AE373" s="431"/>
      <c r="AF373" s="431"/>
      <c r="AG373" s="431"/>
      <c r="AH373" s="431"/>
      <c r="AI373" s="431"/>
      <c r="AJ373" s="431"/>
      <c r="AK373" s="431"/>
      <c r="AL373" s="431"/>
      <c r="AM373" s="431"/>
      <c r="AN373" s="431"/>
      <c r="AO373" s="431"/>
      <c r="AP373" s="431"/>
      <c r="AQ373" s="431"/>
      <c r="AR373" s="431"/>
      <c r="AS373" s="431"/>
      <c r="AT373" s="431"/>
      <c r="AU373" s="431"/>
      <c r="AV373" s="431"/>
      <c r="AW373" s="431"/>
      <c r="AX373" s="431"/>
      <c r="AY373" s="431"/>
      <c r="AZ373" s="431"/>
      <c r="BA373" s="431"/>
      <c r="BB373" s="431"/>
      <c r="BC373" s="431"/>
      <c r="BD373" s="431"/>
      <c r="BE373" s="431"/>
      <c r="BF373" s="431"/>
      <c r="BG373" s="431"/>
      <c r="BH373" s="431"/>
      <c r="BI373" s="431"/>
      <c r="BJ373" s="431"/>
      <c r="BK373" s="431"/>
      <c r="BL373" s="431"/>
      <c r="BM373" s="431"/>
      <c r="BN373" s="431"/>
      <c r="BO373" s="431"/>
      <c r="BP373" s="431"/>
      <c r="BQ373" s="431"/>
      <c r="BR373" s="431"/>
      <c r="BS373" s="431"/>
      <c r="BT373" s="431"/>
      <c r="BU373" s="431"/>
      <c r="BV373" s="431"/>
      <c r="BW373" s="431"/>
      <c r="BX373" s="431"/>
      <c r="BY373" s="431"/>
      <c r="BZ373" s="431"/>
      <c r="CA373" s="431"/>
      <c r="CB373" s="431"/>
      <c r="CC373" s="431"/>
      <c r="CD373" s="431"/>
      <c r="CE373" s="431"/>
      <c r="CF373" s="431"/>
      <c r="CG373" s="431"/>
      <c r="CH373" s="431"/>
    </row>
    <row r="374" spans="1:86" ht="23.45" customHeight="1" outlineLevel="1" x14ac:dyDescent="0.25">
      <c r="A374" s="431"/>
      <c r="B374" s="443"/>
      <c r="C374" s="397" t="s">
        <v>552</v>
      </c>
      <c r="D374" s="397"/>
      <c r="E374" s="555">
        <f>E258</f>
        <v>28</v>
      </c>
      <c r="F374" s="560"/>
      <c r="G374" s="503"/>
      <c r="H374" s="431"/>
      <c r="I374" s="431"/>
      <c r="J374" s="431"/>
      <c r="K374" s="431"/>
      <c r="L374" s="431"/>
      <c r="M374" s="431"/>
      <c r="N374" s="431"/>
      <c r="O374" s="431"/>
      <c r="P374" s="431"/>
      <c r="Q374" s="431"/>
      <c r="R374" s="431"/>
      <c r="S374" s="431"/>
      <c r="T374" s="431"/>
      <c r="U374" s="431"/>
      <c r="V374" s="431"/>
      <c r="W374" s="431"/>
      <c r="X374" s="431"/>
      <c r="Y374" s="431"/>
      <c r="Z374" s="431"/>
      <c r="AA374" s="431"/>
      <c r="AB374" s="431"/>
      <c r="AC374" s="431"/>
      <c r="AD374" s="431"/>
      <c r="AE374" s="431"/>
      <c r="AF374" s="431"/>
      <c r="AG374" s="431"/>
      <c r="AH374" s="431"/>
      <c r="AI374" s="431"/>
      <c r="AJ374" s="431"/>
      <c r="AK374" s="431"/>
      <c r="AL374" s="431"/>
      <c r="AM374" s="431"/>
      <c r="AN374" s="431"/>
      <c r="AO374" s="431"/>
      <c r="AP374" s="431"/>
      <c r="AQ374" s="431"/>
      <c r="AR374" s="431"/>
      <c r="AS374" s="431"/>
      <c r="AT374" s="431"/>
      <c r="AU374" s="431"/>
      <c r="AV374" s="431"/>
      <c r="AW374" s="431"/>
      <c r="AX374" s="431"/>
      <c r="AY374" s="431"/>
      <c r="AZ374" s="431"/>
      <c r="BA374" s="431"/>
      <c r="BB374" s="431"/>
      <c r="BC374" s="431"/>
      <c r="BD374" s="431"/>
      <c r="BE374" s="431"/>
      <c r="BF374" s="431"/>
      <c r="BG374" s="431"/>
      <c r="BH374" s="431"/>
      <c r="BI374" s="431"/>
      <c r="BJ374" s="431"/>
      <c r="BK374" s="431"/>
      <c r="BL374" s="431"/>
      <c r="BM374" s="431"/>
      <c r="BN374" s="431"/>
      <c r="BO374" s="431"/>
      <c r="BP374" s="431"/>
      <c r="BQ374" s="431"/>
      <c r="BR374" s="431"/>
      <c r="BS374" s="431"/>
      <c r="BT374" s="431"/>
      <c r="BU374" s="431"/>
      <c r="BV374" s="431"/>
      <c r="BW374" s="431"/>
      <c r="BX374" s="431"/>
      <c r="BY374" s="431"/>
      <c r="BZ374" s="431"/>
      <c r="CA374" s="431"/>
      <c r="CB374" s="431"/>
      <c r="CC374" s="431"/>
      <c r="CD374" s="431"/>
      <c r="CE374" s="431"/>
      <c r="CF374" s="431"/>
      <c r="CG374" s="431"/>
      <c r="CH374" s="431"/>
    </row>
    <row r="375" spans="1:86" ht="15.75" customHeight="1" outlineLevel="1" x14ac:dyDescent="0.25">
      <c r="A375" s="431"/>
      <c r="B375" s="431"/>
      <c r="C375" s="525" t="s">
        <v>238</v>
      </c>
      <c r="D375" s="526"/>
      <c r="E375" s="239"/>
      <c r="F375" s="426"/>
      <c r="G375" s="431"/>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1"/>
      <c r="AD375" s="431"/>
      <c r="AE375" s="431"/>
      <c r="AF375" s="431"/>
      <c r="AG375" s="431"/>
      <c r="AH375" s="431"/>
      <c r="AI375" s="431"/>
      <c r="AJ375" s="431"/>
      <c r="AK375" s="431"/>
      <c r="AL375" s="431"/>
      <c r="AM375" s="431"/>
      <c r="AN375" s="431"/>
      <c r="AO375" s="431"/>
      <c r="AP375" s="431"/>
      <c r="AQ375" s="431"/>
      <c r="AR375" s="431"/>
      <c r="AS375" s="431"/>
      <c r="AT375" s="431"/>
      <c r="AU375" s="431"/>
      <c r="AV375" s="431"/>
      <c r="AW375" s="431"/>
      <c r="AX375" s="431"/>
      <c r="AY375" s="431"/>
      <c r="AZ375" s="431"/>
      <c r="BA375" s="431"/>
      <c r="BB375" s="431"/>
      <c r="BC375" s="431"/>
      <c r="BD375" s="431"/>
      <c r="BE375" s="431"/>
      <c r="BF375" s="431"/>
      <c r="BG375" s="431"/>
      <c r="BH375" s="431"/>
      <c r="BI375" s="431"/>
      <c r="BJ375" s="431"/>
      <c r="BK375" s="431"/>
      <c r="BL375" s="431"/>
      <c r="BM375" s="431"/>
      <c r="BN375" s="431"/>
      <c r="BO375" s="431"/>
      <c r="BP375" s="431"/>
      <c r="BQ375" s="431"/>
      <c r="BR375" s="431"/>
      <c r="BS375" s="431"/>
      <c r="BT375" s="431"/>
      <c r="BU375" s="431"/>
      <c r="BV375" s="431"/>
      <c r="BW375" s="431"/>
      <c r="BX375" s="431"/>
      <c r="BY375" s="431"/>
      <c r="BZ375" s="431"/>
      <c r="CA375" s="431"/>
      <c r="CB375" s="431"/>
      <c r="CC375" s="431"/>
      <c r="CD375" s="431"/>
      <c r="CE375" s="431"/>
      <c r="CF375" s="431"/>
      <c r="CG375" s="431"/>
      <c r="CH375" s="431"/>
    </row>
    <row r="376" spans="1:86" ht="21.4" customHeight="1" x14ac:dyDescent="0.25">
      <c r="A376" s="434"/>
      <c r="B376" s="431"/>
      <c r="C376" s="527"/>
      <c r="D376" s="426"/>
      <c r="E376" s="426"/>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431"/>
      <c r="AF376" s="431"/>
      <c r="AG376" s="431"/>
      <c r="AH376" s="431"/>
      <c r="AI376" s="431"/>
      <c r="AJ376" s="431"/>
      <c r="AK376" s="431"/>
      <c r="AL376" s="431"/>
      <c r="AM376" s="431"/>
      <c r="AN376" s="431"/>
      <c r="AO376" s="431"/>
      <c r="AP376" s="431"/>
      <c r="AQ376" s="431"/>
      <c r="AR376" s="431"/>
      <c r="AS376" s="431"/>
      <c r="AT376" s="431"/>
      <c r="AU376" s="431"/>
      <c r="AV376" s="431"/>
      <c r="AW376" s="431"/>
      <c r="AX376" s="431"/>
      <c r="AY376" s="431"/>
      <c r="AZ376" s="431"/>
      <c r="BA376" s="431"/>
      <c r="BB376" s="431"/>
      <c r="BC376" s="431"/>
      <c r="BD376" s="431"/>
      <c r="BE376" s="431"/>
      <c r="BF376" s="431"/>
      <c r="BG376" s="431"/>
      <c r="BH376" s="431"/>
      <c r="BI376" s="431"/>
      <c r="BJ376" s="431"/>
      <c r="BK376" s="431"/>
      <c r="BL376" s="431"/>
      <c r="BM376" s="431"/>
      <c r="BN376" s="431"/>
      <c r="BO376" s="431"/>
      <c r="BP376" s="431"/>
      <c r="BQ376" s="431"/>
      <c r="BR376" s="431"/>
      <c r="BS376" s="431"/>
      <c r="BT376" s="431"/>
      <c r="BU376" s="431"/>
      <c r="BV376" s="431"/>
      <c r="BW376" s="434"/>
      <c r="BX376" s="434"/>
      <c r="BY376" s="434"/>
      <c r="BZ376" s="434"/>
      <c r="CA376" s="434"/>
      <c r="CB376" s="431"/>
      <c r="CC376" s="431"/>
      <c r="CD376" s="431"/>
      <c r="CE376" s="431"/>
      <c r="CF376" s="431"/>
      <c r="CG376" s="431"/>
      <c r="CH376" s="431"/>
    </row>
    <row r="377" spans="1:86" ht="21.4" customHeight="1" x14ac:dyDescent="0.25">
      <c r="A377" s="171"/>
      <c r="B377" s="171"/>
      <c r="C377" s="460"/>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c r="BA377" s="171"/>
      <c r="BB377" s="171"/>
      <c r="BC377" s="171"/>
      <c r="BD377" s="171"/>
      <c r="BE377" s="171"/>
      <c r="BF377" s="171"/>
      <c r="BG377" s="171"/>
      <c r="BH377" s="171"/>
      <c r="BI377" s="171"/>
      <c r="BJ377" s="171"/>
      <c r="BK377" s="171"/>
      <c r="BL377" s="171"/>
      <c r="BM377" s="171"/>
      <c r="BN377" s="171"/>
      <c r="BO377" s="171"/>
      <c r="BP377" s="171"/>
      <c r="BQ377" s="171"/>
      <c r="BR377" s="171"/>
      <c r="BS377" s="171"/>
      <c r="BT377" s="171"/>
      <c r="BU377" s="171"/>
      <c r="BV377" s="171"/>
      <c r="BW377" s="171"/>
      <c r="BX377" s="171"/>
      <c r="BY377" s="171"/>
      <c r="BZ377" s="171"/>
      <c r="CA377" s="171"/>
      <c r="CB377" s="171"/>
      <c r="CC377" s="171"/>
      <c r="CD377" s="171"/>
      <c r="CE377" s="171"/>
      <c r="CF377" s="171"/>
      <c r="CG377" s="171"/>
      <c r="CH377" s="171"/>
    </row>
    <row r="378" spans="1:86" s="417" customFormat="1" ht="30" customHeight="1" x14ac:dyDescent="0.25">
      <c r="A378" s="742"/>
      <c r="B378" s="380" t="s">
        <v>1686</v>
      </c>
      <c r="C378" s="413"/>
      <c r="D378" s="414"/>
      <c r="E378" s="414"/>
      <c r="F378" s="414"/>
      <c r="G378" s="414"/>
      <c r="H378" s="414"/>
      <c r="I378" s="414"/>
      <c r="J378" s="414"/>
      <c r="K378" s="414"/>
      <c r="L378" s="414"/>
      <c r="M378" s="414"/>
      <c r="N378" s="414"/>
      <c r="O378" s="414"/>
      <c r="P378" s="414"/>
      <c r="Q378" s="414"/>
      <c r="R378" s="414"/>
      <c r="S378" s="414"/>
      <c r="T378" s="414"/>
      <c r="U378" s="414"/>
      <c r="V378" s="414"/>
      <c r="W378" s="414"/>
      <c r="X378" s="414"/>
      <c r="Y378" s="414"/>
      <c r="Z378" s="414"/>
      <c r="AA378" s="414"/>
      <c r="AB378" s="414"/>
      <c r="AC378" s="414"/>
      <c r="AD378" s="414"/>
      <c r="AE378" s="414"/>
      <c r="AF378" s="414"/>
      <c r="AG378" s="414"/>
      <c r="AH378" s="414"/>
      <c r="AI378" s="414"/>
      <c r="AJ378" s="414"/>
      <c r="AK378" s="414"/>
      <c r="AL378" s="414"/>
      <c r="AM378" s="414"/>
      <c r="AN378" s="414"/>
      <c r="AO378" s="414"/>
      <c r="AP378" s="414"/>
      <c r="AQ378" s="414"/>
      <c r="AR378" s="414"/>
      <c r="AS378" s="414"/>
      <c r="AT378" s="414"/>
      <c r="AU378" s="414"/>
      <c r="AV378" s="414"/>
      <c r="AW378" s="414"/>
      <c r="AX378" s="414"/>
      <c r="AY378" s="414"/>
      <c r="AZ378" s="414"/>
      <c r="BA378" s="414"/>
      <c r="BB378" s="414"/>
      <c r="BC378" s="414"/>
      <c r="BD378" s="414"/>
      <c r="BE378" s="414"/>
      <c r="BF378" s="414"/>
      <c r="BG378" s="414"/>
      <c r="BH378" s="414"/>
      <c r="BI378" s="414"/>
      <c r="BJ378" s="414"/>
      <c r="BK378" s="414"/>
      <c r="BL378" s="414"/>
      <c r="BM378" s="414"/>
      <c r="BN378" s="414"/>
      <c r="BO378" s="414"/>
      <c r="BP378" s="414"/>
      <c r="BQ378" s="414"/>
      <c r="BR378" s="414"/>
      <c r="BS378" s="414"/>
      <c r="BT378" s="414"/>
      <c r="BU378" s="414"/>
      <c r="BV378" s="414"/>
      <c r="BW378" s="414"/>
      <c r="BX378" s="415"/>
      <c r="BY378" s="415"/>
      <c r="BZ378" s="415"/>
      <c r="CA378" s="416"/>
    </row>
    <row r="379" spans="1:86" ht="21.4" customHeight="1" outlineLevel="1" x14ac:dyDescent="0.25">
      <c r="A379" s="171"/>
      <c r="B379" s="171"/>
      <c r="C379" s="460"/>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c r="AF379" s="171"/>
      <c r="AG379" s="171"/>
      <c r="AH379" s="171"/>
      <c r="AI379" s="171"/>
      <c r="AJ379" s="171"/>
      <c r="AK379" s="171"/>
      <c r="AL379" s="171"/>
      <c r="AM379" s="171"/>
      <c r="AN379" s="171"/>
      <c r="AO379" s="171"/>
      <c r="AP379" s="171"/>
      <c r="AQ379" s="171"/>
      <c r="AR379" s="171"/>
      <c r="AS379" s="171"/>
      <c r="AT379" s="171"/>
      <c r="AU379" s="171"/>
      <c r="AV379" s="171"/>
      <c r="AW379" s="171"/>
      <c r="AX379" s="171"/>
      <c r="AY379" s="171"/>
      <c r="AZ379" s="171"/>
      <c r="BA379" s="171"/>
      <c r="BB379" s="171"/>
      <c r="BC379" s="171"/>
      <c r="BD379" s="171"/>
      <c r="BE379" s="171"/>
      <c r="BF379" s="171"/>
      <c r="BG379" s="171"/>
      <c r="BH379" s="171"/>
      <c r="BI379" s="171"/>
      <c r="BJ379" s="171"/>
      <c r="BK379" s="171"/>
      <c r="BL379" s="171"/>
      <c r="BM379" s="171"/>
      <c r="BN379" s="171"/>
      <c r="BO379" s="171"/>
      <c r="BP379" s="171"/>
      <c r="BQ379" s="171"/>
      <c r="BR379" s="171"/>
      <c r="BS379" s="171"/>
      <c r="BT379" s="171"/>
      <c r="BU379" s="171"/>
      <c r="BV379" s="171"/>
      <c r="BW379" s="171"/>
      <c r="BX379" s="171"/>
      <c r="BY379" s="171"/>
      <c r="BZ379" s="171"/>
      <c r="CA379" s="171"/>
      <c r="CB379" s="171"/>
      <c r="CC379" s="171"/>
      <c r="CD379" s="171"/>
      <c r="CE379" s="171"/>
      <c r="CF379" s="171"/>
      <c r="CG379" s="171"/>
      <c r="CH379" s="171"/>
    </row>
    <row r="380" spans="1:86" ht="21.4" customHeight="1" outlineLevel="1" x14ac:dyDescent="0.25">
      <c r="A380" s="171"/>
      <c r="B380" s="524" t="s">
        <v>1150</v>
      </c>
      <c r="C380" s="460"/>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c r="AB380" s="171"/>
      <c r="AC380" s="171"/>
      <c r="AD380" s="171"/>
      <c r="AE380" s="171"/>
      <c r="AF380" s="171"/>
      <c r="AG380" s="171"/>
      <c r="AH380" s="171"/>
      <c r="AI380" s="171"/>
      <c r="AJ380" s="171"/>
      <c r="AK380" s="171"/>
      <c r="AL380" s="171"/>
      <c r="AM380" s="171"/>
      <c r="AN380" s="171"/>
      <c r="AO380" s="171"/>
      <c r="AP380" s="171"/>
      <c r="AQ380" s="171"/>
      <c r="AR380" s="171"/>
      <c r="AS380" s="171"/>
      <c r="AT380" s="171"/>
      <c r="AU380" s="171"/>
      <c r="AV380" s="171"/>
      <c r="AW380" s="171"/>
      <c r="AX380" s="171"/>
      <c r="AY380" s="171"/>
      <c r="AZ380" s="171"/>
      <c r="BA380" s="171"/>
      <c r="BB380" s="171"/>
      <c r="BC380" s="171"/>
      <c r="BD380" s="171"/>
      <c r="BE380" s="171"/>
      <c r="BF380" s="171"/>
      <c r="BG380" s="171"/>
      <c r="BH380" s="171"/>
      <c r="BI380" s="171"/>
      <c r="BJ380" s="171"/>
      <c r="BK380" s="171"/>
      <c r="BL380" s="171"/>
      <c r="BM380" s="171"/>
      <c r="BN380" s="171"/>
      <c r="BO380" s="171"/>
      <c r="BP380" s="171"/>
      <c r="BQ380" s="171"/>
      <c r="BR380" s="171"/>
      <c r="BS380" s="171"/>
      <c r="BT380" s="171"/>
      <c r="BU380" s="171"/>
      <c r="BV380" s="171"/>
      <c r="BW380" s="171"/>
      <c r="BX380" s="171"/>
      <c r="BY380" s="171"/>
      <c r="BZ380" s="171"/>
      <c r="CA380" s="171"/>
      <c r="CB380" s="171"/>
      <c r="CC380" s="171"/>
      <c r="CD380" s="171"/>
      <c r="CE380" s="171"/>
      <c r="CF380" s="171"/>
      <c r="CG380" s="171"/>
      <c r="CH380" s="171"/>
    </row>
    <row r="381" spans="1:86" s="240" customFormat="1" ht="21.4" customHeight="1" outlineLevel="1" x14ac:dyDescent="0.25">
      <c r="A381" s="407"/>
      <c r="B381" s="257" t="s">
        <v>474</v>
      </c>
      <c r="C381" s="257" t="s">
        <v>1149</v>
      </c>
      <c r="D381" s="407"/>
      <c r="E381" s="407"/>
      <c r="F381" s="407"/>
      <c r="G381" s="407"/>
      <c r="H381" s="407"/>
      <c r="I381" s="407"/>
      <c r="J381" s="407"/>
      <c r="K381" s="407"/>
      <c r="L381" s="407"/>
      <c r="M381" s="407"/>
      <c r="N381" s="407"/>
      <c r="O381" s="407"/>
      <c r="P381" s="407"/>
      <c r="Q381" s="407"/>
      <c r="R381" s="407"/>
      <c r="S381" s="407"/>
      <c r="T381" s="407"/>
      <c r="U381" s="407"/>
      <c r="V381" s="407"/>
      <c r="W381" s="407"/>
      <c r="X381" s="407"/>
      <c r="Y381" s="407"/>
      <c r="Z381" s="407"/>
      <c r="AA381" s="407"/>
      <c r="AB381" s="407"/>
      <c r="AC381" s="407"/>
      <c r="AD381" s="407"/>
      <c r="AE381" s="407"/>
      <c r="AF381" s="407"/>
      <c r="AG381" s="407"/>
      <c r="AH381" s="407"/>
      <c r="AI381" s="407"/>
      <c r="AJ381" s="407"/>
      <c r="AK381" s="407"/>
      <c r="AL381" s="407"/>
      <c r="AM381" s="407"/>
      <c r="AN381" s="407"/>
      <c r="AO381" s="407"/>
      <c r="AP381" s="407"/>
      <c r="AQ381" s="407"/>
      <c r="AR381" s="407"/>
      <c r="AS381" s="407"/>
      <c r="AT381" s="407"/>
      <c r="AU381" s="407"/>
      <c r="AV381" s="407"/>
      <c r="AW381" s="407"/>
      <c r="AX381" s="407"/>
      <c r="AY381" s="407"/>
      <c r="AZ381" s="407"/>
      <c r="BA381" s="407"/>
      <c r="BB381" s="407"/>
      <c r="BC381" s="407"/>
      <c r="BD381" s="407"/>
      <c r="BE381" s="407"/>
      <c r="BF381" s="407"/>
      <c r="BG381" s="407"/>
      <c r="BH381" s="407"/>
      <c r="BI381" s="407"/>
      <c r="BJ381" s="407"/>
      <c r="BK381" s="407"/>
      <c r="BL381" s="407"/>
      <c r="BM381" s="407"/>
      <c r="BN381" s="407"/>
      <c r="BO381" s="407"/>
      <c r="BP381" s="407"/>
      <c r="BQ381" s="407"/>
      <c r="BR381" s="407"/>
      <c r="BS381" s="407"/>
      <c r="BT381" s="407"/>
      <c r="BU381" s="407"/>
      <c r="BV381" s="407"/>
      <c r="BW381" s="407"/>
      <c r="BX381" s="407"/>
      <c r="BY381" s="407"/>
      <c r="BZ381" s="407"/>
      <c r="CA381" s="407"/>
      <c r="CB381" s="407"/>
      <c r="CC381" s="407"/>
      <c r="CD381" s="407"/>
      <c r="CE381" s="407"/>
      <c r="CF381" s="407"/>
      <c r="CG381" s="407"/>
      <c r="CH381" s="407"/>
    </row>
    <row r="382" spans="1:86" s="240" customFormat="1" ht="21.4" customHeight="1" outlineLevel="1" x14ac:dyDescent="0.25">
      <c r="A382" s="407"/>
      <c r="B382" s="263" t="s">
        <v>475</v>
      </c>
      <c r="C382" s="252">
        <v>119</v>
      </c>
      <c r="D382" s="407"/>
      <c r="E382" s="407"/>
      <c r="F382" s="407"/>
      <c r="G382" s="407"/>
      <c r="H382" s="407"/>
      <c r="I382" s="407"/>
      <c r="J382" s="407"/>
      <c r="K382" s="407"/>
      <c r="L382" s="407"/>
      <c r="M382" s="407"/>
      <c r="N382" s="407"/>
      <c r="O382" s="407"/>
      <c r="P382" s="407"/>
      <c r="Q382" s="407"/>
      <c r="R382" s="407"/>
      <c r="S382" s="407"/>
      <c r="T382" s="407"/>
      <c r="U382" s="407"/>
      <c r="V382" s="407"/>
      <c r="W382" s="407"/>
      <c r="X382" s="407"/>
      <c r="Y382" s="407"/>
      <c r="Z382" s="407"/>
      <c r="AA382" s="407"/>
      <c r="AB382" s="407"/>
      <c r="AC382" s="407"/>
      <c r="AD382" s="407"/>
      <c r="AE382" s="407"/>
      <c r="AF382" s="407"/>
      <c r="AG382" s="407"/>
      <c r="AH382" s="407"/>
      <c r="AI382" s="407"/>
      <c r="AJ382" s="407"/>
      <c r="AK382" s="407"/>
      <c r="AL382" s="407"/>
      <c r="AM382" s="407"/>
      <c r="AN382" s="407"/>
      <c r="AO382" s="407"/>
      <c r="AP382" s="407"/>
      <c r="AQ382" s="407"/>
      <c r="AR382" s="407"/>
      <c r="AS382" s="407"/>
      <c r="AT382" s="407"/>
      <c r="AU382" s="407"/>
      <c r="AV382" s="407"/>
      <c r="AW382" s="407"/>
      <c r="AX382" s="407"/>
      <c r="AY382" s="407"/>
      <c r="AZ382" s="407"/>
      <c r="BA382" s="407"/>
      <c r="BB382" s="407"/>
      <c r="BC382" s="407"/>
      <c r="BD382" s="407"/>
      <c r="BE382" s="407"/>
      <c r="BF382" s="407"/>
      <c r="BG382" s="407"/>
      <c r="BH382" s="407"/>
      <c r="BI382" s="407"/>
      <c r="BJ382" s="407"/>
      <c r="BK382" s="407"/>
      <c r="BL382" s="407"/>
      <c r="BM382" s="407"/>
      <c r="BN382" s="407"/>
      <c r="BO382" s="407"/>
      <c r="BP382" s="407"/>
      <c r="BQ382" s="407"/>
      <c r="BR382" s="407"/>
      <c r="BS382" s="407"/>
      <c r="BT382" s="407"/>
      <c r="BU382" s="407"/>
      <c r="BV382" s="407"/>
      <c r="BW382" s="407"/>
      <c r="BX382" s="407"/>
      <c r="BY382" s="407"/>
      <c r="BZ382" s="407"/>
      <c r="CA382" s="407"/>
      <c r="CB382" s="407"/>
      <c r="CC382" s="407"/>
      <c r="CD382" s="407"/>
      <c r="CE382" s="407"/>
      <c r="CF382" s="407"/>
      <c r="CG382" s="407"/>
      <c r="CH382" s="407"/>
    </row>
    <row r="383" spans="1:86" s="240" customFormat="1" ht="21.4" customHeight="1" outlineLevel="1" x14ac:dyDescent="0.25">
      <c r="A383" s="407"/>
      <c r="B383" s="263" t="s">
        <v>1151</v>
      </c>
      <c r="C383" s="252">
        <v>72</v>
      </c>
      <c r="D383" s="407"/>
      <c r="E383" s="407"/>
      <c r="F383" s="407"/>
      <c r="G383" s="407"/>
      <c r="H383" s="407"/>
      <c r="I383" s="407"/>
      <c r="J383" s="407"/>
      <c r="K383" s="407"/>
      <c r="L383" s="407"/>
      <c r="M383" s="407"/>
      <c r="N383" s="407"/>
      <c r="O383" s="407"/>
      <c r="P383" s="407"/>
      <c r="Q383" s="407"/>
      <c r="R383" s="407"/>
      <c r="S383" s="407"/>
      <c r="T383" s="407"/>
      <c r="U383" s="407"/>
      <c r="V383" s="407"/>
      <c r="W383" s="407"/>
      <c r="X383" s="407"/>
      <c r="Y383" s="407"/>
      <c r="Z383" s="407"/>
      <c r="AA383" s="407"/>
      <c r="AB383" s="407"/>
      <c r="AC383" s="407"/>
      <c r="AD383" s="407"/>
      <c r="AE383" s="407"/>
      <c r="AF383" s="407"/>
      <c r="AG383" s="407"/>
      <c r="AH383" s="407"/>
      <c r="AI383" s="407"/>
      <c r="AJ383" s="407"/>
      <c r="AK383" s="407"/>
      <c r="AL383" s="407"/>
      <c r="AM383" s="407"/>
      <c r="AN383" s="407"/>
      <c r="AO383" s="407"/>
      <c r="AP383" s="407"/>
      <c r="AQ383" s="407"/>
      <c r="AR383" s="407"/>
      <c r="AS383" s="407"/>
      <c r="AT383" s="407"/>
      <c r="AU383" s="407"/>
      <c r="AV383" s="407"/>
      <c r="AW383" s="407"/>
      <c r="AX383" s="407"/>
      <c r="AY383" s="407"/>
      <c r="AZ383" s="407"/>
      <c r="BA383" s="407"/>
      <c r="BB383" s="407"/>
      <c r="BC383" s="407"/>
      <c r="BD383" s="407"/>
      <c r="BE383" s="407"/>
      <c r="BF383" s="407"/>
      <c r="BG383" s="407"/>
      <c r="BH383" s="407"/>
      <c r="BI383" s="407"/>
      <c r="BJ383" s="407"/>
      <c r="BK383" s="407"/>
      <c r="BL383" s="407"/>
      <c r="BM383" s="407"/>
      <c r="BN383" s="407"/>
      <c r="BO383" s="407"/>
      <c r="BP383" s="407"/>
      <c r="BQ383" s="407"/>
      <c r="BR383" s="407"/>
      <c r="BS383" s="407"/>
      <c r="BT383" s="407"/>
      <c r="BU383" s="407"/>
      <c r="BV383" s="407"/>
      <c r="BW383" s="407"/>
      <c r="BX383" s="407"/>
      <c r="BY383" s="407"/>
      <c r="BZ383" s="407"/>
      <c r="CA383" s="407"/>
      <c r="CB383" s="407"/>
      <c r="CC383" s="407"/>
      <c r="CD383" s="407"/>
      <c r="CE383" s="407"/>
      <c r="CF383" s="407"/>
      <c r="CG383" s="407"/>
      <c r="CH383" s="407"/>
    </row>
    <row r="384" spans="1:86" s="240" customFormat="1" ht="21.4" customHeight="1" outlineLevel="1" x14ac:dyDescent="0.25">
      <c r="A384" s="407"/>
      <c r="B384" s="263" t="s">
        <v>476</v>
      </c>
      <c r="C384" s="252">
        <v>79</v>
      </c>
      <c r="D384" s="407"/>
      <c r="E384" s="407"/>
      <c r="F384" s="407"/>
      <c r="G384" s="407"/>
      <c r="H384" s="407"/>
      <c r="I384" s="407"/>
      <c r="J384" s="407"/>
      <c r="K384" s="407"/>
      <c r="L384" s="407"/>
      <c r="M384" s="407"/>
      <c r="N384" s="407"/>
      <c r="O384" s="407"/>
      <c r="P384" s="407"/>
      <c r="Q384" s="407"/>
      <c r="R384" s="407"/>
      <c r="S384" s="407"/>
      <c r="T384" s="407"/>
      <c r="U384" s="407"/>
      <c r="V384" s="407"/>
      <c r="W384" s="407"/>
      <c r="X384" s="407"/>
      <c r="Y384" s="407"/>
      <c r="Z384" s="407"/>
      <c r="AA384" s="407"/>
      <c r="AB384" s="407"/>
      <c r="AC384" s="407"/>
      <c r="AD384" s="407"/>
      <c r="AE384" s="407"/>
      <c r="AF384" s="407"/>
      <c r="AG384" s="407"/>
      <c r="AH384" s="407"/>
      <c r="AI384" s="407"/>
      <c r="AJ384" s="407"/>
      <c r="AK384" s="407"/>
      <c r="AL384" s="407"/>
      <c r="AM384" s="407"/>
      <c r="AN384" s="407"/>
      <c r="AO384" s="407"/>
      <c r="AP384" s="407"/>
      <c r="AQ384" s="407"/>
      <c r="AR384" s="407"/>
      <c r="AS384" s="407"/>
      <c r="AT384" s="407"/>
      <c r="AU384" s="407"/>
      <c r="AV384" s="407"/>
      <c r="AW384" s="407"/>
      <c r="AX384" s="407"/>
      <c r="AY384" s="407"/>
      <c r="AZ384" s="407"/>
      <c r="BA384" s="407"/>
      <c r="BB384" s="407"/>
      <c r="BC384" s="407"/>
      <c r="BD384" s="407"/>
      <c r="BE384" s="407"/>
      <c r="BF384" s="407"/>
      <c r="BG384" s="407"/>
      <c r="BH384" s="407"/>
      <c r="BI384" s="407"/>
      <c r="BJ384" s="407"/>
      <c r="BK384" s="407"/>
      <c r="BL384" s="407"/>
      <c r="BM384" s="407"/>
      <c r="BN384" s="407"/>
      <c r="BO384" s="407"/>
      <c r="BP384" s="407"/>
      <c r="BQ384" s="407"/>
      <c r="BR384" s="407"/>
      <c r="BS384" s="407"/>
      <c r="BT384" s="407"/>
      <c r="BU384" s="407"/>
      <c r="BV384" s="407"/>
      <c r="BW384" s="407"/>
      <c r="BX384" s="407"/>
      <c r="BY384" s="407"/>
      <c r="BZ384" s="407"/>
      <c r="CA384" s="407"/>
      <c r="CB384" s="407"/>
      <c r="CC384" s="407"/>
      <c r="CD384" s="407"/>
      <c r="CE384" s="407"/>
      <c r="CF384" s="407"/>
      <c r="CG384" s="407"/>
      <c r="CH384" s="407"/>
    </row>
    <row r="385" spans="1:86" s="240" customFormat="1" ht="21.4" customHeight="1" outlineLevel="1" x14ac:dyDescent="0.25">
      <c r="A385" s="407"/>
      <c r="B385" s="263" t="s">
        <v>477</v>
      </c>
      <c r="C385" s="252">
        <v>47</v>
      </c>
      <c r="D385" s="407"/>
      <c r="E385" s="407"/>
      <c r="F385" s="407"/>
      <c r="G385" s="407"/>
      <c r="H385" s="407"/>
      <c r="I385" s="407"/>
      <c r="J385" s="407"/>
      <c r="K385" s="407"/>
      <c r="L385" s="407"/>
      <c r="M385" s="407"/>
      <c r="N385" s="407"/>
      <c r="O385" s="407"/>
      <c r="P385" s="407"/>
      <c r="Q385" s="407"/>
      <c r="R385" s="407"/>
      <c r="S385" s="407"/>
      <c r="T385" s="407"/>
      <c r="U385" s="407"/>
      <c r="V385" s="407"/>
      <c r="W385" s="407"/>
      <c r="X385" s="407"/>
      <c r="Y385" s="407"/>
      <c r="Z385" s="407"/>
      <c r="AA385" s="407"/>
      <c r="AB385" s="407"/>
      <c r="AC385" s="407"/>
      <c r="AD385" s="407"/>
      <c r="AE385" s="407"/>
      <c r="AF385" s="407"/>
      <c r="AG385" s="407"/>
      <c r="AH385" s="407"/>
      <c r="AI385" s="407"/>
      <c r="AJ385" s="407"/>
      <c r="AK385" s="407"/>
      <c r="AL385" s="407"/>
      <c r="AM385" s="407"/>
      <c r="AN385" s="407"/>
      <c r="AO385" s="407"/>
      <c r="AP385" s="407"/>
      <c r="AQ385" s="407"/>
      <c r="AR385" s="407"/>
      <c r="AS385" s="407"/>
      <c r="AT385" s="407"/>
      <c r="AU385" s="407"/>
      <c r="AV385" s="407"/>
      <c r="AW385" s="407"/>
      <c r="AX385" s="407"/>
      <c r="AY385" s="407"/>
      <c r="AZ385" s="407"/>
      <c r="BA385" s="407"/>
      <c r="BB385" s="407"/>
      <c r="BC385" s="407"/>
      <c r="BD385" s="407"/>
      <c r="BE385" s="407"/>
      <c r="BF385" s="407"/>
      <c r="BG385" s="407"/>
      <c r="BH385" s="407"/>
      <c r="BI385" s="407"/>
      <c r="BJ385" s="407"/>
      <c r="BK385" s="407"/>
      <c r="BL385" s="407"/>
      <c r="BM385" s="407"/>
      <c r="BN385" s="407"/>
      <c r="BO385" s="407"/>
      <c r="BP385" s="407"/>
      <c r="BQ385" s="407"/>
      <c r="BR385" s="407"/>
      <c r="BS385" s="407"/>
      <c r="BT385" s="407"/>
      <c r="BU385" s="407"/>
      <c r="BV385" s="407"/>
      <c r="BW385" s="407"/>
      <c r="BX385" s="407"/>
      <c r="BY385" s="407"/>
      <c r="BZ385" s="407"/>
      <c r="CA385" s="407"/>
      <c r="CB385" s="407"/>
      <c r="CC385" s="407"/>
      <c r="CD385" s="407"/>
      <c r="CE385" s="407"/>
      <c r="CF385" s="407"/>
      <c r="CG385" s="407"/>
      <c r="CH385" s="407"/>
    </row>
    <row r="386" spans="1:86" s="240" customFormat="1" ht="21.4" customHeight="1" outlineLevel="1" x14ac:dyDescent="0.25">
      <c r="A386" s="407"/>
      <c r="B386" s="263" t="s">
        <v>478</v>
      </c>
      <c r="C386" s="252">
        <v>112</v>
      </c>
      <c r="D386" s="407"/>
      <c r="E386" s="407"/>
      <c r="F386" s="407"/>
      <c r="G386" s="407"/>
      <c r="H386" s="407"/>
      <c r="I386" s="407"/>
      <c r="J386" s="407"/>
      <c r="K386" s="407"/>
      <c r="L386" s="407"/>
      <c r="M386" s="407"/>
      <c r="N386" s="407"/>
      <c r="O386" s="407"/>
      <c r="P386" s="407"/>
      <c r="Q386" s="407"/>
      <c r="R386" s="407"/>
      <c r="S386" s="407"/>
      <c r="T386" s="407"/>
      <c r="U386" s="407"/>
      <c r="V386" s="407"/>
      <c r="W386" s="407"/>
      <c r="X386" s="407"/>
      <c r="Y386" s="407"/>
      <c r="Z386" s="407"/>
      <c r="AA386" s="407"/>
      <c r="AB386" s="407"/>
      <c r="AC386" s="407"/>
      <c r="AD386" s="407"/>
      <c r="AE386" s="407"/>
      <c r="AF386" s="407"/>
      <c r="AG386" s="407"/>
      <c r="AH386" s="407"/>
      <c r="AI386" s="407"/>
      <c r="AJ386" s="407"/>
      <c r="AK386" s="407"/>
      <c r="AL386" s="407"/>
      <c r="AM386" s="407"/>
      <c r="AN386" s="407"/>
      <c r="AO386" s="407"/>
      <c r="AP386" s="407"/>
      <c r="AQ386" s="407"/>
      <c r="AR386" s="407"/>
      <c r="AS386" s="407"/>
      <c r="AT386" s="407"/>
      <c r="AU386" s="407"/>
      <c r="AV386" s="407"/>
      <c r="AW386" s="407"/>
      <c r="AX386" s="407"/>
      <c r="AY386" s="407"/>
      <c r="AZ386" s="407"/>
      <c r="BA386" s="407"/>
      <c r="BB386" s="407"/>
      <c r="BC386" s="407"/>
      <c r="BD386" s="407"/>
      <c r="BE386" s="407"/>
      <c r="BF386" s="407"/>
      <c r="BG386" s="407"/>
      <c r="BH386" s="407"/>
      <c r="BI386" s="407"/>
      <c r="BJ386" s="407"/>
      <c r="BK386" s="407"/>
      <c r="BL386" s="407"/>
      <c r="BM386" s="407"/>
      <c r="BN386" s="407"/>
      <c r="BO386" s="407"/>
      <c r="BP386" s="407"/>
      <c r="BQ386" s="407"/>
      <c r="BR386" s="407"/>
      <c r="BS386" s="407"/>
      <c r="BT386" s="407"/>
      <c r="BU386" s="407"/>
      <c r="BV386" s="407"/>
      <c r="BW386" s="407"/>
      <c r="BX386" s="407"/>
      <c r="BY386" s="407"/>
      <c r="BZ386" s="407"/>
      <c r="CA386" s="407"/>
      <c r="CB386" s="407"/>
      <c r="CC386" s="407"/>
      <c r="CD386" s="407"/>
      <c r="CE386" s="407"/>
      <c r="CF386" s="407"/>
      <c r="CG386" s="407"/>
      <c r="CH386" s="407"/>
    </row>
    <row r="387" spans="1:86" s="240" customFormat="1" ht="21.4" customHeight="1" outlineLevel="1" x14ac:dyDescent="0.25">
      <c r="A387" s="407"/>
      <c r="B387" s="263" t="s">
        <v>479</v>
      </c>
      <c r="C387" s="252">
        <v>73</v>
      </c>
      <c r="D387" s="407"/>
      <c r="E387" s="407"/>
      <c r="F387" s="407"/>
      <c r="G387" s="407"/>
      <c r="H387" s="407"/>
      <c r="I387" s="407"/>
      <c r="J387" s="407"/>
      <c r="K387" s="407"/>
      <c r="L387" s="407"/>
      <c r="M387" s="407"/>
      <c r="N387" s="407"/>
      <c r="O387" s="407"/>
      <c r="P387" s="407"/>
      <c r="Q387" s="407"/>
      <c r="R387" s="407"/>
      <c r="S387" s="407"/>
      <c r="T387" s="407"/>
      <c r="U387" s="407"/>
      <c r="V387" s="407"/>
      <c r="W387" s="407"/>
      <c r="X387" s="407"/>
      <c r="Y387" s="407"/>
      <c r="Z387" s="407"/>
      <c r="AA387" s="407"/>
      <c r="AB387" s="407"/>
      <c r="AC387" s="407"/>
      <c r="AD387" s="407"/>
      <c r="AE387" s="407"/>
      <c r="AF387" s="407"/>
      <c r="AG387" s="407"/>
      <c r="AH387" s="407"/>
      <c r="AI387" s="407"/>
      <c r="AJ387" s="407"/>
      <c r="AK387" s="407"/>
      <c r="AL387" s="407"/>
      <c r="AM387" s="407"/>
      <c r="AN387" s="407"/>
      <c r="AO387" s="407"/>
      <c r="AP387" s="407"/>
      <c r="AQ387" s="407"/>
      <c r="AR387" s="407"/>
      <c r="AS387" s="407"/>
      <c r="AT387" s="407"/>
      <c r="AU387" s="407"/>
      <c r="AV387" s="407"/>
      <c r="AW387" s="407"/>
      <c r="AX387" s="407"/>
      <c r="AY387" s="407"/>
      <c r="AZ387" s="407"/>
      <c r="BA387" s="407"/>
      <c r="BB387" s="407"/>
      <c r="BC387" s="407"/>
      <c r="BD387" s="407"/>
      <c r="BE387" s="407"/>
      <c r="BF387" s="407"/>
      <c r="BG387" s="407"/>
      <c r="BH387" s="407"/>
      <c r="BI387" s="407"/>
      <c r="BJ387" s="407"/>
      <c r="BK387" s="407"/>
      <c r="BL387" s="407"/>
      <c r="BM387" s="407"/>
      <c r="BN387" s="407"/>
      <c r="BO387" s="407"/>
      <c r="BP387" s="407"/>
      <c r="BQ387" s="407"/>
      <c r="BR387" s="407"/>
      <c r="BS387" s="407"/>
      <c r="BT387" s="407"/>
      <c r="BU387" s="407"/>
      <c r="BV387" s="407"/>
      <c r="BW387" s="407"/>
      <c r="BX387" s="407"/>
      <c r="BY387" s="407"/>
      <c r="BZ387" s="407"/>
      <c r="CA387" s="407"/>
      <c r="CB387" s="407"/>
      <c r="CC387" s="407"/>
      <c r="CD387" s="407"/>
      <c r="CE387" s="407"/>
      <c r="CF387" s="407"/>
      <c r="CG387" s="407"/>
      <c r="CH387" s="407"/>
    </row>
    <row r="388" spans="1:86" s="240" customFormat="1" ht="21.4" customHeight="1" outlineLevel="1" x14ac:dyDescent="0.25">
      <c r="A388" s="407"/>
      <c r="B388" s="263" t="s">
        <v>480</v>
      </c>
      <c r="C388" s="252">
        <v>251</v>
      </c>
      <c r="D388" s="407"/>
      <c r="E388" s="407"/>
      <c r="F388" s="407"/>
      <c r="G388" s="407"/>
      <c r="H388" s="407"/>
      <c r="I388" s="407"/>
      <c r="J388" s="407"/>
      <c r="K388" s="407"/>
      <c r="L388" s="407"/>
      <c r="M388" s="407"/>
      <c r="N388" s="407"/>
      <c r="O388" s="407"/>
      <c r="P388" s="407"/>
      <c r="Q388" s="407"/>
      <c r="R388" s="407"/>
      <c r="S388" s="407"/>
      <c r="T388" s="407"/>
      <c r="U388" s="407"/>
      <c r="V388" s="407"/>
      <c r="W388" s="407"/>
      <c r="X388" s="407"/>
      <c r="Y388" s="407"/>
      <c r="Z388" s="407"/>
      <c r="AA388" s="407"/>
      <c r="AB388" s="407"/>
      <c r="AC388" s="407"/>
      <c r="AD388" s="407"/>
      <c r="AE388" s="407"/>
      <c r="AF388" s="407"/>
      <c r="AG388" s="407"/>
      <c r="AH388" s="407"/>
      <c r="AI388" s="407"/>
      <c r="AJ388" s="407"/>
      <c r="AK388" s="407"/>
      <c r="AL388" s="407"/>
      <c r="AM388" s="407"/>
      <c r="AN388" s="407"/>
      <c r="AO388" s="407"/>
      <c r="AP388" s="407"/>
      <c r="AQ388" s="407"/>
      <c r="AR388" s="407"/>
      <c r="AS388" s="407"/>
      <c r="AT388" s="407"/>
      <c r="AU388" s="407"/>
      <c r="AV388" s="407"/>
      <c r="AW388" s="407"/>
      <c r="AX388" s="407"/>
      <c r="AY388" s="407"/>
      <c r="AZ388" s="407"/>
      <c r="BA388" s="407"/>
      <c r="BB388" s="407"/>
      <c r="BC388" s="407"/>
      <c r="BD388" s="407"/>
      <c r="BE388" s="407"/>
      <c r="BF388" s="407"/>
      <c r="BG388" s="407"/>
      <c r="BH388" s="407"/>
      <c r="BI388" s="407"/>
      <c r="BJ388" s="407"/>
      <c r="BK388" s="407"/>
      <c r="BL388" s="407"/>
      <c r="BM388" s="407"/>
      <c r="BN388" s="407"/>
      <c r="BO388" s="407"/>
      <c r="BP388" s="407"/>
      <c r="BQ388" s="407"/>
      <c r="BR388" s="407"/>
      <c r="BS388" s="407"/>
      <c r="BT388" s="407"/>
      <c r="BU388" s="407"/>
      <c r="BV388" s="407"/>
      <c r="BW388" s="407"/>
      <c r="BX388" s="407"/>
      <c r="BY388" s="407"/>
      <c r="BZ388" s="407"/>
      <c r="CA388" s="407"/>
      <c r="CB388" s="407"/>
      <c r="CC388" s="407"/>
      <c r="CD388" s="407"/>
      <c r="CE388" s="407"/>
      <c r="CF388" s="407"/>
      <c r="CG388" s="407"/>
      <c r="CH388" s="407"/>
    </row>
    <row r="389" spans="1:86" s="240" customFormat="1" ht="21.4" customHeight="1" outlineLevel="1" x14ac:dyDescent="0.25">
      <c r="A389" s="407"/>
      <c r="B389" s="263" t="s">
        <v>481</v>
      </c>
      <c r="C389" s="252">
        <v>56</v>
      </c>
      <c r="D389" s="407"/>
      <c r="E389" s="407"/>
      <c r="F389" s="407"/>
      <c r="G389" s="407"/>
      <c r="H389" s="407"/>
      <c r="I389" s="407"/>
      <c r="J389" s="407"/>
      <c r="K389" s="407"/>
      <c r="L389" s="407"/>
      <c r="M389" s="407"/>
      <c r="N389" s="407"/>
      <c r="O389" s="407"/>
      <c r="P389" s="407"/>
      <c r="Q389" s="407"/>
      <c r="R389" s="407"/>
      <c r="S389" s="407"/>
      <c r="T389" s="407"/>
      <c r="U389" s="407"/>
      <c r="V389" s="407"/>
      <c r="W389" s="407"/>
      <c r="X389" s="407"/>
      <c r="Y389" s="407"/>
      <c r="Z389" s="407"/>
      <c r="AA389" s="407"/>
      <c r="AB389" s="407"/>
      <c r="AC389" s="407"/>
      <c r="AD389" s="407"/>
      <c r="AE389" s="407"/>
      <c r="AF389" s="407"/>
      <c r="AG389" s="407"/>
      <c r="AH389" s="407"/>
      <c r="AI389" s="407"/>
      <c r="AJ389" s="407"/>
      <c r="AK389" s="407"/>
      <c r="AL389" s="407"/>
      <c r="AM389" s="407"/>
      <c r="AN389" s="407"/>
      <c r="AO389" s="407"/>
      <c r="AP389" s="407"/>
      <c r="AQ389" s="407"/>
      <c r="AR389" s="407"/>
      <c r="AS389" s="407"/>
      <c r="AT389" s="407"/>
      <c r="AU389" s="407"/>
      <c r="AV389" s="407"/>
      <c r="AW389" s="407"/>
      <c r="AX389" s="407"/>
      <c r="AY389" s="407"/>
      <c r="AZ389" s="407"/>
      <c r="BA389" s="407"/>
      <c r="BB389" s="407"/>
      <c r="BC389" s="407"/>
      <c r="BD389" s="407"/>
      <c r="BE389" s="407"/>
      <c r="BF389" s="407"/>
      <c r="BG389" s="407"/>
      <c r="BH389" s="407"/>
      <c r="BI389" s="407"/>
      <c r="BJ389" s="407"/>
      <c r="BK389" s="407"/>
      <c r="BL389" s="407"/>
      <c r="BM389" s="407"/>
      <c r="BN389" s="407"/>
      <c r="BO389" s="407"/>
      <c r="BP389" s="407"/>
      <c r="BQ389" s="407"/>
      <c r="BR389" s="407"/>
      <c r="BS389" s="407"/>
      <c r="BT389" s="407"/>
      <c r="BU389" s="407"/>
      <c r="BV389" s="407"/>
      <c r="BW389" s="407"/>
      <c r="BX389" s="407"/>
      <c r="BY389" s="407"/>
      <c r="BZ389" s="407"/>
      <c r="CA389" s="407"/>
      <c r="CB389" s="407"/>
      <c r="CC389" s="407"/>
      <c r="CD389" s="407"/>
      <c r="CE389" s="407"/>
      <c r="CF389" s="407"/>
      <c r="CG389" s="407"/>
      <c r="CH389" s="407"/>
    </row>
    <row r="390" spans="1:86" s="240" customFormat="1" ht="21.4" customHeight="1" outlineLevel="1" x14ac:dyDescent="0.25">
      <c r="A390" s="407"/>
      <c r="B390" s="263" t="s">
        <v>482</v>
      </c>
      <c r="C390" s="252">
        <v>135</v>
      </c>
      <c r="D390" s="407"/>
      <c r="E390" s="407"/>
      <c r="F390" s="407"/>
      <c r="G390" s="407"/>
      <c r="H390" s="407"/>
      <c r="I390" s="407"/>
      <c r="J390" s="407"/>
      <c r="K390" s="407"/>
      <c r="L390" s="407"/>
      <c r="M390" s="407"/>
      <c r="N390" s="407"/>
      <c r="O390" s="407"/>
      <c r="P390" s="407"/>
      <c r="Q390" s="407"/>
      <c r="R390" s="407"/>
      <c r="S390" s="407"/>
      <c r="T390" s="407"/>
      <c r="U390" s="407"/>
      <c r="V390" s="407"/>
      <c r="W390" s="407"/>
      <c r="X390" s="407"/>
      <c r="Y390" s="407"/>
      <c r="Z390" s="407"/>
      <c r="AA390" s="407"/>
      <c r="AB390" s="407"/>
      <c r="AC390" s="407"/>
      <c r="AD390" s="407"/>
      <c r="AE390" s="407"/>
      <c r="AF390" s="407"/>
      <c r="AG390" s="407"/>
      <c r="AH390" s="407"/>
      <c r="AI390" s="407"/>
      <c r="AJ390" s="407"/>
      <c r="AK390" s="407"/>
      <c r="AL390" s="407"/>
      <c r="AM390" s="407"/>
      <c r="AN390" s="407"/>
      <c r="AO390" s="407"/>
      <c r="AP390" s="407"/>
      <c r="AQ390" s="407"/>
      <c r="AR390" s="407"/>
      <c r="AS390" s="407"/>
      <c r="AT390" s="407"/>
      <c r="AU390" s="407"/>
      <c r="AV390" s="407"/>
      <c r="AW390" s="407"/>
      <c r="AX390" s="407"/>
      <c r="AY390" s="407"/>
      <c r="AZ390" s="407"/>
      <c r="BA390" s="407"/>
      <c r="BB390" s="407"/>
      <c r="BC390" s="407"/>
      <c r="BD390" s="407"/>
      <c r="BE390" s="407"/>
      <c r="BF390" s="407"/>
      <c r="BG390" s="407"/>
      <c r="BH390" s="407"/>
      <c r="BI390" s="407"/>
      <c r="BJ390" s="407"/>
      <c r="BK390" s="407"/>
      <c r="BL390" s="407"/>
      <c r="BM390" s="407"/>
      <c r="BN390" s="407"/>
      <c r="BO390" s="407"/>
      <c r="BP390" s="407"/>
      <c r="BQ390" s="407"/>
      <c r="BR390" s="407"/>
      <c r="BS390" s="407"/>
      <c r="BT390" s="407"/>
      <c r="BU390" s="407"/>
      <c r="BV390" s="407"/>
      <c r="BW390" s="407"/>
      <c r="BX390" s="407"/>
      <c r="BY390" s="407"/>
      <c r="BZ390" s="407"/>
      <c r="CA390" s="407"/>
      <c r="CB390" s="407"/>
      <c r="CC390" s="407"/>
      <c r="CD390" s="407"/>
      <c r="CE390" s="407"/>
      <c r="CF390" s="407"/>
      <c r="CG390" s="407"/>
      <c r="CH390" s="407"/>
    </row>
    <row r="391" spans="1:86" s="240" customFormat="1" ht="21.4" customHeight="1" outlineLevel="1" x14ac:dyDescent="0.25">
      <c r="A391" s="407"/>
      <c r="B391" s="263" t="s">
        <v>404</v>
      </c>
      <c r="C391" s="252">
        <v>97</v>
      </c>
      <c r="D391" s="407"/>
      <c r="E391" s="407"/>
      <c r="F391" s="407"/>
      <c r="G391" s="407"/>
      <c r="H391" s="407"/>
      <c r="I391" s="407"/>
      <c r="J391" s="407"/>
      <c r="K391" s="407"/>
      <c r="L391" s="407"/>
      <c r="M391" s="407"/>
      <c r="N391" s="407"/>
      <c r="O391" s="407"/>
      <c r="P391" s="407"/>
      <c r="Q391" s="407"/>
      <c r="R391" s="407"/>
      <c r="S391" s="407"/>
      <c r="T391" s="407"/>
      <c r="U391" s="407"/>
      <c r="V391" s="407"/>
      <c r="W391" s="407"/>
      <c r="X391" s="407"/>
      <c r="Y391" s="407"/>
      <c r="Z391" s="407"/>
      <c r="AA391" s="407"/>
      <c r="AB391" s="407"/>
      <c r="AC391" s="407"/>
      <c r="AD391" s="407"/>
      <c r="AE391" s="407"/>
      <c r="AF391" s="407"/>
      <c r="AG391" s="407"/>
      <c r="AH391" s="407"/>
      <c r="AI391" s="407"/>
      <c r="AJ391" s="407"/>
      <c r="AK391" s="407"/>
      <c r="AL391" s="407"/>
      <c r="AM391" s="407"/>
      <c r="AN391" s="407"/>
      <c r="AO391" s="407"/>
      <c r="AP391" s="407"/>
      <c r="AQ391" s="407"/>
      <c r="AR391" s="407"/>
      <c r="AS391" s="407"/>
      <c r="AT391" s="407"/>
      <c r="AU391" s="407"/>
      <c r="AV391" s="407"/>
      <c r="AW391" s="407"/>
      <c r="AX391" s="407"/>
      <c r="AY391" s="407"/>
      <c r="AZ391" s="407"/>
      <c r="BA391" s="407"/>
      <c r="BB391" s="407"/>
      <c r="BC391" s="407"/>
      <c r="BD391" s="407"/>
      <c r="BE391" s="407"/>
      <c r="BF391" s="407"/>
      <c r="BG391" s="407"/>
      <c r="BH391" s="407"/>
      <c r="BI391" s="407"/>
      <c r="BJ391" s="407"/>
      <c r="BK391" s="407"/>
      <c r="BL391" s="407"/>
      <c r="BM391" s="407"/>
      <c r="BN391" s="407"/>
      <c r="BO391" s="407"/>
      <c r="BP391" s="407"/>
      <c r="BQ391" s="407"/>
      <c r="BR391" s="407"/>
      <c r="BS391" s="407"/>
      <c r="BT391" s="407"/>
      <c r="BU391" s="407"/>
      <c r="BV391" s="407"/>
      <c r="BW391" s="407"/>
      <c r="BX391" s="407"/>
      <c r="BY391" s="407"/>
      <c r="BZ391" s="407"/>
      <c r="CA391" s="407"/>
      <c r="CB391" s="407"/>
      <c r="CC391" s="407"/>
      <c r="CD391" s="407"/>
      <c r="CE391" s="407"/>
      <c r="CF391" s="407"/>
      <c r="CG391" s="407"/>
      <c r="CH391" s="407"/>
    </row>
    <row r="392" spans="1:86" s="240" customFormat="1" ht="21.4" customHeight="1" outlineLevel="1" x14ac:dyDescent="0.25">
      <c r="A392" s="407"/>
      <c r="B392" s="263" t="s">
        <v>483</v>
      </c>
      <c r="C392" s="252">
        <v>128</v>
      </c>
      <c r="D392" s="407"/>
      <c r="E392" s="407"/>
      <c r="F392" s="407"/>
      <c r="G392" s="407"/>
      <c r="H392" s="407"/>
      <c r="I392" s="407"/>
      <c r="J392" s="407"/>
      <c r="K392" s="407"/>
      <c r="L392" s="407"/>
      <c r="M392" s="407"/>
      <c r="N392" s="407"/>
      <c r="O392" s="407"/>
      <c r="P392" s="407"/>
      <c r="Q392" s="407"/>
      <c r="R392" s="407"/>
      <c r="S392" s="407"/>
      <c r="T392" s="407"/>
      <c r="U392" s="407"/>
      <c r="V392" s="407"/>
      <c r="W392" s="407"/>
      <c r="X392" s="407"/>
      <c r="Y392" s="407"/>
      <c r="Z392" s="407"/>
      <c r="AA392" s="407"/>
      <c r="AB392" s="407"/>
      <c r="AC392" s="407"/>
      <c r="AD392" s="407"/>
      <c r="AE392" s="407"/>
      <c r="AF392" s="407"/>
      <c r="AG392" s="407"/>
      <c r="AH392" s="407"/>
      <c r="AI392" s="407"/>
      <c r="AJ392" s="407"/>
      <c r="AK392" s="407"/>
      <c r="AL392" s="407"/>
      <c r="AM392" s="407"/>
      <c r="AN392" s="407"/>
      <c r="AO392" s="407"/>
      <c r="AP392" s="407"/>
      <c r="AQ392" s="407"/>
      <c r="AR392" s="407"/>
      <c r="AS392" s="407"/>
      <c r="AT392" s="407"/>
      <c r="AU392" s="407"/>
      <c r="AV392" s="407"/>
      <c r="AW392" s="407"/>
      <c r="AX392" s="407"/>
      <c r="AY392" s="407"/>
      <c r="AZ392" s="407"/>
      <c r="BA392" s="407"/>
      <c r="BB392" s="407"/>
      <c r="BC392" s="407"/>
      <c r="BD392" s="407"/>
      <c r="BE392" s="407"/>
      <c r="BF392" s="407"/>
      <c r="BG392" s="407"/>
      <c r="BH392" s="407"/>
      <c r="BI392" s="407"/>
      <c r="BJ392" s="407"/>
      <c r="BK392" s="407"/>
      <c r="BL392" s="407"/>
      <c r="BM392" s="407"/>
      <c r="BN392" s="407"/>
      <c r="BO392" s="407"/>
      <c r="BP392" s="407"/>
      <c r="BQ392" s="407"/>
      <c r="BR392" s="407"/>
      <c r="BS392" s="407"/>
      <c r="BT392" s="407"/>
      <c r="BU392" s="407"/>
      <c r="BV392" s="407"/>
      <c r="BW392" s="407"/>
      <c r="BX392" s="407"/>
      <c r="BY392" s="407"/>
      <c r="BZ392" s="407"/>
      <c r="CA392" s="407"/>
      <c r="CB392" s="407"/>
      <c r="CC392" s="407"/>
      <c r="CD392" s="407"/>
      <c r="CE392" s="407"/>
      <c r="CF392" s="407"/>
      <c r="CG392" s="407"/>
      <c r="CH392" s="407"/>
    </row>
    <row r="393" spans="1:86" ht="21.4" customHeight="1" outlineLevel="1" x14ac:dyDescent="0.25">
      <c r="A393" s="171"/>
      <c r="B393" s="267" t="s">
        <v>1689</v>
      </c>
      <c r="C393" s="267"/>
      <c r="D393" s="267"/>
      <c r="E393" s="267"/>
      <c r="F393" s="267"/>
      <c r="G393" s="267"/>
      <c r="H393" s="267"/>
      <c r="I393" s="267"/>
      <c r="J393" s="267"/>
      <c r="K393" s="267"/>
      <c r="L393" s="171"/>
      <c r="M393" s="171"/>
      <c r="N393" s="171"/>
      <c r="O393" s="171"/>
      <c r="P393" s="171"/>
      <c r="Q393" s="171"/>
      <c r="R393" s="171"/>
      <c r="S393" s="171"/>
      <c r="T393" s="171"/>
      <c r="U393" s="171"/>
      <c r="V393" s="171"/>
      <c r="W393" s="171"/>
      <c r="X393" s="171"/>
      <c r="Y393" s="171"/>
      <c r="Z393" s="171"/>
      <c r="AA393" s="171"/>
      <c r="AB393" s="171"/>
      <c r="AC393" s="171"/>
      <c r="AD393" s="171"/>
      <c r="AE393" s="171"/>
      <c r="AF393" s="171"/>
      <c r="AG393" s="171"/>
      <c r="AH393" s="171"/>
      <c r="AI393" s="171"/>
      <c r="AJ393" s="171"/>
      <c r="AK393" s="171"/>
      <c r="AL393" s="171"/>
      <c r="AM393" s="171"/>
      <c r="AN393" s="171"/>
      <c r="AO393" s="171"/>
      <c r="AP393" s="171"/>
      <c r="AQ393" s="171"/>
      <c r="AR393" s="171"/>
      <c r="AS393" s="171"/>
      <c r="AT393" s="171"/>
      <c r="AU393" s="171"/>
      <c r="AV393" s="171"/>
      <c r="AW393" s="171"/>
      <c r="AX393" s="171"/>
      <c r="AY393" s="171"/>
      <c r="AZ393" s="171"/>
      <c r="BA393" s="171"/>
      <c r="BB393" s="171"/>
      <c r="BC393" s="171"/>
      <c r="BD393" s="171"/>
      <c r="BE393" s="171"/>
      <c r="BF393" s="171"/>
      <c r="BG393" s="171"/>
      <c r="BH393" s="171"/>
      <c r="BI393" s="171"/>
      <c r="BJ393" s="171"/>
      <c r="BK393" s="171"/>
      <c r="BL393" s="171"/>
      <c r="BM393" s="171"/>
      <c r="BN393" s="171"/>
      <c r="BO393" s="171"/>
      <c r="BP393" s="171"/>
      <c r="BQ393" s="171"/>
      <c r="BR393" s="171"/>
      <c r="BS393" s="171"/>
      <c r="BT393" s="171"/>
      <c r="BU393" s="171"/>
      <c r="BV393" s="171"/>
      <c r="BW393" s="171"/>
      <c r="BX393" s="171"/>
      <c r="BY393" s="171"/>
      <c r="BZ393" s="171"/>
      <c r="CA393" s="171"/>
      <c r="CB393" s="171"/>
      <c r="CC393" s="171"/>
      <c r="CD393" s="171"/>
      <c r="CE393" s="171"/>
      <c r="CF393" s="171"/>
      <c r="CG393" s="171"/>
      <c r="CH393" s="171"/>
    </row>
    <row r="394" spans="1:86" ht="21.4" customHeight="1" x14ac:dyDescent="0.25">
      <c r="A394" s="171"/>
      <c r="B394" s="171"/>
      <c r="C394" s="460"/>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c r="BA394" s="171"/>
      <c r="BB394" s="171"/>
      <c r="BC394" s="171"/>
      <c r="BD394" s="171"/>
      <c r="BE394" s="171"/>
      <c r="BF394" s="171"/>
      <c r="BG394" s="171"/>
      <c r="BH394" s="171"/>
      <c r="BI394" s="171"/>
      <c r="BJ394" s="171"/>
      <c r="BK394" s="171"/>
      <c r="BL394" s="171"/>
      <c r="BM394" s="171"/>
      <c r="BN394" s="171"/>
      <c r="BO394" s="171"/>
      <c r="BP394" s="171"/>
      <c r="BQ394" s="171"/>
      <c r="BR394" s="171"/>
      <c r="BS394" s="171"/>
      <c r="BT394" s="171"/>
      <c r="BU394" s="171"/>
      <c r="BV394" s="171"/>
      <c r="BW394" s="171"/>
      <c r="BX394" s="171"/>
      <c r="BY394" s="171"/>
      <c r="BZ394" s="171"/>
      <c r="CA394" s="171"/>
      <c r="CB394" s="171"/>
      <c r="CC394" s="171"/>
      <c r="CD394" s="171"/>
      <c r="CE394" s="171"/>
      <c r="CF394" s="171"/>
      <c r="CG394" s="171"/>
      <c r="CH394" s="171"/>
    </row>
    <row r="395" spans="1:86" ht="21.4" customHeight="1" x14ac:dyDescent="0.25">
      <c r="A395" s="171"/>
      <c r="B395" s="171"/>
      <c r="C395" s="460"/>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c r="AB395" s="171"/>
      <c r="AC395" s="171"/>
      <c r="AD395" s="171"/>
      <c r="AE395" s="171"/>
      <c r="AF395" s="171"/>
      <c r="AG395" s="171"/>
      <c r="AH395" s="171"/>
      <c r="AI395" s="171"/>
      <c r="AJ395" s="171"/>
      <c r="AK395" s="171"/>
      <c r="AL395" s="171"/>
      <c r="AM395" s="171"/>
      <c r="AN395" s="171"/>
      <c r="AO395" s="171"/>
      <c r="AP395" s="171"/>
      <c r="AQ395" s="171"/>
      <c r="AR395" s="171"/>
      <c r="AS395" s="171"/>
      <c r="AT395" s="171"/>
      <c r="AU395" s="171"/>
      <c r="AV395" s="171"/>
      <c r="AW395" s="171"/>
      <c r="AX395" s="171"/>
      <c r="AY395" s="171"/>
      <c r="AZ395" s="171"/>
      <c r="BA395" s="171"/>
      <c r="BB395" s="171"/>
      <c r="BC395" s="171"/>
      <c r="BD395" s="171"/>
      <c r="BE395" s="171"/>
      <c r="BF395" s="171"/>
      <c r="BG395" s="171"/>
      <c r="BH395" s="171"/>
      <c r="BI395" s="171"/>
      <c r="BJ395" s="171"/>
      <c r="BK395" s="171"/>
      <c r="BL395" s="171"/>
      <c r="BM395" s="171"/>
      <c r="BN395" s="171"/>
      <c r="BO395" s="171"/>
      <c r="BP395" s="171"/>
      <c r="BQ395" s="171"/>
      <c r="BR395" s="171"/>
      <c r="BS395" s="171"/>
      <c r="BT395" s="171"/>
      <c r="BU395" s="171"/>
      <c r="BV395" s="171"/>
      <c r="BW395" s="171"/>
      <c r="BX395" s="171"/>
      <c r="BY395" s="171"/>
      <c r="BZ395" s="171"/>
      <c r="CA395" s="171"/>
      <c r="CB395" s="171"/>
      <c r="CC395" s="171"/>
      <c r="CD395" s="171"/>
      <c r="CE395" s="171"/>
      <c r="CF395" s="171"/>
      <c r="CG395" s="171"/>
      <c r="CH395" s="171"/>
    </row>
    <row r="396" spans="1:86" ht="21.4" customHeight="1" x14ac:dyDescent="0.25">
      <c r="A396" s="171"/>
      <c r="B396" s="171"/>
      <c r="C396" s="460"/>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c r="AA396" s="171"/>
      <c r="AB396" s="171"/>
      <c r="AC396" s="171"/>
      <c r="AD396" s="171"/>
      <c r="AE396" s="171"/>
      <c r="AF396" s="171"/>
      <c r="AG396" s="171"/>
      <c r="AH396" s="171"/>
      <c r="AI396" s="171"/>
      <c r="AJ396" s="171"/>
      <c r="AK396" s="171"/>
      <c r="AL396" s="171"/>
      <c r="AM396" s="171"/>
      <c r="AN396" s="171"/>
      <c r="AO396" s="171"/>
      <c r="AP396" s="171"/>
      <c r="AQ396" s="171"/>
      <c r="AR396" s="171"/>
      <c r="AS396" s="171"/>
      <c r="AT396" s="171"/>
      <c r="AU396" s="171"/>
      <c r="AV396" s="171"/>
      <c r="AW396" s="171"/>
      <c r="AX396" s="171"/>
      <c r="AY396" s="171"/>
      <c r="AZ396" s="171"/>
      <c r="BA396" s="171"/>
      <c r="BB396" s="171"/>
      <c r="BC396" s="171"/>
      <c r="BD396" s="171"/>
      <c r="BE396" s="171"/>
      <c r="BF396" s="171"/>
      <c r="BG396" s="171"/>
      <c r="BH396" s="171"/>
      <c r="BI396" s="171"/>
      <c r="BJ396" s="171"/>
      <c r="BK396" s="171"/>
      <c r="BL396" s="171"/>
      <c r="BM396" s="171"/>
      <c r="BN396" s="171"/>
      <c r="BO396" s="171"/>
      <c r="BP396" s="171"/>
      <c r="BQ396" s="171"/>
      <c r="BR396" s="171"/>
      <c r="BS396" s="171"/>
      <c r="BT396" s="171"/>
      <c r="BU396" s="171"/>
      <c r="BV396" s="171"/>
      <c r="BW396" s="171"/>
      <c r="BX396" s="171"/>
      <c r="BY396" s="171"/>
      <c r="BZ396" s="171"/>
      <c r="CA396" s="171"/>
      <c r="CB396" s="171"/>
      <c r="CC396" s="171"/>
      <c r="CD396" s="171"/>
      <c r="CE396" s="171"/>
      <c r="CF396" s="171"/>
      <c r="CG396" s="171"/>
      <c r="CH396" s="171"/>
    </row>
    <row r="397" spans="1:86" ht="21.4" customHeight="1" x14ac:dyDescent="0.25">
      <c r="A397" s="171"/>
      <c r="B397" s="171"/>
      <c r="C397" s="460"/>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c r="BA397" s="171"/>
      <c r="BB397" s="171"/>
      <c r="BC397" s="171"/>
      <c r="BD397" s="171"/>
      <c r="BE397" s="171"/>
      <c r="BF397" s="171"/>
      <c r="BG397" s="171"/>
      <c r="BH397" s="171"/>
      <c r="BI397" s="171"/>
      <c r="BJ397" s="171"/>
      <c r="BK397" s="171"/>
      <c r="BL397" s="171"/>
      <c r="BM397" s="171"/>
      <c r="BN397" s="171"/>
      <c r="BO397" s="171"/>
      <c r="BP397" s="171"/>
      <c r="BQ397" s="171"/>
      <c r="BR397" s="171"/>
      <c r="BS397" s="171"/>
      <c r="BT397" s="171"/>
      <c r="BU397" s="171"/>
      <c r="BV397" s="171"/>
      <c r="BW397" s="171"/>
      <c r="BX397" s="171"/>
      <c r="BY397" s="171"/>
      <c r="BZ397" s="171"/>
      <c r="CA397" s="171"/>
      <c r="CB397" s="171"/>
      <c r="CC397" s="171"/>
      <c r="CD397" s="171"/>
      <c r="CE397" s="171"/>
      <c r="CF397" s="171"/>
      <c r="CG397" s="171"/>
      <c r="CH397" s="171"/>
    </row>
    <row r="398" spans="1:86" ht="21.4" customHeight="1" x14ac:dyDescent="0.25">
      <c r="A398" s="171"/>
      <c r="B398" s="171"/>
      <c r="C398" s="460"/>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c r="AF398" s="171"/>
      <c r="AG398" s="171"/>
      <c r="AH398" s="171"/>
      <c r="AI398" s="171"/>
      <c r="AJ398" s="171"/>
      <c r="AK398" s="171"/>
      <c r="AL398" s="171"/>
      <c r="AM398" s="171"/>
      <c r="AN398" s="171"/>
      <c r="AO398" s="171"/>
      <c r="AP398" s="171"/>
      <c r="AQ398" s="171"/>
      <c r="AR398" s="171"/>
      <c r="AS398" s="171"/>
      <c r="AT398" s="171"/>
      <c r="AU398" s="171"/>
      <c r="AV398" s="171"/>
      <c r="AW398" s="171"/>
      <c r="AX398" s="171"/>
      <c r="AY398" s="171"/>
      <c r="AZ398" s="171"/>
      <c r="BA398" s="171"/>
      <c r="BB398" s="171"/>
      <c r="BC398" s="171"/>
      <c r="BD398" s="171"/>
      <c r="BE398" s="171"/>
      <c r="BF398" s="171"/>
      <c r="BG398" s="171"/>
      <c r="BH398" s="171"/>
      <c r="BI398" s="171"/>
      <c r="BJ398" s="171"/>
      <c r="BK398" s="171"/>
      <c r="BL398" s="171"/>
      <c r="BM398" s="171"/>
      <c r="BN398" s="171"/>
      <c r="BO398" s="171"/>
      <c r="BP398" s="171"/>
      <c r="BQ398" s="171"/>
      <c r="BR398" s="171"/>
      <c r="BS398" s="171"/>
      <c r="BT398" s="171"/>
      <c r="BU398" s="171"/>
      <c r="BV398" s="171"/>
      <c r="BW398" s="171"/>
      <c r="BX398" s="171"/>
      <c r="BY398" s="171"/>
      <c r="BZ398" s="171"/>
      <c r="CA398" s="171"/>
      <c r="CB398" s="171"/>
      <c r="CC398" s="171"/>
      <c r="CD398" s="171"/>
      <c r="CE398" s="171"/>
      <c r="CF398" s="171"/>
      <c r="CG398" s="171"/>
      <c r="CH398" s="171"/>
    </row>
    <row r="399" spans="1:86" ht="21.4" customHeight="1" x14ac:dyDescent="0.25">
      <c r="A399" s="171"/>
      <c r="B399" s="171"/>
      <c r="C399" s="460"/>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c r="AB399" s="171"/>
      <c r="AC399" s="171"/>
      <c r="AD399" s="171"/>
      <c r="AE399" s="171"/>
      <c r="AF399" s="171"/>
      <c r="AG399" s="171"/>
      <c r="AH399" s="171"/>
      <c r="AI399" s="171"/>
      <c r="AJ399" s="171"/>
      <c r="AK399" s="171"/>
      <c r="AL399" s="171"/>
      <c r="AM399" s="171"/>
      <c r="AN399" s="171"/>
      <c r="AO399" s="171"/>
      <c r="AP399" s="171"/>
      <c r="AQ399" s="171"/>
      <c r="AR399" s="171"/>
      <c r="AS399" s="171"/>
      <c r="AT399" s="171"/>
      <c r="AU399" s="171"/>
      <c r="AV399" s="171"/>
      <c r="AW399" s="171"/>
      <c r="AX399" s="171"/>
      <c r="AY399" s="171"/>
      <c r="AZ399" s="171"/>
      <c r="BA399" s="171"/>
      <c r="BB399" s="171"/>
      <c r="BC399" s="171"/>
      <c r="BD399" s="171"/>
      <c r="BE399" s="171"/>
      <c r="BF399" s="171"/>
      <c r="BG399" s="171"/>
      <c r="BH399" s="171"/>
      <c r="BI399" s="171"/>
      <c r="BJ399" s="171"/>
      <c r="BK399" s="171"/>
      <c r="BL399" s="171"/>
      <c r="BM399" s="171"/>
      <c r="BN399" s="171"/>
      <c r="BO399" s="171"/>
      <c r="BP399" s="171"/>
      <c r="BQ399" s="171"/>
      <c r="BR399" s="171"/>
      <c r="BS399" s="171"/>
      <c r="BT399" s="171"/>
      <c r="BU399" s="171"/>
      <c r="BV399" s="171"/>
      <c r="BW399" s="171"/>
      <c r="BX399" s="171"/>
      <c r="BY399" s="171"/>
      <c r="BZ399" s="171"/>
      <c r="CA399" s="171"/>
      <c r="CB399" s="171"/>
      <c r="CC399" s="171"/>
      <c r="CD399" s="171"/>
      <c r="CE399" s="171"/>
      <c r="CF399" s="171"/>
      <c r="CG399" s="171"/>
      <c r="CH399" s="171"/>
    </row>
    <row r="400" spans="1:86" ht="21.4" customHeight="1" x14ac:dyDescent="0.25">
      <c r="A400" s="171"/>
      <c r="B400" s="171"/>
      <c r="C400" s="460"/>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c r="BA400" s="171"/>
      <c r="BB400" s="171"/>
      <c r="BC400" s="171"/>
      <c r="BD400" s="171"/>
      <c r="BE400" s="171"/>
      <c r="BF400" s="171"/>
      <c r="BG400" s="171"/>
      <c r="BH400" s="171"/>
      <c r="BI400" s="171"/>
      <c r="BJ400" s="171"/>
      <c r="BK400" s="171"/>
      <c r="BL400" s="171"/>
      <c r="BM400" s="171"/>
      <c r="BN400" s="171"/>
      <c r="BO400" s="171"/>
      <c r="BP400" s="171"/>
      <c r="BQ400" s="171"/>
      <c r="BR400" s="171"/>
      <c r="BS400" s="171"/>
      <c r="BT400" s="171"/>
      <c r="BU400" s="171"/>
      <c r="BV400" s="171"/>
      <c r="BW400" s="171"/>
      <c r="BX400" s="171"/>
      <c r="BY400" s="171"/>
      <c r="BZ400" s="171"/>
      <c r="CA400" s="171"/>
      <c r="CB400" s="171"/>
      <c r="CC400" s="171"/>
      <c r="CD400" s="171"/>
      <c r="CE400" s="171"/>
      <c r="CF400" s="171"/>
      <c r="CG400" s="171"/>
      <c r="CH400" s="171"/>
    </row>
    <row r="401" spans="1:86" ht="21.4" customHeight="1" x14ac:dyDescent="0.25">
      <c r="A401" s="171"/>
      <c r="B401" s="171"/>
      <c r="C401" s="460"/>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c r="AA401" s="171"/>
      <c r="AB401" s="171"/>
      <c r="AC401" s="171"/>
      <c r="AD401" s="171"/>
      <c r="AE401" s="171"/>
      <c r="AF401" s="171"/>
      <c r="AG401" s="171"/>
      <c r="AH401" s="171"/>
      <c r="AI401" s="171"/>
      <c r="AJ401" s="171"/>
      <c r="AK401" s="171"/>
      <c r="AL401" s="171"/>
      <c r="AM401" s="171"/>
      <c r="AN401" s="171"/>
      <c r="AO401" s="171"/>
      <c r="AP401" s="171"/>
      <c r="AQ401" s="171"/>
      <c r="AR401" s="171"/>
      <c r="AS401" s="171"/>
      <c r="AT401" s="171"/>
      <c r="AU401" s="171"/>
      <c r="AV401" s="171"/>
      <c r="AW401" s="171"/>
      <c r="AX401" s="171"/>
      <c r="AY401" s="171"/>
      <c r="AZ401" s="171"/>
      <c r="BA401" s="171"/>
      <c r="BB401" s="171"/>
      <c r="BC401" s="171"/>
      <c r="BD401" s="171"/>
      <c r="BE401" s="171"/>
      <c r="BF401" s="171"/>
      <c r="BG401" s="171"/>
      <c r="BH401" s="171"/>
      <c r="BI401" s="171"/>
      <c r="BJ401" s="171"/>
      <c r="BK401" s="171"/>
      <c r="BL401" s="171"/>
      <c r="BM401" s="171"/>
      <c r="BN401" s="171"/>
      <c r="BO401" s="171"/>
      <c r="BP401" s="171"/>
      <c r="BQ401" s="171"/>
      <c r="BR401" s="171"/>
      <c r="BS401" s="171"/>
      <c r="BT401" s="171"/>
      <c r="BU401" s="171"/>
      <c r="BV401" s="171"/>
      <c r="BW401" s="171"/>
      <c r="BX401" s="171"/>
      <c r="BY401" s="171"/>
      <c r="BZ401" s="171"/>
      <c r="CA401" s="171"/>
      <c r="CB401" s="171"/>
      <c r="CC401" s="171"/>
      <c r="CD401" s="171"/>
      <c r="CE401" s="171"/>
      <c r="CF401" s="171"/>
      <c r="CG401" s="171"/>
      <c r="CH401" s="171"/>
    </row>
    <row r="402" spans="1:86" ht="21.4" customHeight="1" x14ac:dyDescent="0.25">
      <c r="A402" s="171"/>
      <c r="B402" s="171"/>
      <c r="C402" s="460"/>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c r="AB402" s="171"/>
      <c r="AC402" s="171"/>
      <c r="AD402" s="171"/>
      <c r="AE402" s="171"/>
      <c r="AF402" s="171"/>
      <c r="AG402" s="171"/>
      <c r="AH402" s="171"/>
      <c r="AI402" s="171"/>
      <c r="AJ402" s="171"/>
      <c r="AK402" s="171"/>
      <c r="AL402" s="171"/>
      <c r="AM402" s="171"/>
      <c r="AN402" s="171"/>
      <c r="AO402" s="171"/>
      <c r="AP402" s="171"/>
      <c r="AQ402" s="171"/>
      <c r="AR402" s="171"/>
      <c r="AS402" s="171"/>
      <c r="AT402" s="171"/>
      <c r="AU402" s="171"/>
      <c r="AV402" s="171"/>
      <c r="AW402" s="171"/>
      <c r="AX402" s="171"/>
      <c r="AY402" s="171"/>
      <c r="AZ402" s="171"/>
      <c r="BA402" s="171"/>
      <c r="BB402" s="171"/>
      <c r="BC402" s="171"/>
      <c r="BD402" s="171"/>
      <c r="BE402" s="171"/>
      <c r="BF402" s="171"/>
      <c r="BG402" s="171"/>
      <c r="BH402" s="171"/>
      <c r="BI402" s="171"/>
      <c r="BJ402" s="171"/>
      <c r="BK402" s="171"/>
      <c r="BL402" s="171"/>
      <c r="BM402" s="171"/>
      <c r="BN402" s="171"/>
      <c r="BO402" s="171"/>
      <c r="BP402" s="171"/>
      <c r="BQ402" s="171"/>
      <c r="BR402" s="171"/>
      <c r="BS402" s="171"/>
      <c r="BT402" s="171"/>
      <c r="BU402" s="171"/>
      <c r="BV402" s="171"/>
      <c r="BW402" s="171"/>
      <c r="BX402" s="171"/>
      <c r="BY402" s="171"/>
      <c r="BZ402" s="171"/>
      <c r="CA402" s="171"/>
      <c r="CB402" s="171"/>
      <c r="CC402" s="171"/>
      <c r="CD402" s="171"/>
      <c r="CE402" s="171"/>
      <c r="CF402" s="171"/>
      <c r="CG402" s="171"/>
      <c r="CH402" s="171"/>
    </row>
    <row r="403" spans="1:86" ht="21.4" customHeight="1" x14ac:dyDescent="0.25">
      <c r="A403" s="171"/>
      <c r="B403" s="171"/>
      <c r="C403" s="460"/>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c r="AB403" s="171"/>
      <c r="AC403" s="171"/>
      <c r="AD403" s="171"/>
      <c r="AE403" s="171"/>
      <c r="AF403" s="171"/>
      <c r="AG403" s="171"/>
      <c r="AH403" s="171"/>
      <c r="AI403" s="171"/>
      <c r="AJ403" s="171"/>
      <c r="AK403" s="171"/>
      <c r="AL403" s="171"/>
      <c r="AM403" s="171"/>
      <c r="AN403" s="171"/>
      <c r="AO403" s="171"/>
      <c r="AP403" s="171"/>
      <c r="AQ403" s="171"/>
      <c r="AR403" s="171"/>
      <c r="AS403" s="171"/>
      <c r="AT403" s="171"/>
      <c r="AU403" s="171"/>
      <c r="AV403" s="171"/>
      <c r="AW403" s="171"/>
      <c r="AX403" s="171"/>
      <c r="AY403" s="171"/>
      <c r="AZ403" s="171"/>
      <c r="BA403" s="171"/>
      <c r="BB403" s="171"/>
      <c r="BC403" s="171"/>
      <c r="BD403" s="171"/>
      <c r="BE403" s="171"/>
      <c r="BF403" s="171"/>
      <c r="BG403" s="171"/>
      <c r="BH403" s="171"/>
      <c r="BI403" s="171"/>
      <c r="BJ403" s="171"/>
      <c r="BK403" s="171"/>
      <c r="BL403" s="171"/>
      <c r="BM403" s="171"/>
      <c r="BN403" s="171"/>
      <c r="BO403" s="171"/>
      <c r="BP403" s="171"/>
      <c r="BQ403" s="171"/>
      <c r="BR403" s="171"/>
      <c r="BS403" s="171"/>
      <c r="BT403" s="171"/>
      <c r="BU403" s="171"/>
      <c r="BV403" s="171"/>
      <c r="BW403" s="171"/>
      <c r="BX403" s="171"/>
      <c r="BY403" s="171"/>
      <c r="BZ403" s="171"/>
      <c r="CA403" s="171"/>
      <c r="CB403" s="171"/>
      <c r="CC403" s="171"/>
      <c r="CD403" s="171"/>
      <c r="CE403" s="171"/>
      <c r="CF403" s="171"/>
      <c r="CG403" s="171"/>
      <c r="CH403" s="171"/>
    </row>
    <row r="404" spans="1:86" ht="21.4" customHeight="1" x14ac:dyDescent="0.25">
      <c r="A404" s="171"/>
      <c r="B404" s="171"/>
      <c r="C404" s="460"/>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c r="AB404" s="171"/>
      <c r="AC404" s="171"/>
      <c r="AD404" s="171"/>
      <c r="AE404" s="171"/>
      <c r="AF404" s="171"/>
      <c r="AG404" s="171"/>
      <c r="AH404" s="171"/>
      <c r="AI404" s="171"/>
      <c r="AJ404" s="171"/>
      <c r="AK404" s="171"/>
      <c r="AL404" s="171"/>
      <c r="AM404" s="171"/>
      <c r="AN404" s="171"/>
      <c r="AO404" s="171"/>
      <c r="AP404" s="171"/>
      <c r="AQ404" s="171"/>
      <c r="AR404" s="171"/>
      <c r="AS404" s="171"/>
      <c r="AT404" s="171"/>
      <c r="AU404" s="171"/>
      <c r="AV404" s="171"/>
      <c r="AW404" s="171"/>
      <c r="AX404" s="171"/>
      <c r="AY404" s="171"/>
      <c r="AZ404" s="171"/>
      <c r="BA404" s="171"/>
      <c r="BB404" s="171"/>
      <c r="BC404" s="171"/>
      <c r="BD404" s="171"/>
      <c r="BE404" s="171"/>
      <c r="BF404" s="171"/>
      <c r="BG404" s="171"/>
      <c r="BH404" s="171"/>
      <c r="BI404" s="171"/>
      <c r="BJ404" s="171"/>
      <c r="BK404" s="171"/>
      <c r="BL404" s="171"/>
      <c r="BM404" s="171"/>
      <c r="BN404" s="171"/>
      <c r="BO404" s="171"/>
      <c r="BP404" s="171"/>
      <c r="BQ404" s="171"/>
      <c r="BR404" s="171"/>
      <c r="BS404" s="171"/>
      <c r="BT404" s="171"/>
      <c r="BU404" s="171"/>
      <c r="BV404" s="171"/>
      <c r="BW404" s="171"/>
      <c r="BX404" s="171"/>
      <c r="BY404" s="171"/>
      <c r="BZ404" s="171"/>
      <c r="CA404" s="171"/>
      <c r="CB404" s="171"/>
      <c r="CC404" s="171"/>
      <c r="CD404" s="171"/>
      <c r="CE404" s="171"/>
      <c r="CF404" s="171"/>
      <c r="CG404" s="171"/>
      <c r="CH404" s="171"/>
    </row>
    <row r="405" spans="1:86" ht="21.4" customHeight="1" x14ac:dyDescent="0.25">
      <c r="A405" s="171"/>
      <c r="B405" s="171"/>
      <c r="C405" s="460"/>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c r="AB405" s="171"/>
      <c r="AC405" s="171"/>
      <c r="AD405" s="171"/>
      <c r="AE405" s="171"/>
      <c r="AF405" s="171"/>
      <c r="AG405" s="171"/>
      <c r="AH405" s="171"/>
      <c r="AI405" s="171"/>
      <c r="AJ405" s="171"/>
      <c r="AK405" s="171"/>
      <c r="AL405" s="171"/>
      <c r="AM405" s="171"/>
      <c r="AN405" s="171"/>
      <c r="AO405" s="171"/>
      <c r="AP405" s="171"/>
      <c r="AQ405" s="171"/>
      <c r="AR405" s="171"/>
      <c r="AS405" s="171"/>
      <c r="AT405" s="171"/>
      <c r="AU405" s="171"/>
      <c r="AV405" s="171"/>
      <c r="AW405" s="171"/>
      <c r="AX405" s="171"/>
      <c r="AY405" s="171"/>
      <c r="AZ405" s="171"/>
      <c r="BA405" s="171"/>
      <c r="BB405" s="171"/>
      <c r="BC405" s="171"/>
      <c r="BD405" s="171"/>
      <c r="BE405" s="171"/>
      <c r="BF405" s="171"/>
      <c r="BG405" s="171"/>
      <c r="BH405" s="171"/>
      <c r="BI405" s="171"/>
      <c r="BJ405" s="171"/>
      <c r="BK405" s="171"/>
      <c r="BL405" s="171"/>
      <c r="BM405" s="171"/>
      <c r="BN405" s="171"/>
      <c r="BO405" s="171"/>
      <c r="BP405" s="171"/>
      <c r="BQ405" s="171"/>
      <c r="BR405" s="171"/>
      <c r="BS405" s="171"/>
      <c r="BT405" s="171"/>
      <c r="BU405" s="171"/>
      <c r="BV405" s="171"/>
      <c r="BW405" s="171"/>
      <c r="BX405" s="171"/>
      <c r="BY405" s="171"/>
      <c r="BZ405" s="171"/>
      <c r="CA405" s="171"/>
      <c r="CB405" s="171"/>
      <c r="CC405" s="171"/>
      <c r="CD405" s="171"/>
      <c r="CE405" s="171"/>
      <c r="CF405" s="171"/>
      <c r="CG405" s="171"/>
      <c r="CH405" s="171"/>
    </row>
    <row r="406" spans="1:86" ht="21.4" customHeight="1" x14ac:dyDescent="0.25">
      <c r="A406" s="171"/>
      <c r="B406" s="171"/>
      <c r="C406" s="460"/>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row>
    <row r="407" spans="1:86" ht="21.4" customHeight="1" x14ac:dyDescent="0.25">
      <c r="A407" s="171"/>
      <c r="B407" s="171"/>
      <c r="C407" s="460"/>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c r="AA407" s="171"/>
      <c r="AB407" s="171"/>
      <c r="AC407" s="171"/>
      <c r="AD407" s="171"/>
      <c r="AE407" s="171"/>
      <c r="AF407" s="171"/>
      <c r="AG407" s="171"/>
      <c r="AH407" s="171"/>
      <c r="AI407" s="171"/>
      <c r="AJ407" s="171"/>
      <c r="AK407" s="171"/>
      <c r="AL407" s="171"/>
      <c r="AM407" s="171"/>
      <c r="AN407" s="171"/>
      <c r="AO407" s="171"/>
      <c r="AP407" s="171"/>
      <c r="AQ407" s="171"/>
      <c r="AR407" s="171"/>
      <c r="AS407" s="171"/>
      <c r="AT407" s="171"/>
      <c r="AU407" s="171"/>
      <c r="AV407" s="171"/>
      <c r="AW407" s="171"/>
      <c r="AX407" s="171"/>
      <c r="AY407" s="171"/>
      <c r="AZ407" s="171"/>
      <c r="BA407" s="171"/>
      <c r="BB407" s="171"/>
      <c r="BC407" s="171"/>
      <c r="BD407" s="171"/>
      <c r="BE407" s="171"/>
      <c r="BF407" s="171"/>
      <c r="BG407" s="171"/>
      <c r="BH407" s="171"/>
      <c r="BI407" s="171"/>
      <c r="BJ407" s="171"/>
      <c r="BK407" s="171"/>
      <c r="BL407" s="171"/>
      <c r="BM407" s="171"/>
      <c r="BN407" s="171"/>
      <c r="BO407" s="171"/>
      <c r="BP407" s="171"/>
      <c r="BQ407" s="171"/>
      <c r="BR407" s="171"/>
      <c r="BS407" s="171"/>
      <c r="BT407" s="171"/>
      <c r="BU407" s="171"/>
      <c r="BV407" s="171"/>
      <c r="BW407" s="171"/>
      <c r="BX407" s="171"/>
      <c r="BY407" s="171"/>
      <c r="BZ407" s="171"/>
      <c r="CA407" s="171"/>
      <c r="CB407" s="171"/>
      <c r="CC407" s="171"/>
      <c r="CD407" s="171"/>
      <c r="CE407" s="171"/>
      <c r="CF407" s="171"/>
      <c r="CG407" s="171"/>
      <c r="CH407" s="171"/>
    </row>
    <row r="408" spans="1:86" ht="21.4" customHeight="1" x14ac:dyDescent="0.25">
      <c r="A408" s="171"/>
      <c r="B408" s="171"/>
      <c r="C408" s="460"/>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c r="AB408" s="171"/>
      <c r="AC408" s="171"/>
      <c r="AD408" s="171"/>
      <c r="AE408" s="171"/>
      <c r="AF408" s="171"/>
      <c r="AG408" s="171"/>
      <c r="AH408" s="171"/>
      <c r="AI408" s="171"/>
      <c r="AJ408" s="171"/>
      <c r="AK408" s="171"/>
      <c r="AL408" s="171"/>
      <c r="AM408" s="171"/>
      <c r="AN408" s="171"/>
      <c r="AO408" s="171"/>
      <c r="AP408" s="171"/>
      <c r="AQ408" s="171"/>
      <c r="AR408" s="171"/>
      <c r="AS408" s="171"/>
      <c r="AT408" s="171"/>
      <c r="AU408" s="171"/>
      <c r="AV408" s="171"/>
      <c r="AW408" s="171"/>
      <c r="AX408" s="171"/>
      <c r="AY408" s="171"/>
      <c r="AZ408" s="171"/>
      <c r="BA408" s="171"/>
      <c r="BB408" s="171"/>
      <c r="BC408" s="171"/>
      <c r="BD408" s="171"/>
      <c r="BE408" s="171"/>
      <c r="BF408" s="171"/>
      <c r="BG408" s="171"/>
      <c r="BH408" s="171"/>
      <c r="BI408" s="171"/>
      <c r="BJ408" s="171"/>
      <c r="BK408" s="171"/>
      <c r="BL408" s="171"/>
      <c r="BM408" s="171"/>
      <c r="BN408" s="171"/>
      <c r="BO408" s="171"/>
      <c r="BP408" s="171"/>
      <c r="BQ408" s="171"/>
      <c r="BR408" s="171"/>
      <c r="BS408" s="171"/>
      <c r="BT408" s="171"/>
      <c r="BU408" s="171"/>
      <c r="BV408" s="171"/>
      <c r="BW408" s="171"/>
      <c r="BX408" s="171"/>
      <c r="BY408" s="171"/>
      <c r="BZ408" s="171"/>
      <c r="CA408" s="171"/>
      <c r="CB408" s="171"/>
      <c r="CC408" s="171"/>
      <c r="CD408" s="171"/>
      <c r="CE408" s="171"/>
      <c r="CF408" s="171"/>
      <c r="CG408" s="171"/>
      <c r="CH408" s="171"/>
    </row>
    <row r="409" spans="1:86" ht="21.4" customHeight="1" x14ac:dyDescent="0.25">
      <c r="A409" s="171"/>
      <c r="B409" s="171"/>
      <c r="C409" s="460"/>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c r="AA409" s="171"/>
      <c r="AB409" s="171"/>
      <c r="AC409" s="171"/>
      <c r="AD409" s="171"/>
      <c r="AE409" s="171"/>
      <c r="AF409" s="171"/>
      <c r="AG409" s="171"/>
      <c r="AH409" s="171"/>
      <c r="AI409" s="171"/>
      <c r="AJ409" s="171"/>
      <c r="AK409" s="171"/>
      <c r="AL409" s="171"/>
      <c r="AM409" s="171"/>
      <c r="AN409" s="171"/>
      <c r="AO409" s="171"/>
      <c r="AP409" s="171"/>
      <c r="AQ409" s="171"/>
      <c r="AR409" s="171"/>
      <c r="AS409" s="171"/>
      <c r="AT409" s="171"/>
      <c r="AU409" s="171"/>
      <c r="AV409" s="171"/>
      <c r="AW409" s="171"/>
      <c r="AX409" s="171"/>
      <c r="AY409" s="171"/>
      <c r="AZ409" s="171"/>
      <c r="BA409" s="171"/>
      <c r="BB409" s="171"/>
      <c r="BC409" s="171"/>
      <c r="BD409" s="171"/>
      <c r="BE409" s="171"/>
      <c r="BF409" s="171"/>
      <c r="BG409" s="171"/>
      <c r="BH409" s="171"/>
      <c r="BI409" s="171"/>
      <c r="BJ409" s="171"/>
      <c r="BK409" s="171"/>
      <c r="BL409" s="171"/>
      <c r="BM409" s="171"/>
      <c r="BN409" s="171"/>
      <c r="BO409" s="171"/>
      <c r="BP409" s="171"/>
      <c r="BQ409" s="171"/>
      <c r="BR409" s="171"/>
      <c r="BS409" s="171"/>
      <c r="BT409" s="171"/>
      <c r="BU409" s="171"/>
      <c r="BV409" s="171"/>
      <c r="BW409" s="171"/>
      <c r="BX409" s="171"/>
      <c r="BY409" s="171"/>
      <c r="BZ409" s="171"/>
      <c r="CA409" s="171"/>
      <c r="CB409" s="171"/>
      <c r="CC409" s="171"/>
      <c r="CD409" s="171"/>
      <c r="CE409" s="171"/>
      <c r="CF409" s="171"/>
      <c r="CG409" s="171"/>
      <c r="CH409" s="171"/>
    </row>
    <row r="410" spans="1:86" ht="21.4" customHeight="1" x14ac:dyDescent="0.25">
      <c r="A410" s="171"/>
      <c r="B410" s="171"/>
      <c r="C410" s="460"/>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c r="AB410" s="171"/>
      <c r="AC410" s="171"/>
      <c r="AD410" s="171"/>
      <c r="AE410" s="171"/>
      <c r="AF410" s="171"/>
      <c r="AG410" s="171"/>
      <c r="AH410" s="171"/>
      <c r="AI410" s="171"/>
      <c r="AJ410" s="171"/>
      <c r="AK410" s="171"/>
      <c r="AL410" s="171"/>
      <c r="AM410" s="171"/>
      <c r="AN410" s="171"/>
      <c r="AO410" s="171"/>
      <c r="AP410" s="171"/>
      <c r="AQ410" s="171"/>
      <c r="AR410" s="171"/>
      <c r="AS410" s="171"/>
      <c r="AT410" s="171"/>
      <c r="AU410" s="171"/>
      <c r="AV410" s="171"/>
      <c r="AW410" s="171"/>
      <c r="AX410" s="171"/>
      <c r="AY410" s="171"/>
      <c r="AZ410" s="171"/>
      <c r="BA410" s="171"/>
      <c r="BB410" s="171"/>
      <c r="BC410" s="171"/>
      <c r="BD410" s="171"/>
      <c r="BE410" s="171"/>
      <c r="BF410" s="171"/>
      <c r="BG410" s="171"/>
      <c r="BH410" s="171"/>
      <c r="BI410" s="171"/>
      <c r="BJ410" s="171"/>
      <c r="BK410" s="171"/>
      <c r="BL410" s="171"/>
      <c r="BM410" s="171"/>
      <c r="BN410" s="171"/>
      <c r="BO410" s="171"/>
      <c r="BP410" s="171"/>
      <c r="BQ410" s="171"/>
      <c r="BR410" s="171"/>
      <c r="BS410" s="171"/>
      <c r="BT410" s="171"/>
      <c r="BU410" s="171"/>
      <c r="BV410" s="171"/>
      <c r="BW410" s="171"/>
      <c r="BX410" s="171"/>
      <c r="BY410" s="171"/>
      <c r="BZ410" s="171"/>
      <c r="CA410" s="171"/>
      <c r="CB410" s="171"/>
      <c r="CC410" s="171"/>
      <c r="CD410" s="171"/>
      <c r="CE410" s="171"/>
      <c r="CF410" s="171"/>
      <c r="CG410" s="171"/>
      <c r="CH410" s="171"/>
    </row>
    <row r="411" spans="1:86" ht="21.4" customHeight="1" x14ac:dyDescent="0.25">
      <c r="A411" s="171"/>
      <c r="B411" s="171"/>
      <c r="C411" s="460"/>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c r="BA411" s="171"/>
      <c r="BB411" s="171"/>
      <c r="BC411" s="171"/>
      <c r="BD411" s="171"/>
      <c r="BE411" s="171"/>
      <c r="BF411" s="171"/>
      <c r="BG411" s="171"/>
      <c r="BH411" s="171"/>
      <c r="BI411" s="171"/>
      <c r="BJ411" s="171"/>
      <c r="BK411" s="171"/>
      <c r="BL411" s="171"/>
      <c r="BM411" s="171"/>
      <c r="BN411" s="171"/>
      <c r="BO411" s="171"/>
      <c r="BP411" s="171"/>
      <c r="BQ411" s="171"/>
      <c r="BR411" s="171"/>
      <c r="BS411" s="171"/>
      <c r="BT411" s="171"/>
      <c r="BU411" s="171"/>
      <c r="BV411" s="171"/>
      <c r="BW411" s="171"/>
      <c r="BX411" s="171"/>
      <c r="BY411" s="171"/>
      <c r="BZ411" s="171"/>
      <c r="CA411" s="171"/>
      <c r="CB411" s="171"/>
      <c r="CC411" s="171"/>
      <c r="CD411" s="171"/>
      <c r="CE411" s="171"/>
      <c r="CF411" s="171"/>
      <c r="CG411" s="171"/>
      <c r="CH411" s="171"/>
    </row>
    <row r="412" spans="1:86" ht="21.4" customHeight="1" x14ac:dyDescent="0.25">
      <c r="A412" s="171"/>
      <c r="B412" s="171"/>
      <c r="C412" s="460"/>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c r="AA412" s="171"/>
      <c r="AB412" s="171"/>
      <c r="AC412" s="171"/>
      <c r="AD412" s="171"/>
      <c r="AE412" s="171"/>
      <c r="AF412" s="171"/>
      <c r="AG412" s="171"/>
      <c r="AH412" s="171"/>
      <c r="AI412" s="171"/>
      <c r="AJ412" s="171"/>
      <c r="AK412" s="171"/>
      <c r="AL412" s="171"/>
      <c r="AM412" s="171"/>
      <c r="AN412" s="171"/>
      <c r="AO412" s="171"/>
      <c r="AP412" s="171"/>
      <c r="AQ412" s="171"/>
      <c r="AR412" s="171"/>
      <c r="AS412" s="171"/>
      <c r="AT412" s="171"/>
      <c r="AU412" s="171"/>
      <c r="AV412" s="171"/>
      <c r="AW412" s="171"/>
      <c r="AX412" s="171"/>
      <c r="AY412" s="171"/>
      <c r="AZ412" s="171"/>
      <c r="BA412" s="171"/>
      <c r="BB412" s="171"/>
      <c r="BC412" s="171"/>
      <c r="BD412" s="171"/>
      <c r="BE412" s="171"/>
      <c r="BF412" s="171"/>
      <c r="BG412" s="171"/>
      <c r="BH412" s="171"/>
      <c r="BI412" s="171"/>
      <c r="BJ412" s="171"/>
      <c r="BK412" s="171"/>
      <c r="BL412" s="171"/>
      <c r="BM412" s="171"/>
      <c r="BN412" s="171"/>
      <c r="BO412" s="171"/>
      <c r="BP412" s="171"/>
      <c r="BQ412" s="171"/>
      <c r="BR412" s="171"/>
      <c r="BS412" s="171"/>
      <c r="BT412" s="171"/>
      <c r="BU412" s="171"/>
      <c r="BV412" s="171"/>
      <c r="BW412" s="171"/>
      <c r="BX412" s="171"/>
      <c r="BY412" s="171"/>
      <c r="BZ412" s="171"/>
      <c r="CA412" s="171"/>
      <c r="CB412" s="171"/>
      <c r="CC412" s="171"/>
      <c r="CD412" s="171"/>
      <c r="CE412" s="171"/>
      <c r="CF412" s="171"/>
      <c r="CG412" s="171"/>
      <c r="CH412" s="171"/>
    </row>
    <row r="413" spans="1:86" ht="21.4" customHeight="1" x14ac:dyDescent="0.25">
      <c r="A413" s="171"/>
      <c r="B413" s="171"/>
      <c r="C413" s="460"/>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c r="AA413" s="171"/>
      <c r="AB413" s="171"/>
      <c r="AC413" s="171"/>
      <c r="AD413" s="171"/>
      <c r="AE413" s="171"/>
      <c r="AF413" s="171"/>
      <c r="AG413" s="171"/>
      <c r="AH413" s="171"/>
      <c r="AI413" s="171"/>
      <c r="AJ413" s="171"/>
      <c r="AK413" s="171"/>
      <c r="AL413" s="171"/>
      <c r="AM413" s="171"/>
      <c r="AN413" s="171"/>
      <c r="AO413" s="171"/>
      <c r="AP413" s="171"/>
      <c r="AQ413" s="171"/>
      <c r="AR413" s="171"/>
      <c r="AS413" s="171"/>
      <c r="AT413" s="171"/>
      <c r="AU413" s="171"/>
      <c r="AV413" s="171"/>
      <c r="AW413" s="171"/>
      <c r="AX413" s="171"/>
      <c r="AY413" s="171"/>
      <c r="AZ413" s="171"/>
      <c r="BA413" s="171"/>
      <c r="BB413" s="171"/>
      <c r="BC413" s="171"/>
      <c r="BD413" s="171"/>
      <c r="BE413" s="171"/>
      <c r="BF413" s="171"/>
      <c r="BG413" s="171"/>
      <c r="BH413" s="171"/>
      <c r="BI413" s="171"/>
      <c r="BJ413" s="171"/>
      <c r="BK413" s="171"/>
      <c r="BL413" s="171"/>
      <c r="BM413" s="171"/>
      <c r="BN413" s="171"/>
      <c r="BO413" s="171"/>
      <c r="BP413" s="171"/>
      <c r="BQ413" s="171"/>
      <c r="BR413" s="171"/>
      <c r="BS413" s="171"/>
      <c r="BT413" s="171"/>
      <c r="BU413" s="171"/>
      <c r="BV413" s="171"/>
      <c r="BW413" s="171"/>
      <c r="BX413" s="171"/>
      <c r="BY413" s="171"/>
      <c r="BZ413" s="171"/>
      <c r="CA413" s="171"/>
      <c r="CB413" s="171"/>
      <c r="CC413" s="171"/>
      <c r="CD413" s="171"/>
      <c r="CE413" s="171"/>
      <c r="CF413" s="171"/>
      <c r="CG413" s="171"/>
      <c r="CH413" s="171"/>
    </row>
    <row r="414" spans="1:86" ht="21.4" customHeight="1" x14ac:dyDescent="0.25">
      <c r="A414" s="171"/>
      <c r="B414" s="171"/>
      <c r="C414" s="460"/>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c r="BB414" s="171"/>
      <c r="BC414" s="171"/>
      <c r="BD414" s="171"/>
      <c r="BE414" s="171"/>
      <c r="BF414" s="171"/>
      <c r="BG414" s="171"/>
      <c r="BH414" s="171"/>
      <c r="BI414" s="171"/>
      <c r="BJ414" s="171"/>
      <c r="BK414" s="171"/>
      <c r="BL414" s="171"/>
      <c r="BM414" s="171"/>
      <c r="BN414" s="171"/>
      <c r="BO414" s="171"/>
      <c r="BP414" s="171"/>
      <c r="BQ414" s="171"/>
      <c r="BR414" s="171"/>
      <c r="BS414" s="171"/>
      <c r="BT414" s="171"/>
      <c r="BU414" s="171"/>
      <c r="BV414" s="171"/>
      <c r="BW414" s="171"/>
      <c r="BX414" s="171"/>
      <c r="BY414" s="171"/>
      <c r="BZ414" s="171"/>
      <c r="CA414" s="171"/>
      <c r="CB414" s="171"/>
      <c r="CC414" s="171"/>
      <c r="CD414" s="171"/>
      <c r="CE414" s="171"/>
      <c r="CF414" s="171"/>
      <c r="CG414" s="171"/>
      <c r="CH414" s="171"/>
    </row>
    <row r="415" spans="1:86" ht="21.4" customHeight="1" x14ac:dyDescent="0.25">
      <c r="A415" s="171"/>
      <c r="B415" s="171"/>
      <c r="C415" s="460"/>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c r="AA415" s="171"/>
      <c r="AB415" s="171"/>
      <c r="AC415" s="171"/>
      <c r="AD415" s="171"/>
      <c r="AE415" s="171"/>
      <c r="AF415" s="171"/>
      <c r="AG415" s="171"/>
      <c r="AH415" s="171"/>
      <c r="AI415" s="171"/>
      <c r="AJ415" s="171"/>
      <c r="AK415" s="171"/>
      <c r="AL415" s="171"/>
      <c r="AM415" s="171"/>
      <c r="AN415" s="171"/>
      <c r="AO415" s="171"/>
      <c r="AP415" s="171"/>
      <c r="AQ415" s="171"/>
      <c r="AR415" s="171"/>
      <c r="AS415" s="171"/>
      <c r="AT415" s="171"/>
      <c r="AU415" s="171"/>
      <c r="AV415" s="171"/>
      <c r="AW415" s="171"/>
      <c r="AX415" s="171"/>
      <c r="AY415" s="171"/>
      <c r="AZ415" s="171"/>
      <c r="BA415" s="171"/>
      <c r="BB415" s="171"/>
      <c r="BC415" s="171"/>
      <c r="BD415" s="171"/>
      <c r="BE415" s="171"/>
      <c r="BF415" s="171"/>
      <c r="BG415" s="171"/>
      <c r="BH415" s="171"/>
      <c r="BI415" s="171"/>
      <c r="BJ415" s="171"/>
      <c r="BK415" s="171"/>
      <c r="BL415" s="171"/>
      <c r="BM415" s="171"/>
      <c r="BN415" s="171"/>
      <c r="BO415" s="171"/>
      <c r="BP415" s="171"/>
      <c r="BQ415" s="171"/>
      <c r="BR415" s="171"/>
      <c r="BS415" s="171"/>
      <c r="BT415" s="171"/>
      <c r="BU415" s="171"/>
      <c r="BV415" s="171"/>
      <c r="BW415" s="171"/>
      <c r="BX415" s="171"/>
      <c r="BY415" s="171"/>
      <c r="BZ415" s="171"/>
      <c r="CA415" s="171"/>
      <c r="CB415" s="171"/>
      <c r="CC415" s="171"/>
      <c r="CD415" s="171"/>
      <c r="CE415" s="171"/>
      <c r="CF415" s="171"/>
      <c r="CG415" s="171"/>
      <c r="CH415" s="171"/>
    </row>
    <row r="416" spans="1:86" ht="21.4" customHeight="1" x14ac:dyDescent="0.25">
      <c r="A416" s="171"/>
      <c r="B416" s="171"/>
      <c r="C416" s="460"/>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c r="AA416" s="171"/>
      <c r="AB416" s="171"/>
      <c r="AC416" s="171"/>
      <c r="AD416" s="171"/>
      <c r="AE416" s="171"/>
      <c r="AF416" s="171"/>
      <c r="AG416" s="171"/>
      <c r="AH416" s="171"/>
      <c r="AI416" s="171"/>
      <c r="AJ416" s="171"/>
      <c r="AK416" s="171"/>
      <c r="AL416" s="171"/>
      <c r="AM416" s="171"/>
      <c r="AN416" s="171"/>
      <c r="AO416" s="171"/>
      <c r="AP416" s="171"/>
      <c r="AQ416" s="171"/>
      <c r="AR416" s="171"/>
      <c r="AS416" s="171"/>
      <c r="AT416" s="171"/>
      <c r="AU416" s="171"/>
      <c r="AV416" s="171"/>
      <c r="AW416" s="171"/>
      <c r="AX416" s="171"/>
      <c r="AY416" s="171"/>
      <c r="AZ416" s="171"/>
      <c r="BA416" s="171"/>
      <c r="BB416" s="171"/>
      <c r="BC416" s="171"/>
      <c r="BD416" s="171"/>
      <c r="BE416" s="171"/>
      <c r="BF416" s="171"/>
      <c r="BG416" s="171"/>
      <c r="BH416" s="171"/>
      <c r="BI416" s="171"/>
      <c r="BJ416" s="171"/>
      <c r="BK416" s="171"/>
      <c r="BL416" s="171"/>
      <c r="BM416" s="171"/>
      <c r="BN416" s="171"/>
      <c r="BO416" s="171"/>
      <c r="BP416" s="171"/>
      <c r="BQ416" s="171"/>
      <c r="BR416" s="171"/>
      <c r="BS416" s="171"/>
      <c r="BT416" s="171"/>
      <c r="BU416" s="171"/>
      <c r="BV416" s="171"/>
      <c r="BW416" s="171"/>
      <c r="BX416" s="171"/>
      <c r="BY416" s="171"/>
      <c r="BZ416" s="171"/>
      <c r="CA416" s="171"/>
      <c r="CB416" s="171"/>
      <c r="CC416" s="171"/>
      <c r="CD416" s="171"/>
      <c r="CE416" s="171"/>
      <c r="CF416" s="171"/>
      <c r="CG416" s="171"/>
      <c r="CH416" s="171"/>
    </row>
    <row r="417" spans="1:86" ht="21.4" customHeight="1" x14ac:dyDescent="0.25">
      <c r="A417" s="171"/>
      <c r="B417" s="171"/>
      <c r="C417" s="460"/>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c r="BA417" s="171"/>
      <c r="BB417" s="171"/>
      <c r="BC417" s="171"/>
      <c r="BD417" s="171"/>
      <c r="BE417" s="171"/>
      <c r="BF417" s="171"/>
      <c r="BG417" s="171"/>
      <c r="BH417" s="171"/>
      <c r="BI417" s="171"/>
      <c r="BJ417" s="171"/>
      <c r="BK417" s="171"/>
      <c r="BL417" s="171"/>
      <c r="BM417" s="171"/>
      <c r="BN417" s="171"/>
      <c r="BO417" s="171"/>
      <c r="BP417" s="171"/>
      <c r="BQ417" s="171"/>
      <c r="BR417" s="171"/>
      <c r="BS417" s="171"/>
      <c r="BT417" s="171"/>
      <c r="BU417" s="171"/>
      <c r="BV417" s="171"/>
      <c r="BW417" s="171"/>
      <c r="BX417" s="171"/>
      <c r="BY417" s="171"/>
      <c r="BZ417" s="171"/>
      <c r="CA417" s="171"/>
      <c r="CB417" s="171"/>
      <c r="CC417" s="171"/>
      <c r="CD417" s="171"/>
      <c r="CE417" s="171"/>
      <c r="CF417" s="171"/>
      <c r="CG417" s="171"/>
      <c r="CH417" s="171"/>
    </row>
    <row r="418" spans="1:86" ht="21.4" customHeight="1" x14ac:dyDescent="0.25">
      <c r="A418" s="171"/>
      <c r="B418" s="171"/>
      <c r="C418" s="460"/>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c r="AA418" s="171"/>
      <c r="AB418" s="171"/>
      <c r="AC418" s="171"/>
      <c r="AD418" s="171"/>
      <c r="AE418" s="171"/>
      <c r="AF418" s="171"/>
      <c r="AG418" s="171"/>
      <c r="AH418" s="171"/>
      <c r="AI418" s="171"/>
      <c r="AJ418" s="171"/>
      <c r="AK418" s="171"/>
      <c r="AL418" s="171"/>
      <c r="AM418" s="171"/>
      <c r="AN418" s="171"/>
      <c r="AO418" s="171"/>
      <c r="AP418" s="171"/>
      <c r="AQ418" s="171"/>
      <c r="AR418" s="171"/>
      <c r="AS418" s="171"/>
      <c r="AT418" s="171"/>
      <c r="AU418" s="171"/>
      <c r="AV418" s="171"/>
      <c r="AW418" s="171"/>
      <c r="AX418" s="171"/>
      <c r="AY418" s="171"/>
      <c r="AZ418" s="171"/>
      <c r="BA418" s="171"/>
      <c r="BB418" s="171"/>
      <c r="BC418" s="171"/>
      <c r="BD418" s="171"/>
      <c r="BE418" s="171"/>
      <c r="BF418" s="171"/>
      <c r="BG418" s="171"/>
      <c r="BH418" s="171"/>
      <c r="BI418" s="171"/>
      <c r="BJ418" s="171"/>
      <c r="BK418" s="171"/>
      <c r="BL418" s="171"/>
      <c r="BM418" s="171"/>
      <c r="BN418" s="171"/>
      <c r="BO418" s="171"/>
      <c r="BP418" s="171"/>
      <c r="BQ418" s="171"/>
      <c r="BR418" s="171"/>
      <c r="BS418" s="171"/>
      <c r="BT418" s="171"/>
      <c r="BU418" s="171"/>
      <c r="BV418" s="171"/>
      <c r="BW418" s="171"/>
      <c r="BX418" s="171"/>
      <c r="BY418" s="171"/>
      <c r="BZ418" s="171"/>
      <c r="CA418" s="171"/>
      <c r="CB418" s="171"/>
      <c r="CC418" s="171"/>
      <c r="CD418" s="171"/>
      <c r="CE418" s="171"/>
      <c r="CF418" s="171"/>
      <c r="CG418" s="171"/>
      <c r="CH418" s="171"/>
    </row>
    <row r="419" spans="1:86" ht="21.4" customHeight="1" x14ac:dyDescent="0.25">
      <c r="A419" s="171"/>
      <c r="B419" s="171"/>
      <c r="C419" s="460"/>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c r="BB419" s="171"/>
      <c r="BC419" s="171"/>
      <c r="BD419" s="171"/>
      <c r="BE419" s="171"/>
      <c r="BF419" s="171"/>
      <c r="BG419" s="171"/>
      <c r="BH419" s="171"/>
      <c r="BI419" s="171"/>
      <c r="BJ419" s="171"/>
      <c r="BK419" s="171"/>
      <c r="BL419" s="171"/>
      <c r="BM419" s="171"/>
      <c r="BN419" s="171"/>
      <c r="BO419" s="171"/>
      <c r="BP419" s="171"/>
      <c r="BQ419" s="171"/>
      <c r="BR419" s="171"/>
      <c r="BS419" s="171"/>
      <c r="BT419" s="171"/>
      <c r="BU419" s="171"/>
      <c r="BV419" s="171"/>
      <c r="BW419" s="171"/>
      <c r="BX419" s="171"/>
      <c r="BY419" s="171"/>
      <c r="BZ419" s="171"/>
      <c r="CA419" s="171"/>
      <c r="CB419" s="171"/>
      <c r="CC419" s="171"/>
      <c r="CD419" s="171"/>
      <c r="CE419" s="171"/>
      <c r="CF419" s="171"/>
      <c r="CG419" s="171"/>
      <c r="CH419" s="171"/>
    </row>
    <row r="420" spans="1:86" ht="21.4" customHeight="1" x14ac:dyDescent="0.25">
      <c r="A420" s="171"/>
      <c r="B420" s="171"/>
      <c r="C420" s="460"/>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c r="BB420" s="171"/>
      <c r="BC420" s="171"/>
      <c r="BD420" s="171"/>
      <c r="BE420" s="171"/>
      <c r="BF420" s="171"/>
      <c r="BG420" s="171"/>
      <c r="BH420" s="171"/>
      <c r="BI420" s="171"/>
      <c r="BJ420" s="171"/>
      <c r="BK420" s="171"/>
      <c r="BL420" s="171"/>
      <c r="BM420" s="171"/>
      <c r="BN420" s="171"/>
      <c r="BO420" s="171"/>
      <c r="BP420" s="171"/>
      <c r="BQ420" s="171"/>
      <c r="BR420" s="171"/>
      <c r="BS420" s="171"/>
      <c r="BT420" s="171"/>
      <c r="BU420" s="171"/>
      <c r="BV420" s="171"/>
      <c r="BW420" s="171"/>
      <c r="BX420" s="171"/>
      <c r="BY420" s="171"/>
      <c r="BZ420" s="171"/>
      <c r="CA420" s="171"/>
      <c r="CB420" s="171"/>
      <c r="CC420" s="171"/>
      <c r="CD420" s="171"/>
      <c r="CE420" s="171"/>
      <c r="CF420" s="171"/>
      <c r="CG420" s="171"/>
      <c r="CH420" s="171"/>
    </row>
    <row r="421" spans="1:86" ht="21.4" customHeight="1" x14ac:dyDescent="0.25">
      <c r="A421" s="171"/>
      <c r="B421" s="171"/>
      <c r="C421" s="460"/>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c r="AA421" s="171"/>
      <c r="AB421" s="171"/>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c r="BA421" s="171"/>
      <c r="BB421" s="171"/>
      <c r="BC421" s="171"/>
      <c r="BD421" s="171"/>
      <c r="BE421" s="171"/>
      <c r="BF421" s="171"/>
      <c r="BG421" s="171"/>
      <c r="BH421" s="171"/>
      <c r="BI421" s="171"/>
      <c r="BJ421" s="171"/>
      <c r="BK421" s="171"/>
      <c r="BL421" s="171"/>
      <c r="BM421" s="171"/>
      <c r="BN421" s="171"/>
      <c r="BO421" s="171"/>
      <c r="BP421" s="171"/>
      <c r="BQ421" s="171"/>
      <c r="BR421" s="171"/>
      <c r="BS421" s="171"/>
      <c r="BT421" s="171"/>
      <c r="BU421" s="171"/>
      <c r="BV421" s="171"/>
      <c r="BW421" s="171"/>
      <c r="BX421" s="171"/>
      <c r="BY421" s="171"/>
      <c r="BZ421" s="171"/>
      <c r="CA421" s="171"/>
      <c r="CB421" s="171"/>
      <c r="CC421" s="171"/>
      <c r="CD421" s="171"/>
      <c r="CE421" s="171"/>
      <c r="CF421" s="171"/>
      <c r="CG421" s="171"/>
      <c r="CH421" s="171"/>
    </row>
    <row r="422" spans="1:86" ht="21.4" customHeight="1" x14ac:dyDescent="0.25">
      <c r="A422" s="171"/>
      <c r="B422" s="171"/>
      <c r="C422" s="460"/>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c r="AA422" s="171"/>
      <c r="AB422" s="171"/>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c r="BA422" s="171"/>
      <c r="BB422" s="171"/>
      <c r="BC422" s="171"/>
      <c r="BD422" s="171"/>
      <c r="BE422" s="171"/>
      <c r="BF422" s="171"/>
      <c r="BG422" s="171"/>
      <c r="BH422" s="171"/>
      <c r="BI422" s="171"/>
      <c r="BJ422" s="171"/>
      <c r="BK422" s="171"/>
      <c r="BL422" s="171"/>
      <c r="BM422" s="171"/>
      <c r="BN422" s="171"/>
      <c r="BO422" s="171"/>
      <c r="BP422" s="171"/>
      <c r="BQ422" s="171"/>
      <c r="BR422" s="171"/>
      <c r="BS422" s="171"/>
      <c r="BT422" s="171"/>
      <c r="BU422" s="171"/>
      <c r="BV422" s="171"/>
      <c r="BW422" s="171"/>
      <c r="BX422" s="171"/>
      <c r="BY422" s="171"/>
      <c r="BZ422" s="171"/>
      <c r="CA422" s="171"/>
      <c r="CB422" s="171"/>
      <c r="CC422" s="171"/>
      <c r="CD422" s="171"/>
      <c r="CE422" s="171"/>
      <c r="CF422" s="171"/>
      <c r="CG422" s="171"/>
      <c r="CH422" s="171"/>
    </row>
    <row r="423" spans="1:86" ht="21.4" customHeight="1" x14ac:dyDescent="0.25">
      <c r="A423" s="171"/>
      <c r="B423" s="171"/>
      <c r="C423" s="460"/>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row>
    <row r="424" spans="1:86" ht="21.4" customHeight="1" x14ac:dyDescent="0.25">
      <c r="A424" s="171"/>
      <c r="B424" s="171"/>
      <c r="C424" s="460"/>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c r="AA424" s="171"/>
      <c r="AB424" s="171"/>
      <c r="AC424" s="171"/>
      <c r="AD424" s="171"/>
      <c r="AE424" s="171"/>
      <c r="AF424" s="171"/>
      <c r="AG424" s="171"/>
      <c r="AH424" s="171"/>
      <c r="AI424" s="171"/>
      <c r="AJ424" s="171"/>
      <c r="AK424" s="171"/>
      <c r="AL424" s="171"/>
      <c r="AM424" s="171"/>
      <c r="AN424" s="171"/>
      <c r="AO424" s="171"/>
      <c r="AP424" s="171"/>
      <c r="AQ424" s="171"/>
      <c r="AR424" s="171"/>
      <c r="AS424" s="171"/>
      <c r="AT424" s="171"/>
      <c r="AU424" s="171"/>
      <c r="AV424" s="171"/>
      <c r="AW424" s="171"/>
      <c r="AX424" s="171"/>
      <c r="AY424" s="171"/>
      <c r="AZ424" s="171"/>
      <c r="BA424" s="171"/>
      <c r="BB424" s="171"/>
      <c r="BC424" s="171"/>
      <c r="BD424" s="171"/>
      <c r="BE424" s="171"/>
      <c r="BF424" s="171"/>
      <c r="BG424" s="171"/>
      <c r="BH424" s="171"/>
      <c r="BI424" s="171"/>
      <c r="BJ424" s="171"/>
      <c r="BK424" s="171"/>
      <c r="BL424" s="171"/>
      <c r="BM424" s="171"/>
      <c r="BN424" s="171"/>
      <c r="BO424" s="171"/>
      <c r="BP424" s="171"/>
      <c r="BQ424" s="171"/>
      <c r="BR424" s="171"/>
      <c r="BS424" s="171"/>
      <c r="BT424" s="171"/>
      <c r="BU424" s="171"/>
      <c r="BV424" s="171"/>
      <c r="BW424" s="171"/>
      <c r="BX424" s="171"/>
      <c r="BY424" s="171"/>
      <c r="BZ424" s="171"/>
      <c r="CA424" s="171"/>
      <c r="CB424" s="171"/>
      <c r="CC424" s="171"/>
      <c r="CD424" s="171"/>
      <c r="CE424" s="171"/>
      <c r="CF424" s="171"/>
      <c r="CG424" s="171"/>
      <c r="CH424" s="171"/>
    </row>
    <row r="425" spans="1:86" ht="21.4" customHeight="1" x14ac:dyDescent="0.25">
      <c r="A425" s="171"/>
      <c r="B425" s="171"/>
      <c r="C425" s="460"/>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c r="AA425" s="171"/>
      <c r="AB425" s="171"/>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c r="BA425" s="171"/>
      <c r="BB425" s="171"/>
      <c r="BC425" s="171"/>
      <c r="BD425" s="171"/>
      <c r="BE425" s="171"/>
      <c r="BF425" s="171"/>
      <c r="BG425" s="171"/>
      <c r="BH425" s="171"/>
      <c r="BI425" s="171"/>
      <c r="BJ425" s="171"/>
      <c r="BK425" s="171"/>
      <c r="BL425" s="171"/>
      <c r="BM425" s="171"/>
      <c r="BN425" s="171"/>
      <c r="BO425" s="171"/>
      <c r="BP425" s="171"/>
      <c r="BQ425" s="171"/>
      <c r="BR425" s="171"/>
      <c r="BS425" s="171"/>
      <c r="BT425" s="171"/>
      <c r="BU425" s="171"/>
      <c r="BV425" s="171"/>
      <c r="BW425" s="171"/>
      <c r="BX425" s="171"/>
      <c r="BY425" s="171"/>
      <c r="BZ425" s="171"/>
      <c r="CA425" s="171"/>
      <c r="CB425" s="171"/>
      <c r="CC425" s="171"/>
      <c r="CD425" s="171"/>
      <c r="CE425" s="171"/>
      <c r="CF425" s="171"/>
      <c r="CG425" s="171"/>
      <c r="CH425" s="171"/>
    </row>
    <row r="426" spans="1:86" ht="21.4" customHeight="1" x14ac:dyDescent="0.25">
      <c r="A426" s="171"/>
      <c r="B426" s="171"/>
      <c r="C426" s="460"/>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1"/>
      <c r="BB426" s="171"/>
      <c r="BC426" s="171"/>
      <c r="BD426" s="171"/>
      <c r="BE426" s="171"/>
      <c r="BF426" s="171"/>
      <c r="BG426" s="171"/>
      <c r="BH426" s="171"/>
      <c r="BI426" s="171"/>
      <c r="BJ426" s="171"/>
      <c r="BK426" s="171"/>
      <c r="BL426" s="171"/>
      <c r="BM426" s="171"/>
      <c r="BN426" s="171"/>
      <c r="BO426" s="171"/>
      <c r="BP426" s="171"/>
      <c r="BQ426" s="171"/>
      <c r="BR426" s="171"/>
      <c r="BS426" s="171"/>
      <c r="BT426" s="171"/>
      <c r="BU426" s="171"/>
      <c r="BV426" s="171"/>
      <c r="BW426" s="171"/>
      <c r="BX426" s="171"/>
      <c r="BY426" s="171"/>
      <c r="BZ426" s="171"/>
      <c r="CA426" s="171"/>
      <c r="CB426" s="171"/>
      <c r="CC426" s="171"/>
      <c r="CD426" s="171"/>
      <c r="CE426" s="171"/>
      <c r="CF426" s="171"/>
      <c r="CG426" s="171"/>
      <c r="CH426" s="171"/>
    </row>
    <row r="427" spans="1:86" ht="21.4" customHeight="1" x14ac:dyDescent="0.25">
      <c r="A427" s="171"/>
      <c r="B427" s="171"/>
      <c r="C427" s="460"/>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c r="AA427" s="171"/>
      <c r="AB427" s="171"/>
      <c r="AC427" s="171"/>
      <c r="AD427" s="171"/>
      <c r="AE427" s="171"/>
      <c r="AF427" s="171"/>
      <c r="AG427" s="171"/>
      <c r="AH427" s="171"/>
      <c r="AI427" s="171"/>
      <c r="AJ427" s="171"/>
      <c r="AK427" s="171"/>
      <c r="AL427" s="171"/>
      <c r="AM427" s="171"/>
      <c r="AN427" s="171"/>
      <c r="AO427" s="171"/>
      <c r="AP427" s="171"/>
      <c r="AQ427" s="171"/>
      <c r="AR427" s="171"/>
      <c r="AS427" s="171"/>
      <c r="AT427" s="171"/>
      <c r="AU427" s="171"/>
      <c r="AV427" s="171"/>
      <c r="AW427" s="171"/>
      <c r="AX427" s="171"/>
      <c r="AY427" s="171"/>
      <c r="AZ427" s="171"/>
      <c r="BA427" s="171"/>
      <c r="BB427" s="171"/>
      <c r="BC427" s="171"/>
      <c r="BD427" s="171"/>
      <c r="BE427" s="171"/>
      <c r="BF427" s="171"/>
      <c r="BG427" s="171"/>
      <c r="BH427" s="171"/>
      <c r="BI427" s="171"/>
      <c r="BJ427" s="171"/>
      <c r="BK427" s="171"/>
      <c r="BL427" s="171"/>
      <c r="BM427" s="171"/>
      <c r="BN427" s="171"/>
      <c r="BO427" s="171"/>
      <c r="BP427" s="171"/>
      <c r="BQ427" s="171"/>
      <c r="BR427" s="171"/>
      <c r="BS427" s="171"/>
      <c r="BT427" s="171"/>
      <c r="BU427" s="171"/>
      <c r="BV427" s="171"/>
      <c r="BW427" s="171"/>
      <c r="BX427" s="171"/>
      <c r="BY427" s="171"/>
      <c r="BZ427" s="171"/>
      <c r="CA427" s="171"/>
      <c r="CB427" s="171"/>
      <c r="CC427" s="171"/>
      <c r="CD427" s="171"/>
      <c r="CE427" s="171"/>
      <c r="CF427" s="171"/>
      <c r="CG427" s="171"/>
      <c r="CH427" s="171"/>
    </row>
    <row r="428" spans="1:86" ht="21.4" customHeight="1" x14ac:dyDescent="0.25">
      <c r="A428" s="171"/>
      <c r="B428" s="171"/>
      <c r="C428" s="460"/>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c r="AA428" s="171"/>
      <c r="AB428" s="171"/>
      <c r="AC428" s="171"/>
      <c r="AD428" s="171"/>
      <c r="AE428" s="171"/>
      <c r="AF428" s="171"/>
      <c r="AG428" s="171"/>
      <c r="AH428" s="171"/>
      <c r="AI428" s="171"/>
      <c r="AJ428" s="171"/>
      <c r="AK428" s="171"/>
      <c r="AL428" s="171"/>
      <c r="AM428" s="171"/>
      <c r="AN428" s="171"/>
      <c r="AO428" s="171"/>
      <c r="AP428" s="171"/>
      <c r="AQ428" s="171"/>
      <c r="AR428" s="171"/>
      <c r="AS428" s="171"/>
      <c r="AT428" s="171"/>
      <c r="AU428" s="171"/>
      <c r="AV428" s="171"/>
      <c r="AW428" s="171"/>
      <c r="AX428" s="171"/>
      <c r="AY428" s="171"/>
      <c r="AZ428" s="171"/>
      <c r="BA428" s="171"/>
      <c r="BB428" s="171"/>
      <c r="BC428" s="171"/>
      <c r="BD428" s="171"/>
      <c r="BE428" s="171"/>
      <c r="BF428" s="171"/>
      <c r="BG428" s="171"/>
      <c r="BH428" s="171"/>
      <c r="BI428" s="171"/>
      <c r="BJ428" s="171"/>
      <c r="BK428" s="171"/>
      <c r="BL428" s="171"/>
      <c r="BM428" s="171"/>
      <c r="BN428" s="171"/>
      <c r="BO428" s="171"/>
      <c r="BP428" s="171"/>
      <c r="BQ428" s="171"/>
      <c r="BR428" s="171"/>
      <c r="BS428" s="171"/>
      <c r="BT428" s="171"/>
      <c r="BU428" s="171"/>
      <c r="BV428" s="171"/>
      <c r="BW428" s="171"/>
      <c r="BX428" s="171"/>
      <c r="BY428" s="171"/>
      <c r="BZ428" s="171"/>
      <c r="CA428" s="171"/>
      <c r="CB428" s="171"/>
      <c r="CC428" s="171"/>
      <c r="CD428" s="171"/>
      <c r="CE428" s="171"/>
      <c r="CF428" s="171"/>
      <c r="CG428" s="171"/>
      <c r="CH428" s="171"/>
    </row>
    <row r="429" spans="1:86" ht="21.4" customHeight="1" x14ac:dyDescent="0.25">
      <c r="A429" s="171"/>
      <c r="B429" s="171"/>
      <c r="C429" s="460"/>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c r="AA429" s="171"/>
      <c r="AB429" s="171"/>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71"/>
      <c r="AY429" s="171"/>
      <c r="AZ429" s="171"/>
      <c r="BA429" s="171"/>
      <c r="BB429" s="171"/>
      <c r="BC429" s="171"/>
      <c r="BD429" s="171"/>
      <c r="BE429" s="171"/>
      <c r="BF429" s="171"/>
      <c r="BG429" s="171"/>
      <c r="BH429" s="171"/>
      <c r="BI429" s="171"/>
      <c r="BJ429" s="171"/>
      <c r="BK429" s="171"/>
      <c r="BL429" s="171"/>
      <c r="BM429" s="171"/>
      <c r="BN429" s="171"/>
      <c r="BO429" s="171"/>
      <c r="BP429" s="171"/>
      <c r="BQ429" s="171"/>
      <c r="BR429" s="171"/>
      <c r="BS429" s="171"/>
      <c r="BT429" s="171"/>
      <c r="BU429" s="171"/>
      <c r="BV429" s="171"/>
      <c r="BW429" s="171"/>
      <c r="BX429" s="171"/>
      <c r="BY429" s="171"/>
      <c r="BZ429" s="171"/>
      <c r="CA429" s="171"/>
      <c r="CB429" s="171"/>
      <c r="CC429" s="171"/>
      <c r="CD429" s="171"/>
      <c r="CE429" s="171"/>
      <c r="CF429" s="171"/>
      <c r="CG429" s="171"/>
      <c r="CH429" s="171"/>
    </row>
    <row r="430" spans="1:86" ht="21.4" customHeight="1" x14ac:dyDescent="0.25">
      <c r="A430" s="171"/>
      <c r="B430" s="171"/>
      <c r="C430" s="460"/>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c r="AA430" s="171"/>
      <c r="AB430" s="171"/>
      <c r="AC430" s="171"/>
      <c r="AD430" s="171"/>
      <c r="AE430" s="171"/>
      <c r="AF430" s="171"/>
      <c r="AG430" s="171"/>
      <c r="AH430" s="171"/>
      <c r="AI430" s="171"/>
      <c r="AJ430" s="171"/>
      <c r="AK430" s="171"/>
      <c r="AL430" s="171"/>
      <c r="AM430" s="171"/>
      <c r="AN430" s="171"/>
      <c r="AO430" s="171"/>
      <c r="AP430" s="171"/>
      <c r="AQ430" s="171"/>
      <c r="AR430" s="171"/>
      <c r="AS430" s="171"/>
      <c r="AT430" s="171"/>
      <c r="AU430" s="171"/>
      <c r="AV430" s="171"/>
      <c r="AW430" s="171"/>
      <c r="AX430" s="171"/>
      <c r="AY430" s="171"/>
      <c r="AZ430" s="171"/>
      <c r="BA430" s="171"/>
      <c r="BB430" s="171"/>
      <c r="BC430" s="171"/>
      <c r="BD430" s="171"/>
      <c r="BE430" s="171"/>
      <c r="BF430" s="171"/>
      <c r="BG430" s="171"/>
      <c r="BH430" s="171"/>
      <c r="BI430" s="171"/>
      <c r="BJ430" s="171"/>
      <c r="BK430" s="171"/>
      <c r="BL430" s="171"/>
      <c r="BM430" s="171"/>
      <c r="BN430" s="171"/>
      <c r="BO430" s="171"/>
      <c r="BP430" s="171"/>
      <c r="BQ430" s="171"/>
      <c r="BR430" s="171"/>
      <c r="BS430" s="171"/>
      <c r="BT430" s="171"/>
      <c r="BU430" s="171"/>
      <c r="BV430" s="171"/>
      <c r="BW430" s="171"/>
      <c r="BX430" s="171"/>
      <c r="BY430" s="171"/>
      <c r="BZ430" s="171"/>
      <c r="CA430" s="171"/>
      <c r="CB430" s="171"/>
      <c r="CC430" s="171"/>
      <c r="CD430" s="171"/>
      <c r="CE430" s="171"/>
      <c r="CF430" s="171"/>
      <c r="CG430" s="171"/>
      <c r="CH430" s="171"/>
    </row>
    <row r="431" spans="1:86" ht="21.4" customHeight="1" x14ac:dyDescent="0.25">
      <c r="A431" s="171"/>
      <c r="B431" s="171"/>
      <c r="C431" s="460"/>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c r="AA431" s="171"/>
      <c r="AB431" s="171"/>
      <c r="AC431" s="171"/>
      <c r="AD431" s="171"/>
      <c r="AE431" s="171"/>
      <c r="AF431" s="171"/>
      <c r="AG431" s="171"/>
      <c r="AH431" s="171"/>
      <c r="AI431" s="171"/>
      <c r="AJ431" s="171"/>
      <c r="AK431" s="171"/>
      <c r="AL431" s="171"/>
      <c r="AM431" s="171"/>
      <c r="AN431" s="171"/>
      <c r="AO431" s="171"/>
      <c r="AP431" s="171"/>
      <c r="AQ431" s="171"/>
      <c r="AR431" s="171"/>
      <c r="AS431" s="171"/>
      <c r="AT431" s="171"/>
      <c r="AU431" s="171"/>
      <c r="AV431" s="171"/>
      <c r="AW431" s="171"/>
      <c r="AX431" s="171"/>
      <c r="AY431" s="171"/>
      <c r="AZ431" s="171"/>
      <c r="BA431" s="171"/>
      <c r="BB431" s="171"/>
      <c r="BC431" s="171"/>
      <c r="BD431" s="171"/>
      <c r="BE431" s="171"/>
      <c r="BF431" s="171"/>
      <c r="BG431" s="171"/>
      <c r="BH431" s="171"/>
      <c r="BI431" s="171"/>
      <c r="BJ431" s="171"/>
      <c r="BK431" s="171"/>
      <c r="BL431" s="171"/>
      <c r="BM431" s="171"/>
      <c r="BN431" s="171"/>
      <c r="BO431" s="171"/>
      <c r="BP431" s="171"/>
      <c r="BQ431" s="171"/>
      <c r="BR431" s="171"/>
      <c r="BS431" s="171"/>
      <c r="BT431" s="171"/>
      <c r="BU431" s="171"/>
      <c r="BV431" s="171"/>
      <c r="BW431" s="171"/>
      <c r="BX431" s="171"/>
      <c r="BY431" s="171"/>
      <c r="BZ431" s="171"/>
      <c r="CA431" s="171"/>
      <c r="CB431" s="171"/>
      <c r="CC431" s="171"/>
      <c r="CD431" s="171"/>
      <c r="CE431" s="171"/>
      <c r="CF431" s="171"/>
      <c r="CG431" s="171"/>
      <c r="CH431" s="171"/>
    </row>
    <row r="432" spans="1:86" ht="21.4" customHeight="1" x14ac:dyDescent="0.25">
      <c r="A432" s="171"/>
      <c r="B432" s="171"/>
      <c r="C432" s="460"/>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c r="AA432" s="171"/>
      <c r="AB432" s="171"/>
      <c r="AC432" s="171"/>
      <c r="AD432" s="171"/>
      <c r="AE432" s="171"/>
      <c r="AF432" s="171"/>
      <c r="AG432" s="171"/>
      <c r="AH432" s="171"/>
      <c r="AI432" s="171"/>
      <c r="AJ432" s="171"/>
      <c r="AK432" s="171"/>
      <c r="AL432" s="171"/>
      <c r="AM432" s="171"/>
      <c r="AN432" s="171"/>
      <c r="AO432" s="171"/>
      <c r="AP432" s="171"/>
      <c r="AQ432" s="171"/>
      <c r="AR432" s="171"/>
      <c r="AS432" s="171"/>
      <c r="AT432" s="171"/>
      <c r="AU432" s="171"/>
      <c r="AV432" s="171"/>
      <c r="AW432" s="171"/>
      <c r="AX432" s="171"/>
      <c r="AY432" s="171"/>
      <c r="AZ432" s="171"/>
      <c r="BA432" s="171"/>
      <c r="BB432" s="171"/>
      <c r="BC432" s="171"/>
      <c r="BD432" s="171"/>
      <c r="BE432" s="171"/>
      <c r="BF432" s="171"/>
      <c r="BG432" s="171"/>
      <c r="BH432" s="171"/>
      <c r="BI432" s="171"/>
      <c r="BJ432" s="171"/>
      <c r="BK432" s="171"/>
      <c r="BL432" s="171"/>
      <c r="BM432" s="171"/>
      <c r="BN432" s="171"/>
      <c r="BO432" s="171"/>
      <c r="BP432" s="171"/>
      <c r="BQ432" s="171"/>
      <c r="BR432" s="171"/>
      <c r="BS432" s="171"/>
      <c r="BT432" s="171"/>
      <c r="BU432" s="171"/>
      <c r="BV432" s="171"/>
      <c r="BW432" s="171"/>
      <c r="BX432" s="171"/>
      <c r="BY432" s="171"/>
      <c r="BZ432" s="171"/>
      <c r="CA432" s="171"/>
      <c r="CB432" s="171"/>
      <c r="CC432" s="171"/>
      <c r="CD432" s="171"/>
      <c r="CE432" s="171"/>
      <c r="CF432" s="171"/>
      <c r="CG432" s="171"/>
      <c r="CH432" s="171"/>
    </row>
    <row r="433" spans="1:86" ht="21.4" customHeight="1" x14ac:dyDescent="0.25">
      <c r="A433" s="171"/>
      <c r="B433" s="171"/>
      <c r="C433" s="460"/>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c r="AA433" s="171"/>
      <c r="AB433" s="171"/>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c r="BA433" s="171"/>
      <c r="BB433" s="171"/>
      <c r="BC433" s="171"/>
      <c r="BD433" s="171"/>
      <c r="BE433" s="171"/>
      <c r="BF433" s="171"/>
      <c r="BG433" s="171"/>
      <c r="BH433" s="171"/>
      <c r="BI433" s="171"/>
      <c r="BJ433" s="171"/>
      <c r="BK433" s="171"/>
      <c r="BL433" s="171"/>
      <c r="BM433" s="171"/>
      <c r="BN433" s="171"/>
      <c r="BO433" s="171"/>
      <c r="BP433" s="171"/>
      <c r="BQ433" s="171"/>
      <c r="BR433" s="171"/>
      <c r="BS433" s="171"/>
      <c r="BT433" s="171"/>
      <c r="BU433" s="171"/>
      <c r="BV433" s="171"/>
      <c r="BW433" s="171"/>
      <c r="BX433" s="171"/>
      <c r="BY433" s="171"/>
      <c r="BZ433" s="171"/>
      <c r="CA433" s="171"/>
      <c r="CB433" s="171"/>
      <c r="CC433" s="171"/>
      <c r="CD433" s="171"/>
      <c r="CE433" s="171"/>
      <c r="CF433" s="171"/>
      <c r="CG433" s="171"/>
      <c r="CH433" s="171"/>
    </row>
    <row r="434" spans="1:86" ht="21.4" customHeight="1" x14ac:dyDescent="0.25">
      <c r="A434" s="171"/>
      <c r="B434" s="171"/>
      <c r="C434" s="460"/>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c r="AA434" s="171"/>
      <c r="AB434" s="171"/>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c r="BA434" s="171"/>
      <c r="BB434" s="171"/>
      <c r="BC434" s="171"/>
      <c r="BD434" s="171"/>
      <c r="BE434" s="171"/>
      <c r="BF434" s="171"/>
      <c r="BG434" s="171"/>
      <c r="BH434" s="171"/>
      <c r="BI434" s="171"/>
      <c r="BJ434" s="171"/>
      <c r="BK434" s="171"/>
      <c r="BL434" s="171"/>
      <c r="BM434" s="171"/>
      <c r="BN434" s="171"/>
      <c r="BO434" s="171"/>
      <c r="BP434" s="171"/>
      <c r="BQ434" s="171"/>
      <c r="BR434" s="171"/>
      <c r="BS434" s="171"/>
      <c r="BT434" s="171"/>
      <c r="BU434" s="171"/>
      <c r="BV434" s="171"/>
      <c r="BW434" s="171"/>
      <c r="BX434" s="171"/>
      <c r="BY434" s="171"/>
      <c r="BZ434" s="171"/>
      <c r="CA434" s="171"/>
      <c r="CB434" s="171"/>
      <c r="CC434" s="171"/>
      <c r="CD434" s="171"/>
      <c r="CE434" s="171"/>
      <c r="CF434" s="171"/>
      <c r="CG434" s="171"/>
      <c r="CH434" s="171"/>
    </row>
    <row r="435" spans="1:86" ht="21.4" customHeight="1" x14ac:dyDescent="0.25">
      <c r="A435" s="171"/>
      <c r="B435" s="171"/>
      <c r="C435" s="460"/>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c r="AA435" s="171"/>
      <c r="AB435" s="171"/>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c r="BA435" s="171"/>
      <c r="BB435" s="171"/>
      <c r="BC435" s="171"/>
      <c r="BD435" s="171"/>
      <c r="BE435" s="171"/>
      <c r="BF435" s="171"/>
      <c r="BG435" s="171"/>
      <c r="BH435" s="171"/>
      <c r="BI435" s="171"/>
      <c r="BJ435" s="171"/>
      <c r="BK435" s="171"/>
      <c r="BL435" s="171"/>
      <c r="BM435" s="171"/>
      <c r="BN435" s="171"/>
      <c r="BO435" s="171"/>
      <c r="BP435" s="171"/>
      <c r="BQ435" s="171"/>
      <c r="BR435" s="171"/>
      <c r="BS435" s="171"/>
      <c r="BT435" s="171"/>
      <c r="BU435" s="171"/>
      <c r="BV435" s="171"/>
      <c r="BW435" s="171"/>
      <c r="BX435" s="171"/>
      <c r="BY435" s="171"/>
      <c r="BZ435" s="171"/>
      <c r="CA435" s="171"/>
      <c r="CB435" s="171"/>
      <c r="CC435" s="171"/>
      <c r="CD435" s="171"/>
      <c r="CE435" s="171"/>
      <c r="CF435" s="171"/>
      <c r="CG435" s="171"/>
      <c r="CH435" s="171"/>
    </row>
    <row r="436" spans="1:86" ht="21.4" customHeight="1" x14ac:dyDescent="0.25">
      <c r="A436" s="171"/>
      <c r="B436" s="171"/>
      <c r="C436" s="460"/>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c r="AA436" s="171"/>
      <c r="AB436" s="171"/>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c r="BB436" s="171"/>
      <c r="BC436" s="171"/>
      <c r="BD436" s="171"/>
      <c r="BE436" s="171"/>
      <c r="BF436" s="171"/>
      <c r="BG436" s="171"/>
      <c r="BH436" s="171"/>
      <c r="BI436" s="171"/>
      <c r="BJ436" s="171"/>
      <c r="BK436" s="171"/>
      <c r="BL436" s="171"/>
      <c r="BM436" s="171"/>
      <c r="BN436" s="171"/>
      <c r="BO436" s="171"/>
      <c r="BP436" s="171"/>
      <c r="BQ436" s="171"/>
      <c r="BR436" s="171"/>
      <c r="BS436" s="171"/>
      <c r="BT436" s="171"/>
      <c r="BU436" s="171"/>
      <c r="BV436" s="171"/>
      <c r="BW436" s="171"/>
      <c r="BX436" s="171"/>
      <c r="BY436" s="171"/>
      <c r="BZ436" s="171"/>
      <c r="CA436" s="171"/>
      <c r="CB436" s="171"/>
      <c r="CC436" s="171"/>
      <c r="CD436" s="171"/>
      <c r="CE436" s="171"/>
      <c r="CF436" s="171"/>
      <c r="CG436" s="171"/>
      <c r="CH436" s="171"/>
    </row>
    <row r="437" spans="1:86" ht="21.4" customHeight="1" x14ac:dyDescent="0.25">
      <c r="A437" s="171"/>
      <c r="B437" s="171"/>
      <c r="C437" s="460"/>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c r="BB437" s="171"/>
      <c r="BC437" s="171"/>
      <c r="BD437" s="171"/>
      <c r="BE437" s="171"/>
      <c r="BF437" s="171"/>
      <c r="BG437" s="171"/>
      <c r="BH437" s="171"/>
      <c r="BI437" s="171"/>
      <c r="BJ437" s="171"/>
      <c r="BK437" s="171"/>
      <c r="BL437" s="171"/>
      <c r="BM437" s="171"/>
      <c r="BN437" s="171"/>
      <c r="BO437" s="171"/>
      <c r="BP437" s="171"/>
      <c r="BQ437" s="171"/>
      <c r="BR437" s="171"/>
      <c r="BS437" s="171"/>
      <c r="BT437" s="171"/>
      <c r="BU437" s="171"/>
      <c r="BV437" s="171"/>
      <c r="BW437" s="171"/>
      <c r="BX437" s="171"/>
      <c r="BY437" s="171"/>
      <c r="BZ437" s="171"/>
      <c r="CA437" s="171"/>
      <c r="CB437" s="171"/>
      <c r="CC437" s="171"/>
      <c r="CD437" s="171"/>
      <c r="CE437" s="171"/>
      <c r="CF437" s="171"/>
      <c r="CG437" s="171"/>
      <c r="CH437" s="171"/>
    </row>
    <row r="438" spans="1:86" ht="21.4" customHeight="1" x14ac:dyDescent="0.25">
      <c r="A438" s="171"/>
      <c r="B438" s="171"/>
      <c r="C438" s="460"/>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c r="AA438" s="171"/>
      <c r="AB438" s="171"/>
      <c r="AC438" s="171"/>
      <c r="AD438" s="171"/>
      <c r="AE438" s="171"/>
      <c r="AF438" s="171"/>
      <c r="AG438" s="171"/>
      <c r="AH438" s="171"/>
      <c r="AI438" s="171"/>
      <c r="AJ438" s="171"/>
      <c r="AK438" s="171"/>
      <c r="AL438" s="171"/>
      <c r="AM438" s="171"/>
      <c r="AN438" s="171"/>
      <c r="AO438" s="171"/>
      <c r="AP438" s="171"/>
      <c r="AQ438" s="171"/>
      <c r="AR438" s="171"/>
      <c r="AS438" s="171"/>
      <c r="AT438" s="171"/>
      <c r="AU438" s="171"/>
      <c r="AV438" s="171"/>
      <c r="AW438" s="171"/>
      <c r="AX438" s="171"/>
      <c r="AY438" s="171"/>
      <c r="AZ438" s="171"/>
      <c r="BA438" s="171"/>
      <c r="BB438" s="171"/>
      <c r="BC438" s="171"/>
      <c r="BD438" s="171"/>
      <c r="BE438" s="171"/>
      <c r="BF438" s="171"/>
      <c r="BG438" s="171"/>
      <c r="BH438" s="171"/>
      <c r="BI438" s="171"/>
      <c r="BJ438" s="171"/>
      <c r="BK438" s="171"/>
      <c r="BL438" s="171"/>
      <c r="BM438" s="171"/>
      <c r="BN438" s="171"/>
      <c r="BO438" s="171"/>
      <c r="BP438" s="171"/>
      <c r="BQ438" s="171"/>
      <c r="BR438" s="171"/>
      <c r="BS438" s="171"/>
      <c r="BT438" s="171"/>
      <c r="BU438" s="171"/>
      <c r="BV438" s="171"/>
      <c r="BW438" s="171"/>
      <c r="BX438" s="171"/>
      <c r="BY438" s="171"/>
      <c r="BZ438" s="171"/>
      <c r="CA438" s="171"/>
      <c r="CB438" s="171"/>
      <c r="CC438" s="171"/>
      <c r="CD438" s="171"/>
      <c r="CE438" s="171"/>
      <c r="CF438" s="171"/>
      <c r="CG438" s="171"/>
      <c r="CH438" s="171"/>
    </row>
  </sheetData>
  <sheetProtection algorithmName="SHA-512" hashValue="xK82hl0sJI9mlE3QaCqjmVD4TrbbtU2KFccjXYLv7K1haPe244sFyNqYvXXfw0L2gOjZvSd1AeuR29nKodERDQ==" saltValue="P8INzG+LOovbbgWr1H9uSQ==" spinCount="100000" sheet="1" formatRows="0" selectLockedCells="1" selectUnlockedCells="1"/>
  <mergeCells count="77">
    <mergeCell ref="S63:S65"/>
    <mergeCell ref="J64:M64"/>
    <mergeCell ref="N64:Q64"/>
    <mergeCell ref="B94:B95"/>
    <mergeCell ref="B92:B93"/>
    <mergeCell ref="N22:Q22"/>
    <mergeCell ref="J21:Q21"/>
    <mergeCell ref="R21:R23"/>
    <mergeCell ref="I21:I22"/>
    <mergeCell ref="B63:B65"/>
    <mergeCell ref="C63:C65"/>
    <mergeCell ref="D63:D65"/>
    <mergeCell ref="E63:F64"/>
    <mergeCell ref="G63:H64"/>
    <mergeCell ref="I63:I64"/>
    <mergeCell ref="J63:Q63"/>
    <mergeCell ref="R63:R65"/>
    <mergeCell ref="C142:C144"/>
    <mergeCell ref="F142:K142"/>
    <mergeCell ref="B145:B148"/>
    <mergeCell ref="B149:B152"/>
    <mergeCell ref="B153:B156"/>
    <mergeCell ref="B142:B144"/>
    <mergeCell ref="D142:D144"/>
    <mergeCell ref="E127:J127"/>
    <mergeCell ref="E128:F128"/>
    <mergeCell ref="G128:H128"/>
    <mergeCell ref="F143:G143"/>
    <mergeCell ref="J143:K143"/>
    <mergeCell ref="E142:E144"/>
    <mergeCell ref="I128:J128"/>
    <mergeCell ref="E114:J114"/>
    <mergeCell ref="E115:F115"/>
    <mergeCell ref="G115:H115"/>
    <mergeCell ref="I115:J115"/>
    <mergeCell ref="J22:M22"/>
    <mergeCell ref="B133:B135"/>
    <mergeCell ref="C127:C129"/>
    <mergeCell ref="D127:D129"/>
    <mergeCell ref="B127:B129"/>
    <mergeCell ref="B102:B104"/>
    <mergeCell ref="D102:D104"/>
    <mergeCell ref="D114:D116"/>
    <mergeCell ref="B130:B132"/>
    <mergeCell ref="B118:B121"/>
    <mergeCell ref="I258:I263"/>
    <mergeCell ref="K258:K277"/>
    <mergeCell ref="I270:I277"/>
    <mergeCell ref="B21:B23"/>
    <mergeCell ref="C21:C23"/>
    <mergeCell ref="D21:D23"/>
    <mergeCell ref="C114:C116"/>
    <mergeCell ref="B83:B85"/>
    <mergeCell ref="C83:C85"/>
    <mergeCell ref="B105:B107"/>
    <mergeCell ref="B114:B116"/>
    <mergeCell ref="B88:B91"/>
    <mergeCell ref="B86:B87"/>
    <mergeCell ref="C102:C104"/>
    <mergeCell ref="D83:D85"/>
    <mergeCell ref="E83:J83"/>
    <mergeCell ref="S21:S23"/>
    <mergeCell ref="E21:F22"/>
    <mergeCell ref="G21:H22"/>
    <mergeCell ref="G162:G164"/>
    <mergeCell ref="D162:E162"/>
    <mergeCell ref="H162:H163"/>
    <mergeCell ref="F162:F163"/>
    <mergeCell ref="I162:I164"/>
    <mergeCell ref="E102:J102"/>
    <mergeCell ref="E103:F103"/>
    <mergeCell ref="G103:H103"/>
    <mergeCell ref="I103:J103"/>
    <mergeCell ref="E84:F84"/>
    <mergeCell ref="G84:H84"/>
    <mergeCell ref="I84:J84"/>
    <mergeCell ref="H143:I143"/>
  </mergeCells>
  <phoneticPr fontId="24" type="noConversion"/>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ED772-9160-4135-A24B-3ECE33B36CE9}">
  <sheetPr>
    <tabColor theme="7"/>
  </sheetPr>
  <dimension ref="A1:R50"/>
  <sheetViews>
    <sheetView showGridLines="0" zoomScale="70" zoomScaleNormal="70" workbookViewId="0"/>
  </sheetViews>
  <sheetFormatPr defaultColWidth="0" defaultRowHeight="15.75" zeroHeight="1" x14ac:dyDescent="0.25"/>
  <cols>
    <col min="1" max="1" width="8.625" style="166" customWidth="1"/>
    <col min="2" max="2" width="34.25" style="166" customWidth="1"/>
    <col min="3" max="3" width="31.375" style="166" customWidth="1"/>
    <col min="4" max="4" width="30.25" style="166" customWidth="1"/>
    <col min="5" max="5" width="31.25" style="166" customWidth="1"/>
    <col min="6" max="18" width="8.625" style="166" customWidth="1"/>
    <col min="19" max="16384" width="7.625" style="166" hidden="1"/>
  </cols>
  <sheetData>
    <row r="1" spans="2:6" x14ac:dyDescent="0.25"/>
    <row r="2" spans="2:6" x14ac:dyDescent="0.25"/>
    <row r="3" spans="2:6" x14ac:dyDescent="0.25"/>
    <row r="4" spans="2:6" x14ac:dyDescent="0.25"/>
    <row r="5" spans="2:6" x14ac:dyDescent="0.25"/>
    <row r="6" spans="2:6" x14ac:dyDescent="0.25"/>
    <row r="7" spans="2:6" x14ac:dyDescent="0.25"/>
    <row r="8" spans="2:6" x14ac:dyDescent="0.25"/>
    <row r="9" spans="2:6" x14ac:dyDescent="0.25"/>
    <row r="10" spans="2:6" x14ac:dyDescent="0.25"/>
    <row r="11" spans="2:6" x14ac:dyDescent="0.25"/>
    <row r="12" spans="2:6" ht="18.75" x14ac:dyDescent="0.3">
      <c r="B12" s="289" t="s">
        <v>251</v>
      </c>
      <c r="C12" s="200"/>
      <c r="D12" s="200"/>
      <c r="E12" s="200"/>
      <c r="F12" s="171"/>
    </row>
    <row r="13" spans="2:6" x14ac:dyDescent="0.25">
      <c r="B13" s="284" t="s">
        <v>252</v>
      </c>
      <c r="C13" s="200"/>
      <c r="D13" s="200"/>
      <c r="E13" s="200"/>
      <c r="F13" s="171"/>
    </row>
    <row r="14" spans="2:6" x14ac:dyDescent="0.25">
      <c r="B14" s="200"/>
      <c r="C14" s="200"/>
      <c r="D14" s="200"/>
      <c r="E14" s="200"/>
      <c r="F14" s="171"/>
    </row>
    <row r="15" spans="2:6" x14ac:dyDescent="0.25">
      <c r="B15" s="1346" t="s">
        <v>253</v>
      </c>
      <c r="C15" s="1347"/>
      <c r="D15" s="1347"/>
      <c r="E15" s="1348"/>
      <c r="F15" s="171"/>
    </row>
    <row r="16" spans="2:6" x14ac:dyDescent="0.25">
      <c r="B16" s="285" t="s">
        <v>254</v>
      </c>
      <c r="C16" s="286" t="s">
        <v>255</v>
      </c>
      <c r="D16" s="286" t="s">
        <v>256</v>
      </c>
      <c r="E16" s="286" t="s">
        <v>257</v>
      </c>
      <c r="F16" s="171"/>
    </row>
    <row r="17" spans="2:6" x14ac:dyDescent="0.25">
      <c r="B17" s="285" t="s">
        <v>258</v>
      </c>
      <c r="C17" s="286" t="s">
        <v>259</v>
      </c>
      <c r="D17" s="286"/>
      <c r="E17" s="286"/>
      <c r="F17" s="171"/>
    </row>
    <row r="18" spans="2:6" x14ac:dyDescent="0.25">
      <c r="B18" s="285" t="s">
        <v>260</v>
      </c>
      <c r="C18" s="286" t="s">
        <v>261</v>
      </c>
      <c r="D18" s="286" t="s">
        <v>262</v>
      </c>
      <c r="E18" s="286"/>
      <c r="F18" s="171"/>
    </row>
    <row r="19" spans="2:6" x14ac:dyDescent="0.25">
      <c r="B19" s="285" t="s">
        <v>263</v>
      </c>
      <c r="C19" s="286" t="s">
        <v>259</v>
      </c>
      <c r="D19" s="286" t="s">
        <v>264</v>
      </c>
      <c r="E19" s="286" t="s">
        <v>265</v>
      </c>
      <c r="F19" s="171"/>
    </row>
    <row r="20" spans="2:6" x14ac:dyDescent="0.25">
      <c r="B20" s="200"/>
      <c r="C20" s="287"/>
      <c r="D20" s="287"/>
      <c r="E20" s="287"/>
      <c r="F20" s="171"/>
    </row>
    <row r="21" spans="2:6" x14ac:dyDescent="0.25">
      <c r="B21" s="1346" t="s">
        <v>266</v>
      </c>
      <c r="C21" s="1347"/>
      <c r="D21" s="1347"/>
      <c r="E21" s="1348"/>
      <c r="F21" s="171"/>
    </row>
    <row r="22" spans="2:6" ht="18" x14ac:dyDescent="0.25">
      <c r="B22" s="285" t="s">
        <v>1050</v>
      </c>
      <c r="C22" s="286" t="s">
        <v>267</v>
      </c>
      <c r="D22" s="286" t="s">
        <v>268</v>
      </c>
      <c r="E22" s="286"/>
      <c r="F22" s="171"/>
    </row>
    <row r="23" spans="2:6" ht="18" x14ac:dyDescent="0.25">
      <c r="B23" s="285" t="s">
        <v>1050</v>
      </c>
      <c r="C23" s="286" t="s">
        <v>269</v>
      </c>
      <c r="D23" s="286" t="s">
        <v>1051</v>
      </c>
      <c r="E23" s="286"/>
      <c r="F23" s="171"/>
    </row>
    <row r="24" spans="2:6" ht="18" x14ac:dyDescent="0.25">
      <c r="B24" s="285" t="s">
        <v>270</v>
      </c>
      <c r="C24" s="286" t="s">
        <v>271</v>
      </c>
      <c r="D24" s="286" t="s">
        <v>272</v>
      </c>
      <c r="E24" s="286" t="s">
        <v>1052</v>
      </c>
      <c r="F24" s="171"/>
    </row>
    <row r="25" spans="2:6" ht="18" x14ac:dyDescent="0.25">
      <c r="B25" s="285" t="s">
        <v>273</v>
      </c>
      <c r="C25" s="286" t="s">
        <v>274</v>
      </c>
      <c r="D25" s="286" t="s">
        <v>275</v>
      </c>
      <c r="E25" s="286" t="s">
        <v>1053</v>
      </c>
      <c r="F25" s="171"/>
    </row>
    <row r="26" spans="2:6" ht="18" x14ac:dyDescent="0.25">
      <c r="B26" s="285" t="s">
        <v>276</v>
      </c>
      <c r="C26" s="286" t="s">
        <v>1054</v>
      </c>
      <c r="D26" s="286" t="s">
        <v>277</v>
      </c>
      <c r="E26" s="286"/>
      <c r="F26" s="171"/>
    </row>
    <row r="27" spans="2:6" ht="18" x14ac:dyDescent="0.25">
      <c r="B27" s="285" t="s">
        <v>1055</v>
      </c>
      <c r="C27" s="286" t="s">
        <v>278</v>
      </c>
      <c r="D27" s="286" t="s">
        <v>279</v>
      </c>
      <c r="E27" s="286" t="s">
        <v>280</v>
      </c>
      <c r="F27" s="171"/>
    </row>
    <row r="28" spans="2:6" x14ac:dyDescent="0.25">
      <c r="B28" s="200"/>
      <c r="C28" s="287"/>
      <c r="D28" s="287"/>
      <c r="E28" s="287"/>
      <c r="F28" s="171"/>
    </row>
    <row r="29" spans="2:6" x14ac:dyDescent="0.25">
      <c r="B29" s="1346" t="s">
        <v>6</v>
      </c>
      <c r="C29" s="1347"/>
      <c r="D29" s="1347"/>
      <c r="E29" s="1348"/>
      <c r="F29" s="171"/>
    </row>
    <row r="30" spans="2:6" x14ac:dyDescent="0.25">
      <c r="B30" s="285" t="s">
        <v>281</v>
      </c>
      <c r="C30" s="286" t="s">
        <v>282</v>
      </c>
      <c r="D30" s="286" t="s">
        <v>283</v>
      </c>
      <c r="E30" s="286"/>
      <c r="F30" s="171"/>
    </row>
    <row r="31" spans="2:6" x14ac:dyDescent="0.25">
      <c r="B31" s="285" t="s">
        <v>284</v>
      </c>
      <c r="C31" s="286" t="s">
        <v>285</v>
      </c>
      <c r="D31" s="286"/>
      <c r="E31" s="286"/>
      <c r="F31" s="171"/>
    </row>
    <row r="32" spans="2:6" x14ac:dyDescent="0.25">
      <c r="B32" s="285" t="s">
        <v>286</v>
      </c>
      <c r="C32" s="286" t="s">
        <v>287</v>
      </c>
      <c r="D32" s="286" t="s">
        <v>288</v>
      </c>
      <c r="E32" s="286"/>
      <c r="F32" s="171"/>
    </row>
    <row r="33" spans="2:6" x14ac:dyDescent="0.25">
      <c r="B33" s="285" t="s">
        <v>289</v>
      </c>
      <c r="C33" s="286" t="s">
        <v>290</v>
      </c>
      <c r="D33" s="286"/>
      <c r="E33" s="286"/>
      <c r="F33" s="171"/>
    </row>
    <row r="34" spans="2:6" x14ac:dyDescent="0.25">
      <c r="B34" s="285" t="s">
        <v>291</v>
      </c>
      <c r="C34" s="286" t="s">
        <v>292</v>
      </c>
      <c r="D34" s="286" t="s">
        <v>293</v>
      </c>
      <c r="E34" s="286"/>
      <c r="F34" s="171"/>
    </row>
    <row r="35" spans="2:6" x14ac:dyDescent="0.25">
      <c r="B35" s="285" t="s">
        <v>294</v>
      </c>
      <c r="C35" s="286" t="s">
        <v>295</v>
      </c>
      <c r="D35" s="286"/>
      <c r="E35" s="286"/>
      <c r="F35" s="171"/>
    </row>
    <row r="36" spans="2:6" x14ac:dyDescent="0.25">
      <c r="B36" s="200"/>
      <c r="C36" s="287"/>
      <c r="D36" s="287"/>
      <c r="E36" s="287"/>
      <c r="F36" s="171"/>
    </row>
    <row r="37" spans="2:6" x14ac:dyDescent="0.25">
      <c r="B37" s="1346" t="s">
        <v>296</v>
      </c>
      <c r="C37" s="1348"/>
      <c r="D37" s="287"/>
      <c r="E37" s="287"/>
      <c r="F37" s="171"/>
    </row>
    <row r="38" spans="2:6" x14ac:dyDescent="0.25">
      <c r="B38" s="285" t="s">
        <v>297</v>
      </c>
      <c r="C38" s="286" t="s">
        <v>298</v>
      </c>
      <c r="D38" s="287"/>
      <c r="E38" s="287"/>
      <c r="F38" s="171"/>
    </row>
    <row r="39" spans="2:6" x14ac:dyDescent="0.25">
      <c r="B39" s="285" t="s">
        <v>299</v>
      </c>
      <c r="C39" s="286" t="s">
        <v>300</v>
      </c>
      <c r="D39" s="287"/>
      <c r="E39" s="287"/>
      <c r="F39" s="171"/>
    </row>
    <row r="40" spans="2:6" x14ac:dyDescent="0.25">
      <c r="B40" s="200"/>
      <c r="C40" s="200"/>
      <c r="D40" s="287"/>
      <c r="E40" s="287"/>
      <c r="F40" s="171"/>
    </row>
    <row r="41" spans="2:6" x14ac:dyDescent="0.25">
      <c r="B41" s="1346" t="s">
        <v>301</v>
      </c>
      <c r="C41" s="1348"/>
      <c r="D41" s="287"/>
      <c r="E41" s="287"/>
      <c r="F41" s="171"/>
    </row>
    <row r="42" spans="2:6" ht="18" x14ac:dyDescent="0.25">
      <c r="B42" s="285" t="s">
        <v>302</v>
      </c>
      <c r="C42" s="288" t="s">
        <v>1056</v>
      </c>
      <c r="D42" s="287"/>
      <c r="E42" s="287"/>
      <c r="F42" s="171"/>
    </row>
    <row r="43" spans="2:6" ht="18" x14ac:dyDescent="0.25">
      <c r="B43" s="285" t="s">
        <v>303</v>
      </c>
      <c r="C43" s="288" t="s">
        <v>1057</v>
      </c>
      <c r="D43" s="287"/>
      <c r="E43" s="287"/>
      <c r="F43" s="171"/>
    </row>
    <row r="44" spans="2:6" ht="18" x14ac:dyDescent="0.25">
      <c r="B44" s="285" t="s">
        <v>304</v>
      </c>
      <c r="C44" s="288" t="s">
        <v>1058</v>
      </c>
      <c r="D44" s="287"/>
      <c r="E44" s="287"/>
      <c r="F44" s="171"/>
    </row>
    <row r="45" spans="2:6" ht="18" x14ac:dyDescent="0.25">
      <c r="B45" s="285" t="s">
        <v>305</v>
      </c>
      <c r="C45" s="288" t="s">
        <v>1059</v>
      </c>
      <c r="D45" s="287"/>
      <c r="E45" s="287"/>
      <c r="F45" s="171"/>
    </row>
    <row r="46" spans="2:6" x14ac:dyDescent="0.25">
      <c r="B46" s="285" t="s">
        <v>306</v>
      </c>
      <c r="C46" s="286">
        <v>12</v>
      </c>
      <c r="D46" s="287"/>
      <c r="E46" s="287"/>
      <c r="F46" s="171"/>
    </row>
    <row r="47" spans="2:6" ht="18.75" x14ac:dyDescent="0.25">
      <c r="B47" s="285" t="s">
        <v>1060</v>
      </c>
      <c r="C47" s="286">
        <v>44</v>
      </c>
      <c r="D47" s="287"/>
      <c r="E47" s="287"/>
      <c r="F47" s="171"/>
    </row>
    <row r="48" spans="2:6" x14ac:dyDescent="0.25">
      <c r="B48" s="200"/>
      <c r="C48" s="200"/>
      <c r="D48" s="200"/>
      <c r="E48" s="200"/>
      <c r="F48" s="171"/>
    </row>
    <row r="49" x14ac:dyDescent="0.25"/>
    <row r="50" x14ac:dyDescent="0.25"/>
  </sheetData>
  <sheetProtection algorithmName="SHA-512" hashValue="L1e3C72KkubQD/QBCmRatr8WOSHlhMJAfYZk/VVV1n0HO8MbX4Pm/4Bh85BvfAE3lPFQDgrrQkNDK++Z7Sm18w==" saltValue="Ctp2mP1d2UmGgOuszesg+w==" spinCount="100000" sheet="1" objects="1" scenarios="1" selectLockedCells="1"/>
  <mergeCells count="5">
    <mergeCell ref="B15:E15"/>
    <mergeCell ref="B21:E21"/>
    <mergeCell ref="B29:E29"/>
    <mergeCell ref="B37:C37"/>
    <mergeCell ref="B41:C4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70ADB-3CF7-4FEC-B13C-38608C9A1B7A}">
  <sheetPr>
    <tabColor rgb="FFFFC000"/>
  </sheetPr>
  <dimension ref="A1:Z51"/>
  <sheetViews>
    <sheetView showGridLines="0" zoomScale="70" zoomScaleNormal="70" workbookViewId="0"/>
  </sheetViews>
  <sheetFormatPr defaultColWidth="0" defaultRowHeight="18.75" zeroHeight="1" x14ac:dyDescent="0.3"/>
  <cols>
    <col min="1" max="21" width="8.625" style="261" customWidth="1"/>
    <col min="22" max="22" width="14.625" style="261" customWidth="1"/>
    <col min="23" max="26" width="8.625" style="261" customWidth="1"/>
    <col min="27" max="16384" width="7.625" style="261" hidden="1"/>
  </cols>
  <sheetData>
    <row r="1" spans="2:25" x14ac:dyDescent="0.3"/>
    <row r="2" spans="2:25" x14ac:dyDescent="0.3"/>
    <row r="3" spans="2:25" x14ac:dyDescent="0.3"/>
    <row r="4" spans="2:25" x14ac:dyDescent="0.3"/>
    <row r="5" spans="2:25" x14ac:dyDescent="0.3"/>
    <row r="6" spans="2:25" x14ac:dyDescent="0.3"/>
    <row r="7" spans="2:25" x14ac:dyDescent="0.3"/>
    <row r="8" spans="2:25" x14ac:dyDescent="0.3"/>
    <row r="9" spans="2:25" x14ac:dyDescent="0.3">
      <c r="U9" s="260"/>
    </row>
    <row r="10" spans="2:25" x14ac:dyDescent="0.3"/>
    <row r="11" spans="2:25" x14ac:dyDescent="0.3">
      <c r="B11" s="700" t="s">
        <v>1563</v>
      </c>
      <c r="C11" s="700"/>
      <c r="D11" s="700"/>
      <c r="E11" s="700"/>
      <c r="F11" s="700"/>
      <c r="G11" s="700"/>
      <c r="H11" s="700"/>
      <c r="I11" s="700"/>
      <c r="J11" s="700"/>
      <c r="K11" s="700"/>
      <c r="L11" s="700"/>
      <c r="M11" s="700"/>
      <c r="N11" s="700"/>
      <c r="O11" s="700"/>
      <c r="P11" s="700"/>
      <c r="Q11" s="700"/>
      <c r="R11" s="700"/>
      <c r="S11" s="700"/>
      <c r="T11" s="700"/>
      <c r="U11" s="700"/>
      <c r="V11" s="700"/>
      <c r="W11" s="700"/>
      <c r="X11" s="700"/>
      <c r="Y11" s="700"/>
    </row>
    <row r="12" spans="2:25" ht="61.9" customHeight="1" x14ac:dyDescent="0.3">
      <c r="B12" s="1168" t="s">
        <v>1701</v>
      </c>
      <c r="C12" s="1168"/>
      <c r="D12" s="1168"/>
      <c r="E12" s="1168"/>
      <c r="F12" s="1168"/>
      <c r="G12" s="1168"/>
      <c r="H12" s="1168"/>
      <c r="I12" s="1168"/>
      <c r="J12" s="1168"/>
      <c r="K12" s="1168"/>
      <c r="L12" s="1168"/>
      <c r="M12" s="1168"/>
      <c r="N12" s="1168"/>
      <c r="O12" s="1168"/>
      <c r="P12" s="1168"/>
      <c r="Q12" s="1168"/>
      <c r="R12" s="1168"/>
      <c r="S12" s="1168"/>
      <c r="T12" s="1168"/>
      <c r="U12" s="1168"/>
      <c r="V12" s="1168"/>
      <c r="W12" s="1168"/>
      <c r="X12" s="1168"/>
      <c r="Y12" s="700"/>
    </row>
    <row r="13" spans="2:25" ht="19.899999999999999" customHeight="1" x14ac:dyDescent="0.3">
      <c r="B13" s="700" t="s">
        <v>1569</v>
      </c>
      <c r="C13" s="701"/>
      <c r="D13" s="701"/>
      <c r="E13" s="701"/>
      <c r="F13" s="701"/>
      <c r="G13" s="701"/>
      <c r="H13" s="701"/>
      <c r="I13" s="701"/>
      <c r="J13" s="701"/>
      <c r="K13" s="701"/>
      <c r="L13" s="701"/>
      <c r="M13" s="701"/>
      <c r="N13" s="701"/>
      <c r="O13" s="701"/>
      <c r="P13" s="701"/>
      <c r="Q13" s="701"/>
      <c r="R13" s="701"/>
      <c r="S13" s="701"/>
      <c r="T13" s="701"/>
      <c r="U13" s="701"/>
      <c r="V13" s="701"/>
      <c r="W13" s="700"/>
      <c r="X13" s="700"/>
      <c r="Y13" s="700"/>
    </row>
    <row r="14" spans="2:25" ht="19.899999999999999" customHeight="1" x14ac:dyDescent="0.3">
      <c r="B14" s="702" t="s">
        <v>1564</v>
      </c>
      <c r="C14" s="701"/>
      <c r="D14" s="701"/>
      <c r="E14" s="701"/>
      <c r="F14" s="701"/>
      <c r="G14" s="701"/>
      <c r="H14" s="701"/>
      <c r="I14" s="701"/>
      <c r="J14" s="701"/>
      <c r="K14" s="701"/>
      <c r="L14" s="701"/>
      <c r="M14" s="701"/>
      <c r="N14" s="701"/>
      <c r="O14" s="701"/>
      <c r="P14" s="701"/>
      <c r="Q14" s="701"/>
      <c r="R14" s="701"/>
      <c r="S14" s="701"/>
      <c r="T14" s="701"/>
      <c r="U14" s="701"/>
      <c r="V14" s="701"/>
      <c r="W14" s="700"/>
      <c r="X14" s="700"/>
      <c r="Y14" s="700"/>
    </row>
    <row r="15" spans="2:25" ht="39" customHeight="1" x14ac:dyDescent="0.3">
      <c r="B15" s="1167" t="s">
        <v>1570</v>
      </c>
      <c r="C15" s="1167"/>
      <c r="D15" s="1167"/>
      <c r="E15" s="1167"/>
      <c r="F15" s="1167"/>
      <c r="G15" s="1167"/>
      <c r="H15" s="1167"/>
      <c r="I15" s="1167"/>
      <c r="J15" s="1167"/>
      <c r="K15" s="1167"/>
      <c r="L15" s="1167"/>
      <c r="M15" s="1167"/>
      <c r="N15" s="1167"/>
      <c r="O15" s="1167"/>
      <c r="P15" s="1167"/>
      <c r="Q15" s="1167"/>
      <c r="R15" s="1167"/>
      <c r="S15" s="1167"/>
      <c r="T15" s="1167"/>
      <c r="U15" s="1167"/>
      <c r="V15" s="1167"/>
      <c r="W15" s="1167"/>
      <c r="X15" s="1167"/>
      <c r="Y15" s="700"/>
    </row>
    <row r="16" spans="2:25" ht="20.45" customHeight="1" x14ac:dyDescent="0.3">
      <c r="B16" s="1165" t="s">
        <v>1565</v>
      </c>
      <c r="C16" s="1165"/>
      <c r="D16" s="1165"/>
      <c r="E16" s="1165"/>
      <c r="F16" s="1165"/>
      <c r="G16" s="1165"/>
      <c r="H16" s="1165"/>
      <c r="I16" s="1165"/>
      <c r="J16" s="1165"/>
      <c r="K16" s="1165"/>
      <c r="L16" s="1165"/>
      <c r="M16" s="1165"/>
      <c r="N16" s="1165"/>
      <c r="O16" s="1165"/>
      <c r="P16" s="1165"/>
      <c r="Q16" s="1165"/>
      <c r="R16" s="1165"/>
      <c r="S16" s="1165"/>
      <c r="T16" s="1165"/>
      <c r="U16" s="1165"/>
      <c r="V16" s="1029"/>
      <c r="W16" s="700"/>
      <c r="X16" s="700"/>
      <c r="Y16" s="700"/>
    </row>
    <row r="17" spans="2:25" ht="21" customHeight="1" x14ac:dyDescent="0.3">
      <c r="B17" s="1166" t="s">
        <v>1566</v>
      </c>
      <c r="C17" s="1166"/>
      <c r="D17" s="1166"/>
      <c r="E17" s="1166"/>
      <c r="F17" s="1166"/>
      <c r="G17" s="1166"/>
      <c r="H17" s="1166"/>
      <c r="I17" s="1166"/>
      <c r="J17" s="1166"/>
      <c r="K17" s="1166"/>
      <c r="L17" s="1166"/>
      <c r="M17" s="1166"/>
      <c r="N17" s="1166"/>
      <c r="O17" s="1166"/>
      <c r="P17" s="1166"/>
      <c r="Q17" s="1166"/>
      <c r="R17" s="1166"/>
      <c r="S17" s="1166"/>
      <c r="T17" s="1166"/>
      <c r="U17" s="1166"/>
      <c r="V17" s="1030"/>
      <c r="W17" s="700"/>
      <c r="X17" s="700"/>
      <c r="Y17" s="700"/>
    </row>
    <row r="18" spans="2:25" x14ac:dyDescent="0.3">
      <c r="B18" s="700" t="s">
        <v>1567</v>
      </c>
      <c r="C18" s="701"/>
      <c r="D18" s="701"/>
      <c r="E18" s="701"/>
      <c r="F18" s="701"/>
      <c r="G18" s="701"/>
      <c r="H18" s="701"/>
      <c r="I18" s="701"/>
      <c r="J18" s="701"/>
      <c r="K18" s="701"/>
      <c r="L18" s="701"/>
      <c r="M18" s="701"/>
      <c r="N18" s="701"/>
      <c r="O18" s="701"/>
      <c r="P18" s="701"/>
      <c r="Q18" s="701"/>
      <c r="R18" s="701"/>
      <c r="S18" s="701"/>
      <c r="T18" s="701"/>
      <c r="U18" s="701"/>
      <c r="V18" s="701"/>
      <c r="W18" s="700"/>
      <c r="X18" s="700"/>
      <c r="Y18" s="700"/>
    </row>
    <row r="19" spans="2:25" x14ac:dyDescent="0.3">
      <c r="B19" s="702" t="s">
        <v>1571</v>
      </c>
      <c r="C19" s="701"/>
      <c r="D19" s="701"/>
      <c r="E19" s="701"/>
      <c r="F19" s="701"/>
      <c r="G19" s="701"/>
      <c r="H19" s="701"/>
      <c r="I19" s="701"/>
      <c r="J19" s="701"/>
      <c r="K19" s="701"/>
      <c r="L19" s="701"/>
      <c r="M19" s="701"/>
      <c r="N19" s="701"/>
      <c r="O19" s="701"/>
      <c r="P19" s="701"/>
      <c r="Q19" s="701"/>
      <c r="R19" s="701"/>
      <c r="S19" s="701"/>
      <c r="T19" s="701"/>
      <c r="U19" s="701"/>
      <c r="V19" s="701"/>
      <c r="W19" s="700"/>
      <c r="X19" s="700"/>
      <c r="Y19" s="700"/>
    </row>
    <row r="20" spans="2:25" x14ac:dyDescent="0.3">
      <c r="B20" s="700" t="s">
        <v>1568</v>
      </c>
      <c r="C20" s="701"/>
      <c r="D20" s="701"/>
      <c r="E20" s="701"/>
      <c r="F20" s="701"/>
      <c r="G20" s="701"/>
      <c r="H20" s="701"/>
      <c r="I20" s="701"/>
      <c r="J20" s="701"/>
      <c r="K20" s="701"/>
      <c r="L20" s="701"/>
      <c r="M20" s="701"/>
      <c r="N20" s="701"/>
      <c r="O20" s="701"/>
      <c r="P20" s="701"/>
      <c r="Q20" s="701"/>
      <c r="R20" s="701"/>
      <c r="S20" s="701"/>
      <c r="T20" s="701"/>
      <c r="U20" s="701"/>
      <c r="V20" s="701"/>
      <c r="W20" s="700"/>
      <c r="X20" s="700"/>
      <c r="Y20" s="700"/>
    </row>
    <row r="21" spans="2:25" ht="20.45" customHeight="1" x14ac:dyDescent="0.3">
      <c r="B21" s="1167" t="s">
        <v>1070</v>
      </c>
      <c r="C21" s="1167"/>
      <c r="D21" s="1167"/>
      <c r="E21" s="1167"/>
      <c r="F21" s="1167"/>
      <c r="G21" s="1167"/>
      <c r="H21" s="1167"/>
      <c r="I21" s="1167"/>
      <c r="J21" s="1167"/>
      <c r="K21" s="1167"/>
      <c r="L21" s="1167"/>
      <c r="M21" s="1167"/>
      <c r="N21" s="1167"/>
      <c r="O21" s="1167"/>
      <c r="P21" s="1167"/>
      <c r="Q21" s="1167"/>
      <c r="R21" s="1167"/>
      <c r="S21" s="1167"/>
      <c r="T21" s="1167"/>
      <c r="U21" s="1167"/>
      <c r="V21" s="701"/>
      <c r="W21" s="700"/>
      <c r="X21" s="700"/>
      <c r="Y21" s="700"/>
    </row>
    <row r="22" spans="2:25" ht="24.6" customHeight="1" x14ac:dyDescent="0.3">
      <c r="B22" s="1164" t="s">
        <v>1071</v>
      </c>
      <c r="C22" s="1164"/>
      <c r="D22" s="1164"/>
      <c r="E22" s="1164"/>
      <c r="F22" s="1164"/>
      <c r="G22" s="1164"/>
      <c r="H22" s="1164"/>
      <c r="I22" s="1164"/>
      <c r="J22" s="1164"/>
      <c r="K22" s="1164"/>
      <c r="L22" s="1164"/>
      <c r="M22" s="1164"/>
      <c r="N22" s="1164"/>
      <c r="O22" s="1164"/>
      <c r="P22" s="1164"/>
      <c r="Q22" s="1164"/>
      <c r="R22" s="1164"/>
      <c r="S22" s="1164"/>
      <c r="T22" s="1164"/>
      <c r="U22" s="1164"/>
      <c r="V22" s="703"/>
      <c r="W22" s="700"/>
      <c r="X22" s="700"/>
      <c r="Y22" s="700"/>
    </row>
    <row r="23" spans="2:25" ht="24.6" customHeight="1" x14ac:dyDescent="0.3">
      <c r="B23" s="704" t="s">
        <v>1619</v>
      </c>
      <c r="C23" s="703"/>
      <c r="D23" s="703"/>
      <c r="E23" s="703"/>
      <c r="F23" s="703"/>
      <c r="G23" s="703"/>
      <c r="H23" s="703"/>
      <c r="I23" s="703"/>
      <c r="J23" s="703"/>
      <c r="K23" s="703"/>
      <c r="L23" s="703"/>
      <c r="M23" s="703"/>
      <c r="N23" s="703"/>
      <c r="O23" s="703"/>
      <c r="P23" s="703"/>
      <c r="Q23" s="703"/>
      <c r="R23" s="703"/>
      <c r="S23" s="703"/>
      <c r="T23" s="703"/>
      <c r="U23" s="703"/>
      <c r="V23" s="703"/>
      <c r="W23" s="700"/>
      <c r="X23" s="700"/>
      <c r="Y23" s="700"/>
    </row>
    <row r="24" spans="2:25" x14ac:dyDescent="0.3"/>
    <row r="25" spans="2:25" x14ac:dyDescent="0.3"/>
    <row r="26" spans="2:25" x14ac:dyDescent="0.3"/>
    <row r="27" spans="2:25" x14ac:dyDescent="0.3"/>
    <row r="28" spans="2:25" x14ac:dyDescent="0.3"/>
    <row r="29" spans="2:25" x14ac:dyDescent="0.3"/>
    <row r="30" spans="2:25" x14ac:dyDescent="0.3"/>
    <row r="31" spans="2:25" x14ac:dyDescent="0.3"/>
    <row r="32" spans="2:25"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sheetData>
  <sheetProtection algorithmName="SHA-512" hashValue="qW7z5qGdM4gS8JBoahnMySxV1aeiXxoJyjHEprtPV5sHmuizXFfkmOx4viNrV4row0OWE1c0Y+GKZBSOd5zfJA==" saltValue="nZXQKoFjFTL8X4aWJejXVA==" spinCount="100000" sheet="1" objects="1" scenarios="1" selectLockedCells="1" selectUnlockedCells="1"/>
  <mergeCells count="6">
    <mergeCell ref="B22:U22"/>
    <mergeCell ref="B16:U16"/>
    <mergeCell ref="B17:U17"/>
    <mergeCell ref="B21:U21"/>
    <mergeCell ref="B12:X12"/>
    <mergeCell ref="B15:X1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7520-E744-41E1-A3BF-33204610377C}">
  <sheetPr>
    <tabColor theme="7"/>
  </sheetPr>
  <dimension ref="A1:R52"/>
  <sheetViews>
    <sheetView showGridLines="0" zoomScale="70" zoomScaleNormal="70" workbookViewId="0">
      <selection activeCell="B10" sqref="B10"/>
    </sheetView>
  </sheetViews>
  <sheetFormatPr defaultColWidth="0" defaultRowHeight="15.6" customHeight="1" zeroHeight="1" x14ac:dyDescent="0.25"/>
  <cols>
    <col min="1" max="1" width="8.625" style="166" customWidth="1"/>
    <col min="2" max="2" width="34.25" style="166" customWidth="1"/>
    <col min="3" max="3" width="31.375" style="166" customWidth="1"/>
    <col min="4" max="4" width="30.25" style="166" customWidth="1"/>
    <col min="5" max="5" width="31.25" style="166" customWidth="1"/>
    <col min="6" max="6" width="19.25" style="166" customWidth="1"/>
    <col min="7" max="18" width="8.625" style="166" customWidth="1"/>
    <col min="19" max="16384" width="7.625" style="166" hidden="1"/>
  </cols>
  <sheetData>
    <row r="1" spans="2:6" ht="15.75" x14ac:dyDescent="0.25"/>
    <row r="2" spans="2:6" ht="15.75" x14ac:dyDescent="0.25"/>
    <row r="3" spans="2:6" ht="15.75" x14ac:dyDescent="0.25"/>
    <row r="4" spans="2:6" ht="15.75" x14ac:dyDescent="0.25"/>
    <row r="5" spans="2:6" ht="15.75" x14ac:dyDescent="0.25"/>
    <row r="6" spans="2:6" ht="15.75" x14ac:dyDescent="0.25"/>
    <row r="7" spans="2:6" ht="15.75" x14ac:dyDescent="0.25"/>
    <row r="8" spans="2:6" ht="15.75" x14ac:dyDescent="0.25"/>
    <row r="9" spans="2:6" ht="15.75" x14ac:dyDescent="0.25"/>
    <row r="10" spans="2:6" ht="18.75" x14ac:dyDescent="0.3">
      <c r="B10" s="260" t="s">
        <v>1718</v>
      </c>
    </row>
    <row r="11" spans="2:6" ht="15.75" x14ac:dyDescent="0.25"/>
    <row r="12" spans="2:6" ht="18.75" x14ac:dyDescent="0.3">
      <c r="B12" s="690" t="s">
        <v>1061</v>
      </c>
      <c r="C12" s="200"/>
      <c r="D12" s="200"/>
      <c r="E12" s="200"/>
      <c r="F12" s="171"/>
    </row>
    <row r="13" spans="2:6" ht="16.5" thickBot="1" x14ac:dyDescent="0.3">
      <c r="B13" s="284"/>
      <c r="C13" s="200"/>
      <c r="D13" s="200"/>
      <c r="E13" s="200"/>
      <c r="F13" s="171"/>
    </row>
    <row r="14" spans="2:6" ht="17.25" thickTop="1" thickBot="1" x14ac:dyDescent="0.3">
      <c r="B14" s="687" t="s">
        <v>1441</v>
      </c>
      <c r="C14" s="1352" t="s">
        <v>1442</v>
      </c>
      <c r="D14" s="1352"/>
      <c r="E14" s="1352"/>
      <c r="F14" s="688"/>
    </row>
    <row r="15" spans="2:6" ht="25.9" customHeight="1" thickTop="1" thickBot="1" x14ac:dyDescent="0.3">
      <c r="B15" s="687" t="s">
        <v>1062</v>
      </c>
      <c r="C15" s="1352" t="s">
        <v>1063</v>
      </c>
      <c r="D15" s="1352"/>
      <c r="E15" s="1352"/>
      <c r="F15" s="689"/>
    </row>
    <row r="16" spans="2:6" ht="17.25" thickTop="1" thickBot="1" x14ac:dyDescent="0.3">
      <c r="B16" s="687" t="s">
        <v>1132</v>
      </c>
      <c r="C16" s="1352" t="s">
        <v>1719</v>
      </c>
      <c r="D16" s="1352"/>
      <c r="E16" s="1352"/>
      <c r="F16" s="689"/>
    </row>
    <row r="17" spans="2:6" ht="15.6" customHeight="1" thickTop="1" thickBot="1" x14ac:dyDescent="0.3">
      <c r="B17" s="687" t="s">
        <v>1064</v>
      </c>
      <c r="C17" s="1352" t="s">
        <v>1443</v>
      </c>
      <c r="D17" s="1352"/>
      <c r="E17" s="1352"/>
      <c r="F17" s="1352"/>
    </row>
    <row r="18" spans="2:6" ht="15.6" customHeight="1" thickTop="1" thickBot="1" x14ac:dyDescent="0.3">
      <c r="B18" s="687" t="s">
        <v>1065</v>
      </c>
      <c r="C18" s="1352" t="s">
        <v>1444</v>
      </c>
      <c r="D18" s="1352"/>
      <c r="E18" s="1352"/>
      <c r="F18" s="689"/>
    </row>
    <row r="19" spans="2:6" ht="15.6" customHeight="1" thickTop="1" x14ac:dyDescent="0.25"/>
    <row r="20" spans="2:6" ht="15.6" customHeight="1" x14ac:dyDescent="0.25"/>
    <row r="21" spans="2:6" ht="15.6" customHeight="1" x14ac:dyDescent="0.3">
      <c r="B21" s="690" t="s">
        <v>1066</v>
      </c>
    </row>
    <row r="22" spans="2:6" ht="15.6" customHeight="1" x14ac:dyDescent="0.25"/>
    <row r="23" spans="2:6" ht="15.6" customHeight="1" x14ac:dyDescent="0.25">
      <c r="B23" s="691" t="s">
        <v>1067</v>
      </c>
      <c r="C23" s="691" t="s">
        <v>1733</v>
      </c>
      <c r="D23" s="1351" t="s">
        <v>1068</v>
      </c>
      <c r="E23" s="1351"/>
      <c r="F23" s="1351"/>
    </row>
    <row r="24" spans="2:6" ht="15.6" customHeight="1" x14ac:dyDescent="0.25">
      <c r="B24" s="692" t="s">
        <v>1731</v>
      </c>
      <c r="C24" s="693" t="s">
        <v>1737</v>
      </c>
      <c r="D24" s="1349" t="s">
        <v>1738</v>
      </c>
      <c r="E24" s="1350"/>
      <c r="F24" s="1350"/>
    </row>
    <row r="25" spans="2:6" ht="15.6" customHeight="1" x14ac:dyDescent="0.25">
      <c r="B25" s="692" t="s">
        <v>1732</v>
      </c>
      <c r="C25" s="693" t="s">
        <v>1735</v>
      </c>
      <c r="D25" s="1349" t="s">
        <v>1739</v>
      </c>
      <c r="E25" s="1350"/>
      <c r="F25" s="1350"/>
    </row>
    <row r="26" spans="2:6" ht="15.6" customHeight="1" x14ac:dyDescent="0.25">
      <c r="B26" s="692" t="s">
        <v>1730</v>
      </c>
      <c r="C26" s="1158" t="s">
        <v>1736</v>
      </c>
      <c r="D26" s="1349" t="s">
        <v>1734</v>
      </c>
      <c r="E26" s="1350"/>
      <c r="F26" s="1350"/>
    </row>
    <row r="27" spans="2:6" ht="15.6" customHeight="1" x14ac:dyDescent="0.25">
      <c r="B27" s="692"/>
      <c r="C27" s="694"/>
      <c r="D27" s="1349"/>
      <c r="E27" s="1350"/>
      <c r="F27" s="1350"/>
    </row>
    <row r="28" spans="2:6" ht="15.6" customHeight="1" x14ac:dyDescent="0.25">
      <c r="B28" s="692"/>
      <c r="C28" s="694"/>
      <c r="D28" s="1349"/>
      <c r="E28" s="1350"/>
      <c r="F28" s="1350"/>
    </row>
    <row r="29" spans="2:6" ht="15.6" customHeight="1" x14ac:dyDescent="0.25">
      <c r="B29" s="692"/>
      <c r="C29" s="694"/>
      <c r="D29" s="1349"/>
      <c r="E29" s="1350"/>
      <c r="F29" s="1350"/>
    </row>
    <row r="30" spans="2:6" ht="15.6" customHeight="1" x14ac:dyDescent="0.25">
      <c r="B30" s="692"/>
      <c r="C30" s="694"/>
      <c r="D30" s="1349"/>
      <c r="E30" s="1350"/>
      <c r="F30" s="1350"/>
    </row>
    <row r="31" spans="2:6" ht="15.6" customHeight="1" x14ac:dyDescent="0.25"/>
    <row r="32" spans="2:6" ht="15.6" customHeight="1" x14ac:dyDescent="0.25"/>
    <row r="33" ht="15.6" customHeight="1" x14ac:dyDescent="0.25"/>
    <row r="34" ht="15.6" customHeight="1" x14ac:dyDescent="0.25"/>
    <row r="35" ht="15.6" customHeight="1" x14ac:dyDescent="0.25"/>
    <row r="36" ht="15.6" customHeight="1" x14ac:dyDescent="0.25"/>
    <row r="37" ht="15.6" customHeight="1" x14ac:dyDescent="0.25"/>
    <row r="38" ht="15.6" customHeight="1" x14ac:dyDescent="0.25"/>
    <row r="39" ht="15.6" customHeight="1" x14ac:dyDescent="0.25"/>
    <row r="40" ht="15.6" customHeight="1" x14ac:dyDescent="0.25"/>
    <row r="41" ht="15.6" customHeight="1" x14ac:dyDescent="0.25"/>
    <row r="42" ht="15.6" customHeight="1" x14ac:dyDescent="0.25"/>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sheetData>
  <sheetProtection algorithmName="SHA-512" hashValue="ocvC4RSkyE1ioXE2ys06s1z1QdMOig67HWI7Nn0NkJo0NALbYz9THDuwhAWy2Misv5PpnD50jWrLs+w4FGmnEA==" saltValue="BZ8YeMDaYsJ3juD29lPayA==" spinCount="100000" sheet="1" selectLockedCells="1" selectUnlockedCells="1"/>
  <mergeCells count="13">
    <mergeCell ref="C14:E14"/>
    <mergeCell ref="C15:E15"/>
    <mergeCell ref="C16:E16"/>
    <mergeCell ref="C18:E18"/>
    <mergeCell ref="D25:F25"/>
    <mergeCell ref="D24:F24"/>
    <mergeCell ref="C17:F17"/>
    <mergeCell ref="D27:F27"/>
    <mergeCell ref="D28:F28"/>
    <mergeCell ref="D29:F29"/>
    <mergeCell ref="D30:F30"/>
    <mergeCell ref="D23:F23"/>
    <mergeCell ref="D26:F26"/>
  </mergeCells>
  <phoneticPr fontId="24" type="noConversion"/>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8F8-8933-48B4-927B-A3EE90363D12}">
  <sheetPr>
    <tabColor rgb="FF02A39C"/>
  </sheetPr>
  <dimension ref="B2:L32"/>
  <sheetViews>
    <sheetView workbookViewId="0">
      <selection activeCell="I10" sqref="I10"/>
    </sheetView>
  </sheetViews>
  <sheetFormatPr defaultColWidth="9" defaultRowHeight="15" x14ac:dyDescent="0.25"/>
  <cols>
    <col min="1" max="1" width="9" style="613"/>
    <col min="2" max="2" width="36.75" style="613" customWidth="1"/>
    <col min="3" max="3" width="9" style="613"/>
    <col min="4" max="4" width="24.875" customWidth="1"/>
    <col min="5" max="8" width="9" style="613"/>
    <col min="9" max="9" width="70.625" style="613" customWidth="1"/>
    <col min="10" max="11" width="9" style="613"/>
    <col min="12" max="12" width="44" style="613" customWidth="1"/>
    <col min="13" max="16384" width="9" style="613"/>
  </cols>
  <sheetData>
    <row r="2" spans="2:12" ht="23.25" x14ac:dyDescent="0.25">
      <c r="B2" s="612" t="s">
        <v>1156</v>
      </c>
      <c r="D2" s="613"/>
      <c r="F2" s="614" t="s">
        <v>1163</v>
      </c>
      <c r="H2" s="613" t="s">
        <v>1162</v>
      </c>
      <c r="I2" s="615" t="s">
        <v>1165</v>
      </c>
    </row>
    <row r="3" spans="2:12" x14ac:dyDescent="0.25">
      <c r="B3" s="613" t="s">
        <v>1158</v>
      </c>
      <c r="C3" s="613" t="s">
        <v>1162</v>
      </c>
      <c r="D3" s="613"/>
      <c r="E3" s="615"/>
      <c r="F3" s="613" t="s">
        <v>501</v>
      </c>
      <c r="H3" s="613" t="s">
        <v>1166</v>
      </c>
      <c r="I3" s="613" t="s">
        <v>1167</v>
      </c>
    </row>
    <row r="4" spans="2:12" x14ac:dyDescent="0.25">
      <c r="B4" s="613" t="s">
        <v>1157</v>
      </c>
      <c r="C4" s="613" t="s">
        <v>1162</v>
      </c>
      <c r="D4" s="613"/>
      <c r="F4" s="613" t="s">
        <v>502</v>
      </c>
      <c r="L4" s="615"/>
    </row>
    <row r="5" spans="2:12" x14ac:dyDescent="0.25">
      <c r="B5" s="613" t="s">
        <v>1159</v>
      </c>
      <c r="C5" s="613" t="s">
        <v>1162</v>
      </c>
      <c r="D5" s="613"/>
      <c r="I5" s="613" t="s">
        <v>1190</v>
      </c>
      <c r="L5" s="615"/>
    </row>
    <row r="6" spans="2:12" x14ac:dyDescent="0.25">
      <c r="B6" s="613" t="s">
        <v>1160</v>
      </c>
      <c r="C6" s="613" t="s">
        <v>1162</v>
      </c>
      <c r="D6" s="613"/>
      <c r="L6" s="615"/>
    </row>
    <row r="7" spans="2:12" x14ac:dyDescent="0.25">
      <c r="B7" s="613" t="s">
        <v>1164</v>
      </c>
      <c r="C7" s="613" t="s">
        <v>1162</v>
      </c>
      <c r="D7" s="613"/>
      <c r="I7" s="613" t="s">
        <v>1572</v>
      </c>
      <c r="L7" s="615"/>
    </row>
    <row r="8" spans="2:12" x14ac:dyDescent="0.25">
      <c r="B8" s="613" t="s">
        <v>1161</v>
      </c>
      <c r="C8" s="613" t="s">
        <v>1162</v>
      </c>
      <c r="D8" s="613"/>
      <c r="L8" s="615"/>
    </row>
    <row r="9" spans="2:12" x14ac:dyDescent="0.25">
      <c r="B9" s="613" t="s">
        <v>1168</v>
      </c>
      <c r="C9" s="613" t="s">
        <v>1166</v>
      </c>
      <c r="D9" s="613"/>
      <c r="I9" s="613" t="s">
        <v>1704</v>
      </c>
    </row>
    <row r="10" spans="2:12" x14ac:dyDescent="0.25">
      <c r="B10" s="613" t="s">
        <v>1169</v>
      </c>
      <c r="C10" s="613" t="s">
        <v>1166</v>
      </c>
      <c r="D10" s="613"/>
    </row>
    <row r="11" spans="2:12" x14ac:dyDescent="0.25">
      <c r="B11" s="613" t="s">
        <v>1170</v>
      </c>
      <c r="C11" s="613" t="s">
        <v>1166</v>
      </c>
      <c r="D11" s="613"/>
    </row>
    <row r="12" spans="2:12" x14ac:dyDescent="0.25">
      <c r="B12" s="613" t="s">
        <v>1171</v>
      </c>
      <c r="C12" s="613" t="s">
        <v>1166</v>
      </c>
    </row>
    <row r="13" spans="2:12" x14ac:dyDescent="0.25">
      <c r="B13" s="613" t="s">
        <v>1172</v>
      </c>
      <c r="C13" s="613" t="s">
        <v>1166</v>
      </c>
    </row>
    <row r="14" spans="2:12" x14ac:dyDescent="0.25">
      <c r="B14" s="613" t="s">
        <v>1173</v>
      </c>
      <c r="C14" s="613" t="s">
        <v>1166</v>
      </c>
    </row>
    <row r="15" spans="2:12" x14ac:dyDescent="0.25">
      <c r="B15" s="613" t="s">
        <v>1174</v>
      </c>
      <c r="C15" s="613" t="s">
        <v>1166</v>
      </c>
    </row>
    <row r="16" spans="2:12" x14ac:dyDescent="0.25">
      <c r="B16" s="616" t="s">
        <v>1175</v>
      </c>
      <c r="C16" s="613" t="s">
        <v>1166</v>
      </c>
      <c r="D16" t="s">
        <v>1188</v>
      </c>
    </row>
    <row r="17" spans="2:4" x14ac:dyDescent="0.25">
      <c r="B17" s="616" t="s">
        <v>1176</v>
      </c>
      <c r="C17" s="613" t="s">
        <v>1166</v>
      </c>
      <c r="D17" t="s">
        <v>1188</v>
      </c>
    </row>
    <row r="18" spans="2:4" x14ac:dyDescent="0.25">
      <c r="B18" s="616" t="s">
        <v>1177</v>
      </c>
      <c r="C18" s="613" t="s">
        <v>1166</v>
      </c>
      <c r="D18" t="s">
        <v>1188</v>
      </c>
    </row>
    <row r="19" spans="2:4" x14ac:dyDescent="0.25">
      <c r="B19" s="613" t="s">
        <v>1178</v>
      </c>
      <c r="C19" s="613" t="s">
        <v>1166</v>
      </c>
    </row>
    <row r="20" spans="2:4" x14ac:dyDescent="0.25">
      <c r="B20" s="613" t="s">
        <v>1179</v>
      </c>
      <c r="C20" s="613" t="s">
        <v>1166</v>
      </c>
    </row>
    <row r="21" spans="2:4" x14ac:dyDescent="0.25">
      <c r="B21" s="613" t="s">
        <v>1180</v>
      </c>
      <c r="C21" s="613" t="s">
        <v>1166</v>
      </c>
    </row>
    <row r="22" spans="2:4" x14ac:dyDescent="0.25">
      <c r="B22" s="613" t="s">
        <v>1181</v>
      </c>
      <c r="C22" s="613" t="s">
        <v>1166</v>
      </c>
    </row>
    <row r="23" spans="2:4" x14ac:dyDescent="0.25">
      <c r="B23" s="613" t="s">
        <v>1182</v>
      </c>
      <c r="C23" s="613" t="s">
        <v>1166</v>
      </c>
    </row>
    <row r="24" spans="2:4" x14ac:dyDescent="0.25">
      <c r="B24" s="613" t="s">
        <v>1183</v>
      </c>
      <c r="C24" s="613" t="s">
        <v>1166</v>
      </c>
    </row>
    <row r="25" spans="2:4" x14ac:dyDescent="0.25">
      <c r="B25" s="613" t="s">
        <v>1184</v>
      </c>
      <c r="C25" s="613" t="s">
        <v>1166</v>
      </c>
    </row>
    <row r="26" spans="2:4" x14ac:dyDescent="0.25">
      <c r="B26" s="613" t="s">
        <v>1185</v>
      </c>
      <c r="C26" s="613" t="s">
        <v>1166</v>
      </c>
    </row>
    <row r="27" spans="2:4" x14ac:dyDescent="0.25">
      <c r="B27" s="613" t="s">
        <v>1186</v>
      </c>
      <c r="C27" s="613" t="s">
        <v>1166</v>
      </c>
    </row>
    <row r="28" spans="2:4" x14ac:dyDescent="0.25">
      <c r="B28" s="613" t="s">
        <v>1187</v>
      </c>
      <c r="C28" s="613" t="s">
        <v>1166</v>
      </c>
    </row>
    <row r="32" spans="2:4" x14ac:dyDescent="0.25">
      <c r="B32" s="613" t="s">
        <v>1209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125D-C4CA-4703-B3F8-B844CB9F1D8A}">
  <dimension ref="B11:AF239"/>
  <sheetViews>
    <sheetView showGridLines="0" topLeftCell="A17" zoomScale="70" zoomScaleNormal="70" workbookViewId="0">
      <selection activeCell="F38" sqref="F38"/>
    </sheetView>
  </sheetViews>
  <sheetFormatPr defaultRowHeight="15" x14ac:dyDescent="0.25"/>
  <cols>
    <col min="1" max="1" width="14.75" bestFit="1" customWidth="1"/>
    <col min="2" max="2" width="11.75" customWidth="1"/>
    <col min="4" max="4" width="37.625" customWidth="1"/>
    <col min="5" max="5" width="16" customWidth="1"/>
    <col min="6" max="6" width="18.25" customWidth="1"/>
    <col min="7" max="7" width="18.625" customWidth="1"/>
    <col min="8" max="8" width="11.625" customWidth="1"/>
    <col min="9" max="9" width="18.625" customWidth="1"/>
    <col min="10" max="10" width="11.375" customWidth="1"/>
    <col min="11" max="11" width="11.625" customWidth="1"/>
    <col min="12" max="12" width="23.25" customWidth="1"/>
    <col min="13" max="13" width="24.25" customWidth="1"/>
    <col min="16" max="16" width="26" customWidth="1"/>
    <col min="17" max="17" width="21.5" customWidth="1"/>
    <col min="18" max="18" width="21.375" customWidth="1"/>
    <col min="23" max="23" width="21.5" customWidth="1"/>
    <col min="26" max="26" width="21.375" customWidth="1"/>
    <col min="28" max="29" width="19.25" customWidth="1"/>
    <col min="30" max="30" width="21.5" customWidth="1"/>
  </cols>
  <sheetData>
    <row r="11" spans="2:13" s="92" customFormat="1" ht="18.75" x14ac:dyDescent="0.3">
      <c r="B11" s="92" t="s">
        <v>797</v>
      </c>
    </row>
    <row r="13" spans="2:13" ht="21" x14ac:dyDescent="0.35">
      <c r="B13" s="128" t="s">
        <v>648</v>
      </c>
    </row>
    <row r="15" spans="2:13" x14ac:dyDescent="0.25">
      <c r="B15" s="129" t="s">
        <v>34</v>
      </c>
      <c r="D15" s="81" t="s">
        <v>796</v>
      </c>
      <c r="E15" s="81" t="s">
        <v>788</v>
      </c>
      <c r="F15" s="81" t="s">
        <v>811</v>
      </c>
      <c r="L15" s="49" t="s">
        <v>1305</v>
      </c>
    </row>
    <row r="16" spans="2:13" x14ac:dyDescent="0.25">
      <c r="B16" s="130" t="e">
        <f>'Fatores de Emissão'!#REF!</f>
        <v>#REF!</v>
      </c>
      <c r="D16" s="229" t="s">
        <v>798</v>
      </c>
      <c r="E16" s="230" t="s">
        <v>806</v>
      </c>
      <c r="F16" s="118" t="s">
        <v>1096</v>
      </c>
      <c r="L16" t="s">
        <v>1306</v>
      </c>
      <c r="M16" t="s">
        <v>1306</v>
      </c>
    </row>
    <row r="17" spans="2:13" x14ac:dyDescent="0.25">
      <c r="B17" s="130" t="e">
        <f>'Fatores de Emissão'!#REF!</f>
        <v>#REF!</v>
      </c>
      <c r="D17" s="229" t="s">
        <v>799</v>
      </c>
      <c r="E17" s="230" t="s">
        <v>807</v>
      </c>
      <c r="F17" s="118" t="s">
        <v>1108</v>
      </c>
      <c r="G17" t="s">
        <v>1097</v>
      </c>
      <c r="L17" t="s">
        <v>1307</v>
      </c>
      <c r="M17" t="s">
        <v>1308</v>
      </c>
    </row>
    <row r="18" spans="2:13" x14ac:dyDescent="0.25">
      <c r="B18" s="130" t="e">
        <f>'Fatores de Emissão'!#REF!</f>
        <v>#REF!</v>
      </c>
      <c r="D18" s="229" t="s">
        <v>800</v>
      </c>
      <c r="E18" s="230" t="s">
        <v>808</v>
      </c>
      <c r="F18" s="118" t="s">
        <v>1109</v>
      </c>
      <c r="G18" t="s">
        <v>1098</v>
      </c>
      <c r="L18" t="s">
        <v>1308</v>
      </c>
    </row>
    <row r="19" spans="2:13" ht="17.25" x14ac:dyDescent="0.25">
      <c r="D19" s="229" t="s">
        <v>817</v>
      </c>
      <c r="E19" s="230" t="s">
        <v>819</v>
      </c>
      <c r="F19" s="118" t="s">
        <v>1110</v>
      </c>
      <c r="G19" t="s">
        <v>1099</v>
      </c>
    </row>
    <row r="20" spans="2:13" x14ac:dyDescent="0.25">
      <c r="D20" s="229" t="s">
        <v>818</v>
      </c>
      <c r="E20" s="230" t="s">
        <v>820</v>
      </c>
      <c r="F20" s="118" t="s">
        <v>1111</v>
      </c>
      <c r="G20" t="s">
        <v>1100</v>
      </c>
    </row>
    <row r="21" spans="2:13" x14ac:dyDescent="0.25">
      <c r="D21" s="229" t="s">
        <v>803</v>
      </c>
      <c r="E21" s="230" t="s">
        <v>809</v>
      </c>
      <c r="F21" s="118" t="s">
        <v>1112</v>
      </c>
      <c r="G21" t="s">
        <v>1101</v>
      </c>
    </row>
    <row r="22" spans="2:13" x14ac:dyDescent="0.25">
      <c r="D22" s="229" t="s">
        <v>804</v>
      </c>
      <c r="E22" s="230" t="s">
        <v>810</v>
      </c>
      <c r="F22" s="118" t="s">
        <v>1113</v>
      </c>
      <c r="G22" t="s">
        <v>1102</v>
      </c>
    </row>
    <row r="23" spans="2:13" x14ac:dyDescent="0.25">
      <c r="D23" s="229" t="s">
        <v>822</v>
      </c>
      <c r="E23" s="230" t="s">
        <v>821</v>
      </c>
      <c r="F23" s="118" t="s">
        <v>1114</v>
      </c>
      <c r="G23" t="s">
        <v>1103</v>
      </c>
    </row>
    <row r="24" spans="2:13" ht="17.25" x14ac:dyDescent="0.25">
      <c r="D24" s="229" t="s">
        <v>823</v>
      </c>
      <c r="E24" s="230" t="s">
        <v>824</v>
      </c>
      <c r="F24" s="118" t="s">
        <v>1115</v>
      </c>
      <c r="G24" t="s">
        <v>1104</v>
      </c>
    </row>
    <row r="25" spans="2:13" ht="17.25" x14ac:dyDescent="0.25">
      <c r="D25" s="229" t="s">
        <v>921</v>
      </c>
      <c r="E25" s="229" t="s">
        <v>816</v>
      </c>
      <c r="F25" s="118" t="s">
        <v>1105</v>
      </c>
      <c r="G25" t="s">
        <v>1105</v>
      </c>
    </row>
    <row r="26" spans="2:13" x14ac:dyDescent="0.25">
      <c r="D26" s="229" t="s">
        <v>922</v>
      </c>
      <c r="E26" s="229"/>
      <c r="F26" s="22" t="s">
        <v>812</v>
      </c>
      <c r="G26" t="s">
        <v>812</v>
      </c>
    </row>
    <row r="27" spans="2:13" x14ac:dyDescent="0.25">
      <c r="D27" s="229" t="s">
        <v>864</v>
      </c>
      <c r="E27" s="229" t="s">
        <v>860</v>
      </c>
      <c r="F27" s="118" t="s">
        <v>863</v>
      </c>
      <c r="G27" t="s">
        <v>863</v>
      </c>
    </row>
    <row r="28" spans="2:13" ht="17.25" x14ac:dyDescent="0.25">
      <c r="D28" s="229" t="s">
        <v>801</v>
      </c>
      <c r="E28" s="230" t="s">
        <v>814</v>
      </c>
      <c r="F28" s="118" t="s">
        <v>1116</v>
      </c>
      <c r="G28" t="s">
        <v>1106</v>
      </c>
    </row>
    <row r="29" spans="2:13" ht="17.25" x14ac:dyDescent="0.25">
      <c r="D29" s="229" t="s">
        <v>802</v>
      </c>
      <c r="E29" s="230" t="s">
        <v>815</v>
      </c>
      <c r="F29" s="118" t="s">
        <v>1117</v>
      </c>
      <c r="G29" t="s">
        <v>1107</v>
      </c>
    </row>
    <row r="32" spans="2:13" s="92" customFormat="1" ht="18.75" x14ac:dyDescent="0.3">
      <c r="B32" s="92" t="s">
        <v>825</v>
      </c>
    </row>
    <row r="34" spans="2:16" ht="21" x14ac:dyDescent="0.35">
      <c r="B34" s="128" t="s">
        <v>648</v>
      </c>
    </row>
    <row r="35" spans="2:16" x14ac:dyDescent="0.25">
      <c r="N35" t="s">
        <v>1384</v>
      </c>
    </row>
    <row r="36" spans="2:16" x14ac:dyDescent="0.25">
      <c r="B36" s="129" t="s">
        <v>34</v>
      </c>
      <c r="E36" s="81" t="s">
        <v>796</v>
      </c>
      <c r="F36" s="81" t="s">
        <v>788</v>
      </c>
      <c r="G36" s="81" t="s">
        <v>811</v>
      </c>
      <c r="H36" s="81" t="s">
        <v>1311</v>
      </c>
      <c r="I36" s="81" t="s">
        <v>514</v>
      </c>
      <c r="J36" s="81" t="s">
        <v>1312</v>
      </c>
      <c r="N36" t="s">
        <v>1385</v>
      </c>
      <c r="O36">
        <v>91.7</v>
      </c>
      <c r="P36" t="s">
        <v>1383</v>
      </c>
    </row>
    <row r="37" spans="2:16" x14ac:dyDescent="0.25">
      <c r="B37" s="130" t="e">
        <f>B16</f>
        <v>#REF!</v>
      </c>
      <c r="C37" s="143" t="s">
        <v>501</v>
      </c>
      <c r="E37" s="229"/>
      <c r="F37" s="230"/>
      <c r="G37" s="653"/>
      <c r="N37" t="s">
        <v>1388</v>
      </c>
      <c r="O37">
        <v>143</v>
      </c>
      <c r="P37" t="s">
        <v>1386</v>
      </c>
    </row>
    <row r="38" spans="2:16" x14ac:dyDescent="0.25">
      <c r="B38" s="130" t="e">
        <f>B17</f>
        <v>#REF!</v>
      </c>
      <c r="C38" s="143" t="s">
        <v>502</v>
      </c>
      <c r="E38" s="229" t="str">
        <f>'Fatores de Emissão'!B232</f>
        <v>Tratamentos biológicos: compostagem</v>
      </c>
      <c r="F38" s="230" t="str">
        <f>'Fatores de Emissão'!E232</f>
        <v>tonelada de resíduo sólido enviado para compostagem</v>
      </c>
      <c r="G38" s="653" t="str">
        <f>'Fatores de Emissão'!D232</f>
        <v>t CO2e / tonelada de resíduo sólido enviado para compostagem</v>
      </c>
      <c r="H38" s="131">
        <f>'Fatores de Emissão'!C232</f>
        <v>0.17560000000000001</v>
      </c>
      <c r="I38" s="132" t="s">
        <v>828</v>
      </c>
      <c r="J38">
        <f>(4*'Fatores de Emissão'!E258+0.24*'Fatores de Emissão'!E259)/1000</f>
        <v>0.17560000000000001</v>
      </c>
      <c r="K38" t="s">
        <v>1313</v>
      </c>
      <c r="N38" t="s">
        <v>1385</v>
      </c>
      <c r="O38">
        <v>0.03</v>
      </c>
      <c r="P38" t="s">
        <v>1387</v>
      </c>
    </row>
    <row r="39" spans="2:16" x14ac:dyDescent="0.25">
      <c r="B39" s="130" t="e">
        <f>B18</f>
        <v>#REF!</v>
      </c>
      <c r="E39" s="229" t="str">
        <f>'Fatores de Emissão'!B233</f>
        <v>Tratamentos biológicos: digestão anaeróbica</v>
      </c>
      <c r="F39" s="230" t="str">
        <f>'Fatores de Emissão'!E233</f>
        <v>tonelada de resíduo sólido enviado para digestão anaeróbia</v>
      </c>
      <c r="G39" s="653" t="str">
        <f>'Fatores de Emissão'!D233</f>
        <v>t CO2e / tonelada de resíduo sólido enviado para digestão anaeróbia</v>
      </c>
      <c r="H39" s="131">
        <f>'Fatores de Emissão'!C233</f>
        <v>2.2400000000000003E-2</v>
      </c>
      <c r="I39" s="132" t="s">
        <v>828</v>
      </c>
      <c r="J39">
        <f>(0.8*'Fatores de Emissão'!E258)/1000</f>
        <v>2.2400000000000003E-2</v>
      </c>
      <c r="K39" t="s">
        <v>1313</v>
      </c>
      <c r="N39" t="s">
        <v>1385</v>
      </c>
      <c r="O39">
        <v>4.0000000000000001E-3</v>
      </c>
      <c r="P39" t="s">
        <v>1389</v>
      </c>
    </row>
    <row r="40" spans="2:16" x14ac:dyDescent="0.25">
      <c r="E40" s="229" t="str">
        <f>'Fatores de Emissão'!B234</f>
        <v>Incineração Municipal (sem recuperação de energia) - fração fóssil</v>
      </c>
      <c r="F40" s="230" t="str">
        <f>'Fatores de Emissão'!E234</f>
        <v xml:space="preserve">TJ de resíduo incinerado (fração fóssil) </v>
      </c>
      <c r="G40" s="653" t="str">
        <f>'Fatores de Emissão'!D234</f>
        <v xml:space="preserve">t CO2e / TJ de resíduo incinerado (fração fóssil) </v>
      </c>
      <c r="H40" s="131"/>
      <c r="J40" s="131">
        <f>'Fatores de Emissão'!C234</f>
        <v>93.600000000000009</v>
      </c>
      <c r="K40" s="131" t="str">
        <f>G40</f>
        <v xml:space="preserve">t CO2e / TJ de resíduo incinerado (fração fóssil) </v>
      </c>
    </row>
    <row r="41" spans="2:16" x14ac:dyDescent="0.25">
      <c r="E41" s="229" t="str">
        <f>'Fatores de Emissão'!B235</f>
        <v>Incineração Industrial (sem recuperação de energia) - fração fóssil</v>
      </c>
      <c r="F41" s="230" t="str">
        <f>'Fatores de Emissão'!E235</f>
        <v xml:space="preserve">TJ de resíduo incinerado (fração fóssil) </v>
      </c>
      <c r="G41" s="653" t="str">
        <f>'Fatores de Emissão'!D235</f>
        <v xml:space="preserve">t CO2e / TJ de resíduo incinerado (fração fóssil) </v>
      </c>
      <c r="H41" s="131"/>
      <c r="J41" s="131">
        <f>'Fatores de Emissão'!C235</f>
        <v>143</v>
      </c>
      <c r="K41" s="131" t="str">
        <f>G41</f>
        <v xml:space="preserve">t CO2e / TJ de resíduo incinerado (fração fóssil) </v>
      </c>
    </row>
    <row r="42" spans="2:16" x14ac:dyDescent="0.25">
      <c r="E42" s="229" t="str">
        <f>'Fatores de Emissão'!B236</f>
        <v>Tratamento de águas residuais e efluentes (agrícolas, pecuários, industriais, ou outros)</v>
      </c>
      <c r="F42" s="230" t="str">
        <f>'Fatores de Emissão'!E236</f>
        <v>m3 de águas residuais enviadas para tratamento ou descarregadas</v>
      </c>
      <c r="G42" s="653" t="str">
        <f>'Fatores de Emissão'!D236</f>
        <v>t CO2e / m3 de águas residuais enviadas para tratamento ou descarregadas</v>
      </c>
    </row>
    <row r="43" spans="2:16" x14ac:dyDescent="0.25">
      <c r="E43" s="229"/>
      <c r="F43" s="230"/>
      <c r="G43" s="229"/>
    </row>
    <row r="47" spans="2:16" x14ac:dyDescent="0.25">
      <c r="B47" s="49" t="s">
        <v>1284</v>
      </c>
      <c r="F47" s="49" t="s">
        <v>1284</v>
      </c>
    </row>
    <row r="48" spans="2:16" x14ac:dyDescent="0.25">
      <c r="B48" s="645" t="s">
        <v>1268</v>
      </c>
      <c r="C48" s="645" t="s">
        <v>1269</v>
      </c>
      <c r="D48" s="645" t="s">
        <v>1271</v>
      </c>
      <c r="F48" s="645" t="s">
        <v>1268</v>
      </c>
      <c r="G48" s="645" t="s">
        <v>1272</v>
      </c>
      <c r="H48" s="646"/>
      <c r="I48" s="645" t="s">
        <v>1273</v>
      </c>
    </row>
    <row r="49" spans="2:9" x14ac:dyDescent="0.25">
      <c r="B49" s="647"/>
      <c r="C49" s="647" t="s">
        <v>1270</v>
      </c>
      <c r="D49" s="647" t="s">
        <v>1270</v>
      </c>
      <c r="F49" s="647"/>
      <c r="G49" s="647"/>
      <c r="H49" s="646"/>
      <c r="I49" s="647" t="s">
        <v>1270</v>
      </c>
    </row>
    <row r="50" spans="2:9" x14ac:dyDescent="0.25">
      <c r="B50" s="22" t="s">
        <v>1274</v>
      </c>
      <c r="C50" s="22">
        <v>9.0999999999999998E-2</v>
      </c>
      <c r="D50" s="22">
        <v>0</v>
      </c>
      <c r="F50" s="22" t="s">
        <v>1274</v>
      </c>
      <c r="G50" s="22" t="s">
        <v>1286</v>
      </c>
      <c r="H50" s="22" t="str">
        <f>F50&amp;G50</f>
        <v>Tanques céticosAterro sanitário</v>
      </c>
      <c r="I50" s="22">
        <v>0.19400000000000001</v>
      </c>
    </row>
    <row r="51" spans="2:9" x14ac:dyDescent="0.25">
      <c r="B51" s="22" t="s">
        <v>1275</v>
      </c>
      <c r="C51" s="22">
        <v>3.9E-2</v>
      </c>
      <c r="D51" s="22">
        <v>4.4000000000000003E-3</v>
      </c>
      <c r="F51" s="22"/>
      <c r="G51" s="22" t="s">
        <v>1287</v>
      </c>
      <c r="H51" s="22" t="str">
        <f t="shared" ref="H51:H97" si="0">F51&amp;G51</f>
        <v>Uso em solos, sem tratamentos</v>
      </c>
      <c r="I51" s="22">
        <v>8.3000000000000004E-2</v>
      </c>
    </row>
    <row r="52" spans="2:9" x14ac:dyDescent="0.25">
      <c r="B52" s="22" t="s">
        <v>1276</v>
      </c>
      <c r="C52" s="22">
        <v>3.9E-2</v>
      </c>
      <c r="D52" s="22">
        <v>2.3999999999999998E-3</v>
      </c>
      <c r="F52" s="22"/>
      <c r="G52" s="22" t="s">
        <v>1288</v>
      </c>
      <c r="H52" s="22" t="str">
        <f t="shared" si="0"/>
        <v>Compostagem</v>
      </c>
      <c r="I52" s="22">
        <v>5.5E-2</v>
      </c>
    </row>
    <row r="53" spans="2:9" x14ac:dyDescent="0.25">
      <c r="B53" s="22" t="s">
        <v>1277</v>
      </c>
      <c r="C53" s="22">
        <v>1.4E-2</v>
      </c>
      <c r="D53" s="22">
        <v>1.34E-2</v>
      </c>
      <c r="F53" s="22"/>
      <c r="G53" s="22" t="s">
        <v>1289</v>
      </c>
      <c r="H53" s="22" t="str">
        <f t="shared" si="0"/>
        <v>Incineração</v>
      </c>
      <c r="I53" s="22">
        <v>0.111</v>
      </c>
    </row>
    <row r="54" spans="2:9" x14ac:dyDescent="0.25">
      <c r="B54" s="22" t="s">
        <v>1278</v>
      </c>
      <c r="C54" s="22">
        <v>1.4E-2</v>
      </c>
      <c r="D54" s="22">
        <v>7.3000000000000001E-3</v>
      </c>
      <c r="F54" s="22" t="s">
        <v>1275</v>
      </c>
      <c r="G54" s="22" t="str">
        <f>G50</f>
        <v>Aterro sanitário</v>
      </c>
      <c r="H54" s="22" t="str">
        <f t="shared" si="0"/>
        <v>Tratamento primárioAterro sanitário</v>
      </c>
      <c r="I54" s="22">
        <v>6.7000000000000004E-2</v>
      </c>
    </row>
    <row r="55" spans="2:9" x14ac:dyDescent="0.25">
      <c r="B55" s="22" t="s">
        <v>1279</v>
      </c>
      <c r="C55" s="22">
        <v>1.4E-2</v>
      </c>
      <c r="D55" s="22">
        <v>6.4000000000000003E-3</v>
      </c>
      <c r="F55" s="22"/>
      <c r="G55" s="22" t="str">
        <f t="shared" ref="G55:G97" si="1">G51</f>
        <v>Uso em solos, sem tratamentos</v>
      </c>
      <c r="H55" s="22" t="str">
        <f t="shared" si="0"/>
        <v>Uso em solos, sem tratamentos</v>
      </c>
      <c r="I55" s="22">
        <v>4.4999999999999998E-2</v>
      </c>
    </row>
    <row r="56" spans="2:9" x14ac:dyDescent="0.25">
      <c r="B56" s="22" t="s">
        <v>1280</v>
      </c>
      <c r="C56" s="22">
        <v>0.01</v>
      </c>
      <c r="D56" s="22">
        <v>1.5599999999999999E-2</v>
      </c>
      <c r="F56" s="22"/>
      <c r="G56" s="22" t="str">
        <f t="shared" si="1"/>
        <v>Compostagem</v>
      </c>
      <c r="H56" s="22" t="str">
        <f t="shared" si="0"/>
        <v>Compostagem</v>
      </c>
      <c r="I56" s="22">
        <v>3.3000000000000002E-2</v>
      </c>
    </row>
    <row r="57" spans="2:9" x14ac:dyDescent="0.25">
      <c r="B57" s="22" t="s">
        <v>1297</v>
      </c>
      <c r="C57" s="22">
        <v>0.01</v>
      </c>
      <c r="D57" s="22">
        <v>8.6E-3</v>
      </c>
      <c r="F57" s="22"/>
      <c r="G57" s="22" t="str">
        <f t="shared" si="1"/>
        <v>Incineração</v>
      </c>
      <c r="H57" s="22" t="str">
        <f t="shared" si="0"/>
        <v>Incineração</v>
      </c>
      <c r="I57" s="22">
        <v>2.1999999999999999E-2</v>
      </c>
    </row>
    <row r="58" spans="2:9" x14ac:dyDescent="0.25">
      <c r="B58" s="22" t="s">
        <v>1298</v>
      </c>
      <c r="C58" s="22">
        <v>0.01</v>
      </c>
      <c r="D58" s="22">
        <v>7.4999999999999997E-3</v>
      </c>
      <c r="F58" s="22" t="s">
        <v>1276</v>
      </c>
      <c r="G58" s="22" t="str">
        <f t="shared" si="1"/>
        <v>Aterro sanitário</v>
      </c>
      <c r="H58" s="22" t="str">
        <f t="shared" si="0"/>
        <v>Tratamento primário e digestão anaeróbicaAterro sanitário</v>
      </c>
      <c r="I58" s="22">
        <v>0.03</v>
      </c>
    </row>
    <row r="59" spans="2:9" x14ac:dyDescent="0.25">
      <c r="B59" s="22" t="s">
        <v>1281</v>
      </c>
      <c r="C59" s="22">
        <v>1.7000000000000001E-2</v>
      </c>
      <c r="D59" s="22">
        <v>9.1999999999999998E-3</v>
      </c>
      <c r="F59" s="22"/>
      <c r="G59" s="22" t="str">
        <f t="shared" si="1"/>
        <v>Uso em solos, sem tratamentos</v>
      </c>
      <c r="H59" s="22" t="str">
        <f t="shared" si="0"/>
        <v>Uso em solos, sem tratamentos</v>
      </c>
      <c r="I59" s="22">
        <v>0.02</v>
      </c>
    </row>
    <row r="60" spans="2:9" x14ac:dyDescent="0.25">
      <c r="B60" s="22" t="s">
        <v>1283</v>
      </c>
      <c r="C60" s="22">
        <v>1.4999999999999999E-2</v>
      </c>
      <c r="D60" s="22">
        <v>1.7999999999999999E-2</v>
      </c>
      <c r="F60" s="22"/>
      <c r="G60" s="22" t="str">
        <f t="shared" si="1"/>
        <v>Compostagem</v>
      </c>
      <c r="H60" s="22" t="str">
        <f t="shared" si="0"/>
        <v>Compostagem</v>
      </c>
      <c r="I60" s="22">
        <v>1.4999999999999999E-2</v>
      </c>
    </row>
    <row r="61" spans="2:9" x14ac:dyDescent="0.25">
      <c r="B61" s="22" t="s">
        <v>1282</v>
      </c>
      <c r="C61" s="22">
        <v>4.1000000000000002E-2</v>
      </c>
      <c r="D61" s="22">
        <v>1.0999999999999999E-2</v>
      </c>
      <c r="F61" s="22"/>
      <c r="G61" s="22" t="str">
        <f t="shared" si="1"/>
        <v>Incineração</v>
      </c>
      <c r="H61" s="22" t="str">
        <f t="shared" si="0"/>
        <v>Incineração</v>
      </c>
      <c r="I61" s="22">
        <v>0.01</v>
      </c>
    </row>
    <row r="62" spans="2:9" x14ac:dyDescent="0.25">
      <c r="F62" s="22" t="s">
        <v>1277</v>
      </c>
      <c r="G62" s="22" t="str">
        <f t="shared" si="1"/>
        <v>Aterro sanitário</v>
      </c>
      <c r="H62" s="22" t="str">
        <f t="shared" si="0"/>
        <v>Tratamento secundário sem digestão anaeróbicaAterro sanitário</v>
      </c>
      <c r="I62" s="22">
        <v>0.112</v>
      </c>
    </row>
    <row r="63" spans="2:9" x14ac:dyDescent="0.25">
      <c r="F63" s="22"/>
      <c r="G63" s="22" t="str">
        <f t="shared" si="1"/>
        <v>Uso em solos, sem tratamentos</v>
      </c>
      <c r="H63" s="22" t="str">
        <f t="shared" si="0"/>
        <v>Uso em solos, sem tratamentos</v>
      </c>
      <c r="I63" s="22">
        <v>7.4999999999999997E-2</v>
      </c>
    </row>
    <row r="64" spans="2:9" x14ac:dyDescent="0.25">
      <c r="F64" s="22"/>
      <c r="G64" s="22" t="str">
        <f t="shared" si="1"/>
        <v>Compostagem</v>
      </c>
      <c r="H64" s="22" t="str">
        <f t="shared" si="0"/>
        <v>Compostagem</v>
      </c>
      <c r="I64" s="22">
        <v>5.6000000000000001E-2</v>
      </c>
    </row>
    <row r="65" spans="6:9" x14ac:dyDescent="0.25">
      <c r="F65" s="22"/>
      <c r="G65" s="22" t="str">
        <f t="shared" si="1"/>
        <v>Incineração</v>
      </c>
      <c r="H65" s="22" t="str">
        <f t="shared" si="0"/>
        <v>Incineração</v>
      </c>
      <c r="I65" s="22">
        <v>3.6999999999999998E-2</v>
      </c>
    </row>
    <row r="66" spans="6:9" x14ac:dyDescent="0.25">
      <c r="F66" s="22" t="s">
        <v>1278</v>
      </c>
      <c r="G66" s="22" t="str">
        <f t="shared" si="1"/>
        <v>Aterro sanitário</v>
      </c>
      <c r="H66" s="22" t="str">
        <f t="shared" si="0"/>
        <v>Tratamento secundário com digestão anaeróbicaAterro sanitário</v>
      </c>
      <c r="I66" s="22">
        <v>5.1999999999999998E-2</v>
      </c>
    </row>
    <row r="67" spans="6:9" x14ac:dyDescent="0.25">
      <c r="F67" s="22"/>
      <c r="G67" s="22" t="str">
        <f t="shared" si="1"/>
        <v>Uso em solos, sem tratamentos</v>
      </c>
      <c r="H67" s="22" t="str">
        <f t="shared" si="0"/>
        <v>Uso em solos, sem tratamentos</v>
      </c>
      <c r="I67" s="22">
        <v>3.5000000000000003E-2</v>
      </c>
    </row>
    <row r="68" spans="6:9" x14ac:dyDescent="0.25">
      <c r="F68" s="22"/>
      <c r="G68" s="22" t="str">
        <f t="shared" si="1"/>
        <v>Compostagem</v>
      </c>
      <c r="H68" s="22" t="str">
        <f t="shared" si="0"/>
        <v>Compostagem</v>
      </c>
      <c r="I68" s="22">
        <v>2.5999999999999999E-2</v>
      </c>
    </row>
    <row r="69" spans="6:9" x14ac:dyDescent="0.25">
      <c r="F69" s="22"/>
      <c r="G69" s="22" t="str">
        <f t="shared" si="1"/>
        <v>Incineração</v>
      </c>
      <c r="H69" s="22" t="str">
        <f t="shared" si="0"/>
        <v>Incineração</v>
      </c>
      <c r="I69" s="22">
        <v>1.7000000000000001E-2</v>
      </c>
    </row>
    <row r="70" spans="6:9" x14ac:dyDescent="0.25">
      <c r="F70" s="22" t="s">
        <v>1279</v>
      </c>
      <c r="G70" s="22" t="str">
        <f t="shared" si="1"/>
        <v>Aterro sanitário</v>
      </c>
      <c r="H70" s="22" t="str">
        <f t="shared" si="0"/>
        <v>Tratamento secundário com digestão anaeróbica melhoradaAterro sanitário</v>
      </c>
      <c r="I70" s="22">
        <v>4.1000000000000002E-2</v>
      </c>
    </row>
    <row r="71" spans="6:9" x14ac:dyDescent="0.25">
      <c r="F71" s="22"/>
      <c r="G71" s="22" t="str">
        <f t="shared" si="1"/>
        <v>Uso em solos, sem tratamentos</v>
      </c>
      <c r="H71" s="22" t="str">
        <f t="shared" si="0"/>
        <v>Uso em solos, sem tratamentos</v>
      </c>
      <c r="I71" s="22">
        <v>2.7E-2</v>
      </c>
    </row>
    <row r="72" spans="6:9" x14ac:dyDescent="0.25">
      <c r="F72" s="22"/>
      <c r="G72" s="22" t="str">
        <f t="shared" si="1"/>
        <v>Compostagem</v>
      </c>
      <c r="H72" s="22" t="str">
        <f t="shared" si="0"/>
        <v>Compostagem</v>
      </c>
      <c r="I72" s="22">
        <v>0.02</v>
      </c>
    </row>
    <row r="73" spans="6:9" x14ac:dyDescent="0.25">
      <c r="F73" s="22"/>
      <c r="G73" s="22" t="str">
        <f t="shared" si="1"/>
        <v>Incineração</v>
      </c>
      <c r="H73" s="22" t="str">
        <f t="shared" si="0"/>
        <v>Incineração</v>
      </c>
      <c r="I73" s="22">
        <v>1.2999999999999999E-2</v>
      </c>
    </row>
    <row r="74" spans="6:9" x14ac:dyDescent="0.25">
      <c r="F74" s="22" t="s">
        <v>1280</v>
      </c>
      <c r="G74" s="22" t="str">
        <f t="shared" si="1"/>
        <v>Aterro sanitário</v>
      </c>
      <c r="H74" s="22" t="str">
        <f t="shared" si="0"/>
        <v>Tratamento terciácio (remoção de azoto e fósforo) sem digestão anaeróbicaAterro sanitário</v>
      </c>
      <c r="I74" s="22">
        <v>0.112</v>
      </c>
    </row>
    <row r="75" spans="6:9" x14ac:dyDescent="0.25">
      <c r="F75" s="22"/>
      <c r="G75" s="22" t="str">
        <f t="shared" si="1"/>
        <v>Uso em solos, sem tratamentos</v>
      </c>
      <c r="H75" s="22" t="str">
        <f t="shared" si="0"/>
        <v>Uso em solos, sem tratamentos</v>
      </c>
      <c r="I75" s="22">
        <v>7.4999999999999997E-2</v>
      </c>
    </row>
    <row r="76" spans="6:9" x14ac:dyDescent="0.25">
      <c r="F76" s="22"/>
      <c r="G76" s="22" t="str">
        <f t="shared" si="1"/>
        <v>Compostagem</v>
      </c>
      <c r="H76" s="22" t="str">
        <f t="shared" si="0"/>
        <v>Compostagem</v>
      </c>
      <c r="I76" s="22">
        <v>5.6000000000000001E-2</v>
      </c>
    </row>
    <row r="77" spans="6:9" x14ac:dyDescent="0.25">
      <c r="F77" s="22"/>
      <c r="G77" s="22" t="str">
        <f t="shared" si="1"/>
        <v>Incineração</v>
      </c>
      <c r="H77" s="22" t="str">
        <f t="shared" si="0"/>
        <v>Incineração</v>
      </c>
      <c r="I77" s="22">
        <v>3.6999999999999998E-2</v>
      </c>
    </row>
    <row r="78" spans="6:9" x14ac:dyDescent="0.25">
      <c r="F78" s="22" t="s">
        <v>1297</v>
      </c>
      <c r="G78" s="22" t="str">
        <f t="shared" si="1"/>
        <v>Aterro sanitário</v>
      </c>
      <c r="H78" s="22" t="str">
        <f t="shared" si="0"/>
        <v>Tratamento terciácio (remoção de azoto e fósforo) com digestão anaeróbicaAterro sanitário</v>
      </c>
      <c r="I78" s="22">
        <v>0.05</v>
      </c>
    </row>
    <row r="79" spans="6:9" x14ac:dyDescent="0.25">
      <c r="F79" s="22"/>
      <c r="G79" s="22" t="str">
        <f t="shared" si="1"/>
        <v>Uso em solos, sem tratamentos</v>
      </c>
      <c r="H79" s="22" t="str">
        <f t="shared" si="0"/>
        <v>Uso em solos, sem tratamentos</v>
      </c>
      <c r="I79" s="22">
        <v>3.4000000000000002E-2</v>
      </c>
    </row>
    <row r="80" spans="6:9" x14ac:dyDescent="0.25">
      <c r="F80" s="22"/>
      <c r="G80" s="22" t="str">
        <f t="shared" si="1"/>
        <v>Compostagem</v>
      </c>
      <c r="H80" s="22" t="str">
        <f t="shared" si="0"/>
        <v>Compostagem</v>
      </c>
      <c r="I80" s="22">
        <v>2.5000000000000001E-2</v>
      </c>
    </row>
    <row r="81" spans="6:9" x14ac:dyDescent="0.25">
      <c r="F81" s="22"/>
      <c r="G81" s="22" t="str">
        <f t="shared" si="1"/>
        <v>Incineração</v>
      </c>
      <c r="H81" s="22" t="str">
        <f t="shared" si="0"/>
        <v>Incineração</v>
      </c>
      <c r="I81" s="22">
        <v>1.7000000000000001E-2</v>
      </c>
    </row>
    <row r="82" spans="6:9" x14ac:dyDescent="0.25">
      <c r="F82" s="22" t="s">
        <v>1298</v>
      </c>
      <c r="G82" s="22" t="str">
        <f t="shared" si="1"/>
        <v>Aterro sanitário</v>
      </c>
      <c r="H82" s="22" t="str">
        <f t="shared" si="0"/>
        <v>Tratamento terciácio (remoção de azoto e fósforo) com digestão anaeróbica melhoradaAterro sanitário</v>
      </c>
      <c r="I82" s="22">
        <v>4.1000000000000002E-2</v>
      </c>
    </row>
    <row r="83" spans="6:9" x14ac:dyDescent="0.25">
      <c r="F83" s="22"/>
      <c r="G83" s="22" t="str">
        <f t="shared" si="1"/>
        <v>Uso em solos, sem tratamentos</v>
      </c>
      <c r="H83" s="22" t="str">
        <f t="shared" si="0"/>
        <v>Uso em solos, sem tratamentos</v>
      </c>
      <c r="I83" s="22">
        <v>2.7E-2</v>
      </c>
    </row>
    <row r="84" spans="6:9" x14ac:dyDescent="0.25">
      <c r="F84" s="22"/>
      <c r="G84" s="22" t="str">
        <f t="shared" si="1"/>
        <v>Compostagem</v>
      </c>
      <c r="H84" s="22" t="str">
        <f t="shared" si="0"/>
        <v>Compostagem</v>
      </c>
      <c r="I84" s="22">
        <v>0.02</v>
      </c>
    </row>
    <row r="85" spans="6:9" x14ac:dyDescent="0.25">
      <c r="F85" s="22"/>
      <c r="G85" s="22" t="str">
        <f t="shared" si="1"/>
        <v>Incineração</v>
      </c>
      <c r="H85" s="22" t="str">
        <f t="shared" si="0"/>
        <v>Incineração</v>
      </c>
      <c r="I85" s="22">
        <v>1.2999999999999999E-2</v>
      </c>
    </row>
    <row r="86" spans="6:9" x14ac:dyDescent="0.25">
      <c r="F86" s="22" t="s">
        <v>1281</v>
      </c>
      <c r="G86" s="22" t="str">
        <f t="shared" si="1"/>
        <v>Aterro sanitário</v>
      </c>
      <c r="H86" s="22" t="str">
        <f t="shared" si="0"/>
        <v>Outros processos - Trickling filters, bio filtersAterro sanitário</v>
      </c>
      <c r="I86" s="22">
        <v>0.112</v>
      </c>
    </row>
    <row r="87" spans="6:9" x14ac:dyDescent="0.25">
      <c r="F87" s="22"/>
      <c r="G87" s="22" t="str">
        <f t="shared" si="1"/>
        <v>Uso em solos, sem tratamentos</v>
      </c>
      <c r="H87" s="22" t="str">
        <f t="shared" si="0"/>
        <v>Uso em solos, sem tratamentos</v>
      </c>
      <c r="I87" s="22">
        <v>7.4999999999999997E-2</v>
      </c>
    </row>
    <row r="88" spans="6:9" x14ac:dyDescent="0.25">
      <c r="F88" s="22"/>
      <c r="G88" s="22" t="str">
        <f t="shared" si="1"/>
        <v>Compostagem</v>
      </c>
      <c r="H88" s="22" t="str">
        <f t="shared" si="0"/>
        <v>Compostagem</v>
      </c>
      <c r="I88" s="22">
        <v>5.6000000000000001E-2</v>
      </c>
    </row>
    <row r="89" spans="6:9" x14ac:dyDescent="0.25">
      <c r="F89" s="22"/>
      <c r="G89" s="22" t="str">
        <f t="shared" si="1"/>
        <v>Incineração</v>
      </c>
      <c r="H89" s="22" t="str">
        <f t="shared" si="0"/>
        <v>Incineração</v>
      </c>
      <c r="I89" s="22">
        <v>3.6999999999999998E-2</v>
      </c>
    </row>
    <row r="90" spans="6:9" x14ac:dyDescent="0.25">
      <c r="F90" s="22" t="s">
        <v>1283</v>
      </c>
      <c r="G90" s="22" t="str">
        <f t="shared" si="1"/>
        <v>Aterro sanitário</v>
      </c>
      <c r="H90" s="22" t="str">
        <f t="shared" si="0"/>
        <v>Outros processos - Carroucel (extended aeration)Aterro sanitário</v>
      </c>
      <c r="I90" s="22">
        <v>5.6000000000000001E-2</v>
      </c>
    </row>
    <row r="91" spans="6:9" x14ac:dyDescent="0.25">
      <c r="F91" s="22"/>
      <c r="G91" s="22" t="str">
        <f t="shared" si="1"/>
        <v>Uso em solos, sem tratamentos</v>
      </c>
      <c r="H91" s="22" t="str">
        <f t="shared" si="0"/>
        <v>Uso em solos, sem tratamentos</v>
      </c>
      <c r="I91" s="22">
        <v>3.6999999999999998E-2</v>
      </c>
    </row>
    <row r="92" spans="6:9" x14ac:dyDescent="0.25">
      <c r="F92" s="22"/>
      <c r="G92" s="22" t="str">
        <f t="shared" si="1"/>
        <v>Compostagem</v>
      </c>
      <c r="H92" s="22" t="str">
        <f t="shared" si="0"/>
        <v>Compostagem</v>
      </c>
      <c r="I92" s="22">
        <v>2.8000000000000001E-2</v>
      </c>
    </row>
    <row r="93" spans="6:9" x14ac:dyDescent="0.25">
      <c r="F93" s="22"/>
      <c r="G93" s="22" t="str">
        <f t="shared" si="1"/>
        <v>Incineração</v>
      </c>
      <c r="H93" s="22" t="str">
        <f t="shared" si="0"/>
        <v>Incineração</v>
      </c>
      <c r="I93" s="22">
        <v>1.9E-2</v>
      </c>
    </row>
    <row r="94" spans="6:9" x14ac:dyDescent="0.25">
      <c r="F94" s="22" t="s">
        <v>1282</v>
      </c>
      <c r="G94" s="22" t="str">
        <f t="shared" si="1"/>
        <v>Aterro sanitário</v>
      </c>
      <c r="H94" s="22" t="str">
        <f t="shared" si="0"/>
        <v>Outros processos - UASB (uplifgt anaerobic sludge blanket)Aterro sanitário</v>
      </c>
      <c r="I94" s="22">
        <v>6.2E-2</v>
      </c>
    </row>
    <row r="95" spans="6:9" x14ac:dyDescent="0.25">
      <c r="F95" s="22"/>
      <c r="G95" s="22" t="str">
        <f t="shared" si="1"/>
        <v>Uso em solos, sem tratamentos</v>
      </c>
      <c r="H95" s="22" t="str">
        <f t="shared" si="0"/>
        <v>Uso em solos, sem tratamentos</v>
      </c>
      <c r="I95" s="22">
        <v>4.1000000000000002E-2</v>
      </c>
    </row>
    <row r="96" spans="6:9" x14ac:dyDescent="0.25">
      <c r="F96" s="22"/>
      <c r="G96" s="22" t="str">
        <f t="shared" si="1"/>
        <v>Compostagem</v>
      </c>
      <c r="H96" s="22" t="str">
        <f t="shared" si="0"/>
        <v>Compostagem</v>
      </c>
      <c r="I96" s="22">
        <v>3.1E-2</v>
      </c>
    </row>
    <row r="97" spans="2:32" x14ac:dyDescent="0.25">
      <c r="F97" s="22"/>
      <c r="G97" s="22" t="str">
        <f t="shared" si="1"/>
        <v>Incineração</v>
      </c>
      <c r="H97" s="22" t="str">
        <f t="shared" si="0"/>
        <v>Incineração</v>
      </c>
      <c r="I97" s="22">
        <v>2.1000000000000001E-2</v>
      </c>
    </row>
    <row r="98" spans="2:32" x14ac:dyDescent="0.25">
      <c r="F98" s="22"/>
      <c r="G98" s="22"/>
      <c r="H98" s="22"/>
    </row>
    <row r="105" spans="2:32" ht="30" customHeight="1" x14ac:dyDescent="0.25">
      <c r="B105" s="1184" t="s">
        <v>780</v>
      </c>
      <c r="C105" s="1184" t="s">
        <v>923</v>
      </c>
      <c r="D105" s="1184" t="s">
        <v>1261</v>
      </c>
      <c r="E105" s="1184" t="s">
        <v>1261</v>
      </c>
      <c r="F105" s="1290" t="s">
        <v>1265</v>
      </c>
      <c r="G105" s="1291"/>
      <c r="H105" s="1291"/>
      <c r="I105" s="1291"/>
      <c r="J105" s="1291"/>
      <c r="K105" s="1291"/>
      <c r="L105" s="1363" t="s">
        <v>1267</v>
      </c>
      <c r="M105" s="1363"/>
      <c r="N105" s="1363"/>
      <c r="O105" s="1363"/>
      <c r="Q105" s="1358" t="s">
        <v>1292</v>
      </c>
      <c r="R105" s="1358"/>
      <c r="S105" s="1358"/>
      <c r="T105" s="1358"/>
      <c r="U105" s="1358"/>
      <c r="V105" s="1358"/>
      <c r="W105" s="1358"/>
      <c r="X105" s="1354" t="s">
        <v>1309</v>
      </c>
      <c r="Y105" s="1354"/>
      <c r="Z105" s="1354"/>
      <c r="AA105" s="1354"/>
      <c r="AB105" s="1355" t="s">
        <v>709</v>
      </c>
      <c r="AC105" s="1353" t="s">
        <v>37</v>
      </c>
    </row>
    <row r="106" spans="2:32" ht="31.5" customHeight="1" x14ac:dyDescent="0.25">
      <c r="B106" s="1185"/>
      <c r="C106" s="1185"/>
      <c r="D106" s="1185"/>
      <c r="E106" s="1185"/>
      <c r="F106" s="1283" t="s">
        <v>1264</v>
      </c>
      <c r="G106" s="1284"/>
      <c r="H106" s="1285"/>
      <c r="I106" s="1360" t="s">
        <v>1262</v>
      </c>
      <c r="J106" s="1361"/>
      <c r="K106" s="1362"/>
      <c r="L106" s="1364" t="s">
        <v>1266</v>
      </c>
      <c r="M106" s="1366" t="s">
        <v>1285</v>
      </c>
      <c r="N106" s="1368" t="s">
        <v>1290</v>
      </c>
      <c r="O106" s="1368" t="s">
        <v>1291</v>
      </c>
      <c r="Q106" s="1358" t="s">
        <v>1293</v>
      </c>
      <c r="R106" s="1359" t="s">
        <v>1294</v>
      </c>
      <c r="S106" s="1359"/>
      <c r="T106" s="1359"/>
      <c r="U106" s="1359"/>
      <c r="V106" s="1359"/>
      <c r="W106" s="1359"/>
      <c r="X106" s="1354" t="s">
        <v>1310</v>
      </c>
      <c r="Y106" s="1354"/>
      <c r="Z106" s="1354"/>
      <c r="AA106" s="652" t="s">
        <v>1315</v>
      </c>
      <c r="AB106" s="1356"/>
      <c r="AC106" s="1353"/>
    </row>
    <row r="107" spans="2:32" ht="141.75" x14ac:dyDescent="0.25">
      <c r="B107" s="1186"/>
      <c r="C107" s="1186"/>
      <c r="D107" s="1186"/>
      <c r="E107" s="1186"/>
      <c r="F107" s="643" t="s">
        <v>1263</v>
      </c>
      <c r="G107" s="644" t="s">
        <v>26</v>
      </c>
      <c r="H107" s="644" t="s">
        <v>805</v>
      </c>
      <c r="I107" s="202" t="s">
        <v>1147</v>
      </c>
      <c r="J107" s="211" t="s">
        <v>29</v>
      </c>
      <c r="K107" s="202" t="s">
        <v>813</v>
      </c>
      <c r="L107" s="1365"/>
      <c r="M107" s="1367"/>
      <c r="N107" s="1369"/>
      <c r="O107" s="1369"/>
      <c r="Q107" s="1358"/>
      <c r="R107" s="648" t="s">
        <v>1295</v>
      </c>
      <c r="S107" s="648" t="s">
        <v>1296</v>
      </c>
      <c r="T107" s="648" t="s">
        <v>1299</v>
      </c>
      <c r="U107" s="648" t="s">
        <v>1301</v>
      </c>
      <c r="V107" s="648" t="s">
        <v>1300</v>
      </c>
      <c r="W107" s="648" t="s">
        <v>1302</v>
      </c>
      <c r="X107" s="651" t="s">
        <v>1310</v>
      </c>
      <c r="Y107" s="651" t="s">
        <v>709</v>
      </c>
      <c r="Z107" s="651" t="s">
        <v>1314</v>
      </c>
      <c r="AA107" s="651" t="s">
        <v>1314</v>
      </c>
      <c r="AB107" s="1357"/>
      <c r="AC107" s="1353"/>
    </row>
    <row r="108" spans="2:32" x14ac:dyDescent="0.25">
      <c r="B108">
        <f>'Outras emissões de processo'!B165</f>
        <v>0</v>
      </c>
      <c r="C108">
        <f>'Outras emissões de processo'!C165</f>
        <v>0</v>
      </c>
      <c r="D108">
        <f>'Outras emissões de processo'!D165</f>
        <v>0</v>
      </c>
      <c r="E108">
        <f>'Outras emissões de processo'!E165</f>
        <v>0</v>
      </c>
      <c r="F108">
        <f>'Outras emissões de processo'!F165</f>
        <v>0</v>
      </c>
      <c r="G108" t="str">
        <f>'Outras emissões de processo'!G165</f>
        <v/>
      </c>
      <c r="H108">
        <f>'Outras emissões de processo'!H165</f>
        <v>0</v>
      </c>
      <c r="I108">
        <f>'Outras emissões de processo'!I165</f>
        <v>0</v>
      </c>
      <c r="J108" t="str">
        <f>'Outras emissões de processo'!J165</f>
        <v/>
      </c>
      <c r="K108">
        <f>'Outras emissões de processo'!K165</f>
        <v>0</v>
      </c>
      <c r="L108">
        <f>'Outras emissões de processo'!L165</f>
        <v>0</v>
      </c>
      <c r="M108">
        <f>'Outras emissões de processo'!M165</f>
        <v>0</v>
      </c>
      <c r="N108">
        <f>'Outras emissões de processo'!N165</f>
        <v>0</v>
      </c>
      <c r="O108">
        <f>'Outras emissões de processo'!O165</f>
        <v>0</v>
      </c>
      <c r="Q108" s="649">
        <f t="shared" ref="Q108:Q139" si="2">IF(AND(C108=$E$42,D108="Sim"),I108*F108,0)</f>
        <v>0</v>
      </c>
      <c r="R108" s="22">
        <f t="shared" ref="R108:R139" si="3">IF(AND(C108=$E$42,D108="Não"),VLOOKUP(L108,$B$50:$D$61,2,FALSE),0)</f>
        <v>0</v>
      </c>
      <c r="S108" s="22" t="str">
        <f t="shared" ref="S108:S139" si="4">IF(AND(C108=$E$42,D108="Não"),VLOOKUP(L108,$B$50:$D$61,3,FALSE),"")</f>
        <v/>
      </c>
      <c r="T108" s="22">
        <f t="shared" ref="T108:T139" si="5">IF(AND(C108=$E$42,D108="Não"),S108*O108/245,0)</f>
        <v>0</v>
      </c>
      <c r="U108" s="22" t="str">
        <f>L108&amp;M108</f>
        <v>00</v>
      </c>
      <c r="V108" s="22">
        <f t="shared" ref="V108:V139" si="6">IF(AND(C108=$E$42,D108="Não"),VLOOKUP(U108,$H$50:$I$97,2,FALSE),0)</f>
        <v>0</v>
      </c>
      <c r="W108" s="649">
        <f t="shared" ref="W108:W139" si="7">IF(AND(C108=$E$42,D108="Não"),(R108+T108+V108)*N108,0)</f>
        <v>0</v>
      </c>
      <c r="X108" s="22">
        <f>E108</f>
        <v>0</v>
      </c>
      <c r="Y108" s="22">
        <f>IF(C108=$E$40,$J$40,IF(C108=$E$41,$J$41,IF(X108=$L$16,VLOOKUP(C108,$E$37:$J$43,6,FALSE),IF(X108=$L$17,VLOOKUP(C108,$E$37:$J$43,4,FALSE),0))))</f>
        <v>0</v>
      </c>
      <c r="Z108" s="107">
        <f>Y108*F108</f>
        <v>0</v>
      </c>
      <c r="AA108" s="107">
        <f>IF(OR(X108=$L$18,C108=$E$37,C108=$E$40,C108=$E$43),F108*I108,0)</f>
        <v>0</v>
      </c>
      <c r="AB108" s="107">
        <f>R108+T108+V108+Y108+I108</f>
        <v>0</v>
      </c>
      <c r="AC108" s="22">
        <f>Q108+W108+Z108+AA108</f>
        <v>0</v>
      </c>
    </row>
    <row r="109" spans="2:32" x14ac:dyDescent="0.25">
      <c r="B109">
        <f>'Outras emissões de processo'!B166</f>
        <v>0</v>
      </c>
      <c r="C109">
        <f>'Outras emissões de processo'!C166</f>
        <v>0</v>
      </c>
      <c r="D109">
        <f>'Outras emissões de processo'!D166</f>
        <v>0</v>
      </c>
      <c r="E109">
        <f>'Outras emissões de processo'!E166</f>
        <v>0</v>
      </c>
      <c r="F109">
        <f>'Outras emissões de processo'!F166</f>
        <v>0</v>
      </c>
      <c r="G109" t="str">
        <f>'Outras emissões de processo'!G166</f>
        <v/>
      </c>
      <c r="H109">
        <f>'Outras emissões de processo'!H166</f>
        <v>0</v>
      </c>
      <c r="I109">
        <f>'Outras emissões de processo'!I166</f>
        <v>0</v>
      </c>
      <c r="J109" t="str">
        <f>'Outras emissões de processo'!J166</f>
        <v/>
      </c>
      <c r="K109">
        <f>'Outras emissões de processo'!K166</f>
        <v>0</v>
      </c>
      <c r="L109">
        <f>'Outras emissões de processo'!L166</f>
        <v>0</v>
      </c>
      <c r="M109">
        <f>'Outras emissões de processo'!M166</f>
        <v>0</v>
      </c>
      <c r="N109">
        <f>'Outras emissões de processo'!N166</f>
        <v>0</v>
      </c>
      <c r="O109">
        <f>'Outras emissões de processo'!O166</f>
        <v>0</v>
      </c>
      <c r="Q109" s="649">
        <f t="shared" si="2"/>
        <v>0</v>
      </c>
      <c r="R109" s="22">
        <f t="shared" si="3"/>
        <v>0</v>
      </c>
      <c r="S109" s="22" t="str">
        <f t="shared" si="4"/>
        <v/>
      </c>
      <c r="T109" s="22">
        <f t="shared" si="5"/>
        <v>0</v>
      </c>
      <c r="U109" s="22" t="str">
        <f t="shared" ref="U109:U172" si="8">L109&amp;M109</f>
        <v>00</v>
      </c>
      <c r="V109" s="22">
        <f t="shared" si="6"/>
        <v>0</v>
      </c>
      <c r="W109" s="649">
        <f t="shared" si="7"/>
        <v>0</v>
      </c>
      <c r="X109" s="22">
        <f t="shared" ref="X109:X172" si="9">E109</f>
        <v>0</v>
      </c>
      <c r="Y109" s="22">
        <f t="shared" ref="Y109:Y172" si="10">IF(C109=$E$40,$J$40,IF(C109=$E$41,$J$41,IF(X109=$L$16,VLOOKUP(C109,$E$37:$J$43,6,FALSE),IF(X109=$L$17,VLOOKUP(C109,$E$37:$J$43,4,FALSE),0))))</f>
        <v>0</v>
      </c>
      <c r="Z109" s="107">
        <f>Y109*F109</f>
        <v>0</v>
      </c>
      <c r="AA109" s="107">
        <f t="shared" ref="AA109:AA140" si="11">IF(OR(E109=$L$18,C109=$E$37,C109=$E$40,C109=$E$43),F109*I109,0)</f>
        <v>0</v>
      </c>
      <c r="AB109" s="107">
        <f t="shared" ref="AB109:AB172" si="12">R109+T109+V109+Y109+I109</f>
        <v>0</v>
      </c>
      <c r="AC109" s="22">
        <f t="shared" ref="AC109:AC172" si="13">Q109+W109+Z109+AA109</f>
        <v>0</v>
      </c>
    </row>
    <row r="110" spans="2:32" x14ac:dyDescent="0.25">
      <c r="B110">
        <f>'Outras emissões de processo'!B167</f>
        <v>0</v>
      </c>
      <c r="C110">
        <f>'Outras emissões de processo'!C167</f>
        <v>0</v>
      </c>
      <c r="D110">
        <f>'Outras emissões de processo'!D167</f>
        <v>0</v>
      </c>
      <c r="E110">
        <f>'Outras emissões de processo'!E167</f>
        <v>0</v>
      </c>
      <c r="F110">
        <f>'Outras emissões de processo'!F167</f>
        <v>0</v>
      </c>
      <c r="G110" t="str">
        <f>'Outras emissões de processo'!G167</f>
        <v/>
      </c>
      <c r="H110">
        <f>'Outras emissões de processo'!H167</f>
        <v>0</v>
      </c>
      <c r="I110">
        <f>'Outras emissões de processo'!I167</f>
        <v>0</v>
      </c>
      <c r="J110" t="str">
        <f>'Outras emissões de processo'!J167</f>
        <v/>
      </c>
      <c r="K110">
        <f>'Outras emissões de processo'!K167</f>
        <v>0</v>
      </c>
      <c r="L110">
        <f>'Outras emissões de processo'!L167</f>
        <v>0</v>
      </c>
      <c r="M110">
        <f>'Outras emissões de processo'!M167</f>
        <v>0</v>
      </c>
      <c r="N110">
        <f>'Outras emissões de processo'!N167</f>
        <v>0</v>
      </c>
      <c r="O110">
        <f>'Outras emissões de processo'!O167</f>
        <v>0</v>
      </c>
      <c r="Q110" s="649">
        <f t="shared" si="2"/>
        <v>0</v>
      </c>
      <c r="R110" s="22">
        <f t="shared" si="3"/>
        <v>0</v>
      </c>
      <c r="S110" s="22" t="str">
        <f t="shared" si="4"/>
        <v/>
      </c>
      <c r="T110" s="22">
        <f t="shared" si="5"/>
        <v>0</v>
      </c>
      <c r="U110" s="22" t="str">
        <f t="shared" si="8"/>
        <v>00</v>
      </c>
      <c r="V110" s="22">
        <f t="shared" si="6"/>
        <v>0</v>
      </c>
      <c r="W110" s="649">
        <f t="shared" si="7"/>
        <v>0</v>
      </c>
      <c r="X110" s="22">
        <f t="shared" si="9"/>
        <v>0</v>
      </c>
      <c r="Y110" s="22">
        <f t="shared" si="10"/>
        <v>0</v>
      </c>
      <c r="Z110" s="107">
        <f t="shared" ref="Z110:Z172" si="14">Y110*F110</f>
        <v>0</v>
      </c>
      <c r="AA110" s="107">
        <f t="shared" si="11"/>
        <v>0</v>
      </c>
      <c r="AB110" s="107">
        <f t="shared" si="12"/>
        <v>0</v>
      </c>
      <c r="AC110" s="22">
        <f t="shared" si="13"/>
        <v>0</v>
      </c>
      <c r="AF110" s="22"/>
    </row>
    <row r="111" spans="2:32" x14ac:dyDescent="0.25">
      <c r="B111">
        <f>'Outras emissões de processo'!B168</f>
        <v>0</v>
      </c>
      <c r="C111">
        <f>'Outras emissões de processo'!C168</f>
        <v>0</v>
      </c>
      <c r="D111">
        <f>'Outras emissões de processo'!D168</f>
        <v>0</v>
      </c>
      <c r="E111">
        <f>'Outras emissões de processo'!E168</f>
        <v>0</v>
      </c>
      <c r="F111">
        <f>'Outras emissões de processo'!F168</f>
        <v>0</v>
      </c>
      <c r="G111" t="str">
        <f>'Outras emissões de processo'!G168</f>
        <v/>
      </c>
      <c r="H111">
        <f>'Outras emissões de processo'!H168</f>
        <v>0</v>
      </c>
      <c r="I111">
        <f>'Outras emissões de processo'!I168</f>
        <v>0</v>
      </c>
      <c r="J111" t="str">
        <f>'Outras emissões de processo'!J168</f>
        <v/>
      </c>
      <c r="K111">
        <f>'Outras emissões de processo'!K168</f>
        <v>0</v>
      </c>
      <c r="L111">
        <f>'Outras emissões de processo'!L168</f>
        <v>0</v>
      </c>
      <c r="M111">
        <f>'Outras emissões de processo'!M168</f>
        <v>0</v>
      </c>
      <c r="N111">
        <f>'Outras emissões de processo'!N168</f>
        <v>0</v>
      </c>
      <c r="O111">
        <f>'Outras emissões de processo'!O168</f>
        <v>0</v>
      </c>
      <c r="Q111" s="649">
        <f t="shared" si="2"/>
        <v>0</v>
      </c>
      <c r="R111" s="22">
        <f t="shared" si="3"/>
        <v>0</v>
      </c>
      <c r="S111" s="22" t="str">
        <f t="shared" si="4"/>
        <v/>
      </c>
      <c r="T111" s="22">
        <f t="shared" si="5"/>
        <v>0</v>
      </c>
      <c r="U111" s="22" t="str">
        <f t="shared" si="8"/>
        <v>00</v>
      </c>
      <c r="V111" s="22">
        <f t="shared" si="6"/>
        <v>0</v>
      </c>
      <c r="W111" s="649">
        <f t="shared" si="7"/>
        <v>0</v>
      </c>
      <c r="X111" s="22">
        <f t="shared" si="9"/>
        <v>0</v>
      </c>
      <c r="Y111" s="22">
        <f t="shared" si="10"/>
        <v>0</v>
      </c>
      <c r="Z111" s="107">
        <f t="shared" si="14"/>
        <v>0</v>
      </c>
      <c r="AA111" s="107">
        <f t="shared" si="11"/>
        <v>0</v>
      </c>
      <c r="AB111" s="107">
        <f t="shared" si="12"/>
        <v>0</v>
      </c>
      <c r="AC111" s="22">
        <f t="shared" si="13"/>
        <v>0</v>
      </c>
    </row>
    <row r="112" spans="2:32" x14ac:dyDescent="0.25">
      <c r="B112">
        <f>'Outras emissões de processo'!B169</f>
        <v>0</v>
      </c>
      <c r="C112">
        <f>'Outras emissões de processo'!C169</f>
        <v>0</v>
      </c>
      <c r="D112">
        <f>'Outras emissões de processo'!D169</f>
        <v>0</v>
      </c>
      <c r="E112">
        <f>'Outras emissões de processo'!E169</f>
        <v>0</v>
      </c>
      <c r="F112">
        <f>'Outras emissões de processo'!F169</f>
        <v>0</v>
      </c>
      <c r="G112" t="str">
        <f>'Outras emissões de processo'!G169</f>
        <v/>
      </c>
      <c r="H112">
        <f>'Outras emissões de processo'!H169</f>
        <v>0</v>
      </c>
      <c r="I112">
        <f>'Outras emissões de processo'!I169</f>
        <v>0</v>
      </c>
      <c r="J112" t="str">
        <f>'Outras emissões de processo'!J169</f>
        <v/>
      </c>
      <c r="K112">
        <f>'Outras emissões de processo'!K169</f>
        <v>0</v>
      </c>
      <c r="L112">
        <f>'Outras emissões de processo'!L169</f>
        <v>0</v>
      </c>
      <c r="M112">
        <f>'Outras emissões de processo'!M169</f>
        <v>0</v>
      </c>
      <c r="N112">
        <f>'Outras emissões de processo'!N169</f>
        <v>0</v>
      </c>
      <c r="O112">
        <f>'Outras emissões de processo'!O169</f>
        <v>0</v>
      </c>
      <c r="Q112" s="649">
        <f t="shared" si="2"/>
        <v>0</v>
      </c>
      <c r="R112" s="22">
        <f t="shared" si="3"/>
        <v>0</v>
      </c>
      <c r="S112" s="22" t="str">
        <f t="shared" si="4"/>
        <v/>
      </c>
      <c r="T112" s="22">
        <f t="shared" si="5"/>
        <v>0</v>
      </c>
      <c r="U112" s="22" t="str">
        <f t="shared" si="8"/>
        <v>00</v>
      </c>
      <c r="V112" s="22">
        <f t="shared" si="6"/>
        <v>0</v>
      </c>
      <c r="W112" s="649">
        <f t="shared" si="7"/>
        <v>0</v>
      </c>
      <c r="X112" s="22">
        <f t="shared" si="9"/>
        <v>0</v>
      </c>
      <c r="Y112" s="22">
        <f t="shared" si="10"/>
        <v>0</v>
      </c>
      <c r="Z112" s="107">
        <f t="shared" si="14"/>
        <v>0</v>
      </c>
      <c r="AA112" s="107">
        <f t="shared" si="11"/>
        <v>0</v>
      </c>
      <c r="AB112" s="107">
        <f t="shared" si="12"/>
        <v>0</v>
      </c>
      <c r="AC112" s="22">
        <f t="shared" si="13"/>
        <v>0</v>
      </c>
    </row>
    <row r="113" spans="2:29" x14ac:dyDescent="0.25">
      <c r="B113">
        <f>'Outras emissões de processo'!B170</f>
        <v>0</v>
      </c>
      <c r="C113">
        <f>'Outras emissões de processo'!C170</f>
        <v>0</v>
      </c>
      <c r="D113">
        <f>'Outras emissões de processo'!D170</f>
        <v>0</v>
      </c>
      <c r="E113">
        <f>'Outras emissões de processo'!E170</f>
        <v>0</v>
      </c>
      <c r="F113">
        <f>'Outras emissões de processo'!F170</f>
        <v>0</v>
      </c>
      <c r="G113" t="str">
        <f>'Outras emissões de processo'!G170</f>
        <v/>
      </c>
      <c r="H113">
        <f>'Outras emissões de processo'!H170</f>
        <v>0</v>
      </c>
      <c r="I113">
        <f>'Outras emissões de processo'!I170</f>
        <v>0</v>
      </c>
      <c r="J113" t="str">
        <f>'Outras emissões de processo'!J170</f>
        <v/>
      </c>
      <c r="K113">
        <f>'Outras emissões de processo'!K170</f>
        <v>0</v>
      </c>
      <c r="L113">
        <f>'Outras emissões de processo'!L170</f>
        <v>0</v>
      </c>
      <c r="M113">
        <f>'Outras emissões de processo'!M170</f>
        <v>0</v>
      </c>
      <c r="N113">
        <f>'Outras emissões de processo'!N170</f>
        <v>0</v>
      </c>
      <c r="O113">
        <f>'Outras emissões de processo'!O170</f>
        <v>0</v>
      </c>
      <c r="Q113" s="649">
        <f t="shared" si="2"/>
        <v>0</v>
      </c>
      <c r="R113" s="22">
        <f t="shared" si="3"/>
        <v>0</v>
      </c>
      <c r="S113" s="22" t="str">
        <f t="shared" si="4"/>
        <v/>
      </c>
      <c r="T113" s="22">
        <f t="shared" si="5"/>
        <v>0</v>
      </c>
      <c r="U113" s="22" t="str">
        <f t="shared" si="8"/>
        <v>00</v>
      </c>
      <c r="V113" s="22">
        <f t="shared" si="6"/>
        <v>0</v>
      </c>
      <c r="W113" s="649">
        <f t="shared" si="7"/>
        <v>0</v>
      </c>
      <c r="X113" s="22">
        <f t="shared" si="9"/>
        <v>0</v>
      </c>
      <c r="Y113" s="22">
        <f t="shared" si="10"/>
        <v>0</v>
      </c>
      <c r="Z113" s="107">
        <f t="shared" si="14"/>
        <v>0</v>
      </c>
      <c r="AA113" s="107">
        <f t="shared" si="11"/>
        <v>0</v>
      </c>
      <c r="AB113" s="107">
        <f t="shared" si="12"/>
        <v>0</v>
      </c>
      <c r="AC113" s="22">
        <f t="shared" si="13"/>
        <v>0</v>
      </c>
    </row>
    <row r="114" spans="2:29" x14ac:dyDescent="0.25">
      <c r="B114">
        <f>'Outras emissões de processo'!B171</f>
        <v>0</v>
      </c>
      <c r="C114">
        <f>'Outras emissões de processo'!C171</f>
        <v>0</v>
      </c>
      <c r="D114">
        <f>'Outras emissões de processo'!D171</f>
        <v>0</v>
      </c>
      <c r="E114">
        <f>'Outras emissões de processo'!E171</f>
        <v>0</v>
      </c>
      <c r="F114">
        <f>'Outras emissões de processo'!F171</f>
        <v>0</v>
      </c>
      <c r="G114" t="str">
        <f>'Outras emissões de processo'!G171</f>
        <v/>
      </c>
      <c r="H114">
        <f>'Outras emissões de processo'!H171</f>
        <v>0</v>
      </c>
      <c r="I114">
        <f>'Outras emissões de processo'!I171</f>
        <v>0</v>
      </c>
      <c r="J114" t="str">
        <f>'Outras emissões de processo'!J171</f>
        <v/>
      </c>
      <c r="K114">
        <f>'Outras emissões de processo'!K171</f>
        <v>0</v>
      </c>
      <c r="L114">
        <f>'Outras emissões de processo'!L171</f>
        <v>0</v>
      </c>
      <c r="M114">
        <f>'Outras emissões de processo'!M171</f>
        <v>0</v>
      </c>
      <c r="N114">
        <f>'Outras emissões de processo'!N171</f>
        <v>0</v>
      </c>
      <c r="O114">
        <f>'Outras emissões de processo'!O171</f>
        <v>0</v>
      </c>
      <c r="Q114" s="649">
        <f t="shared" si="2"/>
        <v>0</v>
      </c>
      <c r="R114" s="22">
        <f t="shared" si="3"/>
        <v>0</v>
      </c>
      <c r="S114" s="22" t="str">
        <f t="shared" si="4"/>
        <v/>
      </c>
      <c r="T114" s="22">
        <f t="shared" si="5"/>
        <v>0</v>
      </c>
      <c r="U114" s="22" t="str">
        <f t="shared" si="8"/>
        <v>00</v>
      </c>
      <c r="V114" s="22">
        <f t="shared" si="6"/>
        <v>0</v>
      </c>
      <c r="W114" s="649">
        <f t="shared" si="7"/>
        <v>0</v>
      </c>
      <c r="X114" s="22">
        <f t="shared" si="9"/>
        <v>0</v>
      </c>
      <c r="Y114" s="22">
        <f t="shared" si="10"/>
        <v>0</v>
      </c>
      <c r="Z114" s="107">
        <f t="shared" si="14"/>
        <v>0</v>
      </c>
      <c r="AA114" s="107">
        <f t="shared" si="11"/>
        <v>0</v>
      </c>
      <c r="AB114" s="107">
        <f t="shared" si="12"/>
        <v>0</v>
      </c>
      <c r="AC114" s="22">
        <f t="shared" si="13"/>
        <v>0</v>
      </c>
    </row>
    <row r="115" spans="2:29" x14ac:dyDescent="0.25">
      <c r="B115">
        <f>'Outras emissões de processo'!B172</f>
        <v>0</v>
      </c>
      <c r="C115">
        <f>'Outras emissões de processo'!C172</f>
        <v>0</v>
      </c>
      <c r="D115">
        <f>'Outras emissões de processo'!D172</f>
        <v>0</v>
      </c>
      <c r="E115">
        <f>'Outras emissões de processo'!E172</f>
        <v>0</v>
      </c>
      <c r="F115">
        <f>'Outras emissões de processo'!F172</f>
        <v>0</v>
      </c>
      <c r="G115" t="str">
        <f>'Outras emissões de processo'!G172</f>
        <v/>
      </c>
      <c r="H115">
        <f>'Outras emissões de processo'!H172</f>
        <v>0</v>
      </c>
      <c r="I115">
        <f>'Outras emissões de processo'!I172</f>
        <v>0</v>
      </c>
      <c r="J115" t="str">
        <f>'Outras emissões de processo'!J172</f>
        <v/>
      </c>
      <c r="K115">
        <f>'Outras emissões de processo'!K172</f>
        <v>0</v>
      </c>
      <c r="L115">
        <f>'Outras emissões de processo'!L172</f>
        <v>0</v>
      </c>
      <c r="M115">
        <f>'Outras emissões de processo'!M172</f>
        <v>0</v>
      </c>
      <c r="N115">
        <f>'Outras emissões de processo'!N172</f>
        <v>0</v>
      </c>
      <c r="O115">
        <f>'Outras emissões de processo'!O172</f>
        <v>0</v>
      </c>
      <c r="Q115" s="649">
        <f t="shared" si="2"/>
        <v>0</v>
      </c>
      <c r="R115" s="22">
        <f t="shared" si="3"/>
        <v>0</v>
      </c>
      <c r="S115" s="22" t="str">
        <f t="shared" si="4"/>
        <v/>
      </c>
      <c r="T115" s="22">
        <f t="shared" si="5"/>
        <v>0</v>
      </c>
      <c r="U115" s="22" t="str">
        <f t="shared" si="8"/>
        <v>00</v>
      </c>
      <c r="V115" s="22">
        <f t="shared" si="6"/>
        <v>0</v>
      </c>
      <c r="W115" s="649">
        <f t="shared" si="7"/>
        <v>0</v>
      </c>
      <c r="X115" s="22">
        <f t="shared" si="9"/>
        <v>0</v>
      </c>
      <c r="Y115" s="22">
        <f t="shared" si="10"/>
        <v>0</v>
      </c>
      <c r="Z115" s="107">
        <f t="shared" si="14"/>
        <v>0</v>
      </c>
      <c r="AA115" s="107">
        <f t="shared" si="11"/>
        <v>0</v>
      </c>
      <c r="AB115" s="107">
        <f t="shared" si="12"/>
        <v>0</v>
      </c>
      <c r="AC115" s="22">
        <f t="shared" si="13"/>
        <v>0</v>
      </c>
    </row>
    <row r="116" spans="2:29" x14ac:dyDescent="0.25">
      <c r="B116">
        <f>'Outras emissões de processo'!B173</f>
        <v>0</v>
      </c>
      <c r="C116">
        <f>'Outras emissões de processo'!C173</f>
        <v>0</v>
      </c>
      <c r="D116">
        <f>'Outras emissões de processo'!D173</f>
        <v>0</v>
      </c>
      <c r="E116">
        <f>'Outras emissões de processo'!E173</f>
        <v>0</v>
      </c>
      <c r="F116">
        <f>'Outras emissões de processo'!F173</f>
        <v>0</v>
      </c>
      <c r="G116" t="str">
        <f>'Outras emissões de processo'!G173</f>
        <v/>
      </c>
      <c r="H116">
        <f>'Outras emissões de processo'!H173</f>
        <v>0</v>
      </c>
      <c r="I116">
        <f>'Outras emissões de processo'!I173</f>
        <v>0</v>
      </c>
      <c r="J116" t="str">
        <f>'Outras emissões de processo'!J173</f>
        <v/>
      </c>
      <c r="K116">
        <f>'Outras emissões de processo'!K173</f>
        <v>0</v>
      </c>
      <c r="L116">
        <f>'Outras emissões de processo'!L173</f>
        <v>0</v>
      </c>
      <c r="M116">
        <f>'Outras emissões de processo'!M173</f>
        <v>0</v>
      </c>
      <c r="N116">
        <f>'Outras emissões de processo'!N173</f>
        <v>0</v>
      </c>
      <c r="O116">
        <f>'Outras emissões de processo'!O173</f>
        <v>0</v>
      </c>
      <c r="Q116" s="649">
        <f t="shared" si="2"/>
        <v>0</v>
      </c>
      <c r="R116" s="22">
        <f t="shared" si="3"/>
        <v>0</v>
      </c>
      <c r="S116" s="22" t="str">
        <f t="shared" si="4"/>
        <v/>
      </c>
      <c r="T116" s="22">
        <f t="shared" si="5"/>
        <v>0</v>
      </c>
      <c r="U116" s="22" t="str">
        <f t="shared" si="8"/>
        <v>00</v>
      </c>
      <c r="V116" s="22">
        <f t="shared" si="6"/>
        <v>0</v>
      </c>
      <c r="W116" s="649">
        <f t="shared" si="7"/>
        <v>0</v>
      </c>
      <c r="X116" s="22">
        <f t="shared" si="9"/>
        <v>0</v>
      </c>
      <c r="Y116" s="22">
        <f t="shared" si="10"/>
        <v>0</v>
      </c>
      <c r="Z116" s="107">
        <f t="shared" si="14"/>
        <v>0</v>
      </c>
      <c r="AA116" s="107">
        <f t="shared" si="11"/>
        <v>0</v>
      </c>
      <c r="AB116" s="107">
        <f t="shared" si="12"/>
        <v>0</v>
      </c>
      <c r="AC116" s="22">
        <f t="shared" si="13"/>
        <v>0</v>
      </c>
    </row>
    <row r="117" spans="2:29" x14ac:dyDescent="0.25">
      <c r="B117">
        <f>'Outras emissões de processo'!B174</f>
        <v>0</v>
      </c>
      <c r="C117">
        <f>'Outras emissões de processo'!C174</f>
        <v>0</v>
      </c>
      <c r="D117">
        <f>'Outras emissões de processo'!D174</f>
        <v>0</v>
      </c>
      <c r="E117">
        <f>'Outras emissões de processo'!E174</f>
        <v>0</v>
      </c>
      <c r="F117">
        <f>'Outras emissões de processo'!F174</f>
        <v>0</v>
      </c>
      <c r="G117" t="str">
        <f>'Outras emissões de processo'!G174</f>
        <v/>
      </c>
      <c r="H117">
        <f>'Outras emissões de processo'!H174</f>
        <v>0</v>
      </c>
      <c r="I117">
        <f>'Outras emissões de processo'!I174</f>
        <v>0</v>
      </c>
      <c r="J117" t="str">
        <f>'Outras emissões de processo'!J174</f>
        <v/>
      </c>
      <c r="K117">
        <f>'Outras emissões de processo'!K174</f>
        <v>0</v>
      </c>
      <c r="L117">
        <f>'Outras emissões de processo'!L174</f>
        <v>0</v>
      </c>
      <c r="M117">
        <f>'Outras emissões de processo'!M174</f>
        <v>0</v>
      </c>
      <c r="N117">
        <f>'Outras emissões de processo'!N174</f>
        <v>0</v>
      </c>
      <c r="O117">
        <f>'Outras emissões de processo'!O174</f>
        <v>0</v>
      </c>
      <c r="Q117" s="649">
        <f t="shared" si="2"/>
        <v>0</v>
      </c>
      <c r="R117" s="22">
        <f t="shared" si="3"/>
        <v>0</v>
      </c>
      <c r="S117" s="22" t="str">
        <f t="shared" si="4"/>
        <v/>
      </c>
      <c r="T117" s="22">
        <f t="shared" si="5"/>
        <v>0</v>
      </c>
      <c r="U117" s="22" t="str">
        <f t="shared" si="8"/>
        <v>00</v>
      </c>
      <c r="V117" s="22">
        <f t="shared" si="6"/>
        <v>0</v>
      </c>
      <c r="W117" s="649">
        <f t="shared" si="7"/>
        <v>0</v>
      </c>
      <c r="X117" s="22">
        <f t="shared" si="9"/>
        <v>0</v>
      </c>
      <c r="Y117" s="22">
        <f t="shared" si="10"/>
        <v>0</v>
      </c>
      <c r="Z117" s="107">
        <f t="shared" si="14"/>
        <v>0</v>
      </c>
      <c r="AA117" s="107">
        <f t="shared" si="11"/>
        <v>0</v>
      </c>
      <c r="AB117" s="107">
        <f t="shared" si="12"/>
        <v>0</v>
      </c>
      <c r="AC117" s="22">
        <f t="shared" si="13"/>
        <v>0</v>
      </c>
    </row>
    <row r="118" spans="2:29" x14ac:dyDescent="0.25">
      <c r="B118">
        <f>'Outras emissões de processo'!B175</f>
        <v>0</v>
      </c>
      <c r="C118">
        <f>'Outras emissões de processo'!C175</f>
        <v>0</v>
      </c>
      <c r="D118">
        <f>'Outras emissões de processo'!D175</f>
        <v>0</v>
      </c>
      <c r="E118">
        <f>'Outras emissões de processo'!E175</f>
        <v>0</v>
      </c>
      <c r="F118">
        <f>'Outras emissões de processo'!F175</f>
        <v>0</v>
      </c>
      <c r="G118" t="str">
        <f>'Outras emissões de processo'!G175</f>
        <v/>
      </c>
      <c r="H118">
        <f>'Outras emissões de processo'!H175</f>
        <v>0</v>
      </c>
      <c r="I118">
        <f>'Outras emissões de processo'!I175</f>
        <v>0</v>
      </c>
      <c r="J118" t="str">
        <f>'Outras emissões de processo'!J175</f>
        <v/>
      </c>
      <c r="K118">
        <f>'Outras emissões de processo'!K175</f>
        <v>0</v>
      </c>
      <c r="L118">
        <f>'Outras emissões de processo'!L175</f>
        <v>0</v>
      </c>
      <c r="M118">
        <f>'Outras emissões de processo'!M175</f>
        <v>0</v>
      </c>
      <c r="N118">
        <f>'Outras emissões de processo'!N175</f>
        <v>0</v>
      </c>
      <c r="O118">
        <f>'Outras emissões de processo'!O175</f>
        <v>0</v>
      </c>
      <c r="Q118" s="649">
        <f t="shared" si="2"/>
        <v>0</v>
      </c>
      <c r="R118" s="22">
        <f t="shared" si="3"/>
        <v>0</v>
      </c>
      <c r="S118" s="22" t="str">
        <f t="shared" si="4"/>
        <v/>
      </c>
      <c r="T118" s="22">
        <f t="shared" si="5"/>
        <v>0</v>
      </c>
      <c r="U118" s="22" t="str">
        <f t="shared" si="8"/>
        <v>00</v>
      </c>
      <c r="V118" s="22">
        <f t="shared" si="6"/>
        <v>0</v>
      </c>
      <c r="W118" s="649">
        <f t="shared" si="7"/>
        <v>0</v>
      </c>
      <c r="X118" s="22">
        <f t="shared" si="9"/>
        <v>0</v>
      </c>
      <c r="Y118" s="22">
        <f t="shared" si="10"/>
        <v>0</v>
      </c>
      <c r="Z118" s="107">
        <f t="shared" si="14"/>
        <v>0</v>
      </c>
      <c r="AA118" s="107">
        <f t="shared" si="11"/>
        <v>0</v>
      </c>
      <c r="AB118" s="107">
        <f t="shared" si="12"/>
        <v>0</v>
      </c>
      <c r="AC118" s="22">
        <f t="shared" si="13"/>
        <v>0</v>
      </c>
    </row>
    <row r="119" spans="2:29" x14ac:dyDescent="0.25">
      <c r="B119">
        <f>'Outras emissões de processo'!B176</f>
        <v>0</v>
      </c>
      <c r="C119">
        <f>'Outras emissões de processo'!C176</f>
        <v>0</v>
      </c>
      <c r="D119">
        <f>'Outras emissões de processo'!D176</f>
        <v>0</v>
      </c>
      <c r="E119">
        <f>'Outras emissões de processo'!E176</f>
        <v>0</v>
      </c>
      <c r="F119">
        <f>'Outras emissões de processo'!F176</f>
        <v>0</v>
      </c>
      <c r="G119" t="str">
        <f>'Outras emissões de processo'!G176</f>
        <v/>
      </c>
      <c r="H119">
        <f>'Outras emissões de processo'!H176</f>
        <v>0</v>
      </c>
      <c r="I119">
        <f>'Outras emissões de processo'!I176</f>
        <v>0</v>
      </c>
      <c r="J119" t="str">
        <f>'Outras emissões de processo'!J176</f>
        <v/>
      </c>
      <c r="K119">
        <f>'Outras emissões de processo'!K176</f>
        <v>0</v>
      </c>
      <c r="L119">
        <f>'Outras emissões de processo'!L176</f>
        <v>0</v>
      </c>
      <c r="M119">
        <f>'Outras emissões de processo'!M176</f>
        <v>0</v>
      </c>
      <c r="N119">
        <f>'Outras emissões de processo'!N176</f>
        <v>0</v>
      </c>
      <c r="O119">
        <f>'Outras emissões de processo'!O176</f>
        <v>0</v>
      </c>
      <c r="Q119" s="649">
        <f t="shared" si="2"/>
        <v>0</v>
      </c>
      <c r="R119" s="22">
        <f t="shared" si="3"/>
        <v>0</v>
      </c>
      <c r="S119" s="22" t="str">
        <f t="shared" si="4"/>
        <v/>
      </c>
      <c r="T119" s="22">
        <f t="shared" si="5"/>
        <v>0</v>
      </c>
      <c r="U119" s="22" t="str">
        <f t="shared" si="8"/>
        <v>00</v>
      </c>
      <c r="V119" s="22">
        <f t="shared" si="6"/>
        <v>0</v>
      </c>
      <c r="W119" s="649">
        <f t="shared" si="7"/>
        <v>0</v>
      </c>
      <c r="X119" s="22">
        <f t="shared" si="9"/>
        <v>0</v>
      </c>
      <c r="Y119" s="22">
        <f t="shared" si="10"/>
        <v>0</v>
      </c>
      <c r="Z119" s="107">
        <f t="shared" si="14"/>
        <v>0</v>
      </c>
      <c r="AA119" s="107">
        <f t="shared" si="11"/>
        <v>0</v>
      </c>
      <c r="AB119" s="107">
        <f t="shared" si="12"/>
        <v>0</v>
      </c>
      <c r="AC119" s="22">
        <f t="shared" si="13"/>
        <v>0</v>
      </c>
    </row>
    <row r="120" spans="2:29" x14ac:dyDescent="0.25">
      <c r="B120">
        <f>'Outras emissões de processo'!B177</f>
        <v>0</v>
      </c>
      <c r="C120">
        <f>'Outras emissões de processo'!C177</f>
        <v>0</v>
      </c>
      <c r="D120">
        <f>'Outras emissões de processo'!D177</f>
        <v>0</v>
      </c>
      <c r="E120">
        <f>'Outras emissões de processo'!E177</f>
        <v>0</v>
      </c>
      <c r="F120">
        <f>'Outras emissões de processo'!F177</f>
        <v>0</v>
      </c>
      <c r="G120" t="str">
        <f>'Outras emissões de processo'!G177</f>
        <v/>
      </c>
      <c r="H120">
        <f>'Outras emissões de processo'!H177</f>
        <v>0</v>
      </c>
      <c r="I120">
        <f>'Outras emissões de processo'!I177</f>
        <v>0</v>
      </c>
      <c r="J120" t="str">
        <f>'Outras emissões de processo'!J177</f>
        <v/>
      </c>
      <c r="K120">
        <f>'Outras emissões de processo'!K177</f>
        <v>0</v>
      </c>
      <c r="L120">
        <f>'Outras emissões de processo'!L177</f>
        <v>0</v>
      </c>
      <c r="M120">
        <f>'Outras emissões de processo'!M177</f>
        <v>0</v>
      </c>
      <c r="N120">
        <f>'Outras emissões de processo'!N177</f>
        <v>0</v>
      </c>
      <c r="O120">
        <f>'Outras emissões de processo'!O177</f>
        <v>0</v>
      </c>
      <c r="Q120" s="649">
        <f t="shared" si="2"/>
        <v>0</v>
      </c>
      <c r="R120" s="22">
        <f t="shared" si="3"/>
        <v>0</v>
      </c>
      <c r="S120" s="22" t="str">
        <f t="shared" si="4"/>
        <v/>
      </c>
      <c r="T120" s="22">
        <f t="shared" si="5"/>
        <v>0</v>
      </c>
      <c r="U120" s="22" t="str">
        <f t="shared" si="8"/>
        <v>00</v>
      </c>
      <c r="V120" s="22">
        <f t="shared" si="6"/>
        <v>0</v>
      </c>
      <c r="W120" s="649">
        <f t="shared" si="7"/>
        <v>0</v>
      </c>
      <c r="X120" s="22">
        <f t="shared" si="9"/>
        <v>0</v>
      </c>
      <c r="Y120" s="22">
        <f t="shared" si="10"/>
        <v>0</v>
      </c>
      <c r="Z120" s="107">
        <f t="shared" si="14"/>
        <v>0</v>
      </c>
      <c r="AA120" s="107">
        <f t="shared" si="11"/>
        <v>0</v>
      </c>
      <c r="AB120" s="107">
        <f t="shared" si="12"/>
        <v>0</v>
      </c>
      <c r="AC120" s="22">
        <f t="shared" si="13"/>
        <v>0</v>
      </c>
    </row>
    <row r="121" spans="2:29" x14ac:dyDescent="0.25">
      <c r="B121">
        <f>'Outras emissões de processo'!B178</f>
        <v>0</v>
      </c>
      <c r="C121">
        <f>'Outras emissões de processo'!C178</f>
        <v>0</v>
      </c>
      <c r="D121">
        <f>'Outras emissões de processo'!D178</f>
        <v>0</v>
      </c>
      <c r="E121">
        <f>'Outras emissões de processo'!E178</f>
        <v>0</v>
      </c>
      <c r="F121">
        <f>'Outras emissões de processo'!F178</f>
        <v>0</v>
      </c>
      <c r="G121" t="str">
        <f>'Outras emissões de processo'!G178</f>
        <v/>
      </c>
      <c r="H121">
        <f>'Outras emissões de processo'!H178</f>
        <v>0</v>
      </c>
      <c r="I121">
        <f>'Outras emissões de processo'!I178</f>
        <v>0</v>
      </c>
      <c r="J121" t="str">
        <f>'Outras emissões de processo'!J178</f>
        <v/>
      </c>
      <c r="K121">
        <f>'Outras emissões de processo'!K178</f>
        <v>0</v>
      </c>
      <c r="L121">
        <f>'Outras emissões de processo'!L178</f>
        <v>0</v>
      </c>
      <c r="M121">
        <f>'Outras emissões de processo'!M178</f>
        <v>0</v>
      </c>
      <c r="N121">
        <f>'Outras emissões de processo'!N178</f>
        <v>0</v>
      </c>
      <c r="O121">
        <f>'Outras emissões de processo'!O178</f>
        <v>0</v>
      </c>
      <c r="Q121" s="649">
        <f t="shared" si="2"/>
        <v>0</v>
      </c>
      <c r="R121" s="22">
        <f t="shared" si="3"/>
        <v>0</v>
      </c>
      <c r="S121" s="22" t="str">
        <f t="shared" si="4"/>
        <v/>
      </c>
      <c r="T121" s="22">
        <f t="shared" si="5"/>
        <v>0</v>
      </c>
      <c r="U121" s="22" t="str">
        <f t="shared" si="8"/>
        <v>00</v>
      </c>
      <c r="V121" s="22">
        <f t="shared" si="6"/>
        <v>0</v>
      </c>
      <c r="W121" s="649">
        <f t="shared" si="7"/>
        <v>0</v>
      </c>
      <c r="X121" s="22">
        <f t="shared" si="9"/>
        <v>0</v>
      </c>
      <c r="Y121" s="22">
        <f t="shared" si="10"/>
        <v>0</v>
      </c>
      <c r="Z121" s="107">
        <f t="shared" si="14"/>
        <v>0</v>
      </c>
      <c r="AA121" s="107">
        <f t="shared" si="11"/>
        <v>0</v>
      </c>
      <c r="AB121" s="107">
        <f t="shared" si="12"/>
        <v>0</v>
      </c>
      <c r="AC121" s="22">
        <f t="shared" si="13"/>
        <v>0</v>
      </c>
    </row>
    <row r="122" spans="2:29" x14ac:dyDescent="0.25">
      <c r="B122">
        <f>'Outras emissões de processo'!B179</f>
        <v>0</v>
      </c>
      <c r="C122">
        <f>'Outras emissões de processo'!C179</f>
        <v>0</v>
      </c>
      <c r="D122">
        <f>'Outras emissões de processo'!D179</f>
        <v>0</v>
      </c>
      <c r="E122">
        <f>'Outras emissões de processo'!E179</f>
        <v>0</v>
      </c>
      <c r="F122">
        <f>'Outras emissões de processo'!F179</f>
        <v>0</v>
      </c>
      <c r="G122" t="str">
        <f>'Outras emissões de processo'!G179</f>
        <v/>
      </c>
      <c r="H122">
        <f>'Outras emissões de processo'!H179</f>
        <v>0</v>
      </c>
      <c r="I122">
        <f>'Outras emissões de processo'!I179</f>
        <v>0</v>
      </c>
      <c r="J122" t="str">
        <f>'Outras emissões de processo'!J179</f>
        <v/>
      </c>
      <c r="K122">
        <f>'Outras emissões de processo'!K179</f>
        <v>0</v>
      </c>
      <c r="L122">
        <f>'Outras emissões de processo'!L179</f>
        <v>0</v>
      </c>
      <c r="M122">
        <f>'Outras emissões de processo'!M179</f>
        <v>0</v>
      </c>
      <c r="N122">
        <f>'Outras emissões de processo'!N179</f>
        <v>0</v>
      </c>
      <c r="O122">
        <f>'Outras emissões de processo'!O179</f>
        <v>0</v>
      </c>
      <c r="Q122" s="649">
        <f t="shared" si="2"/>
        <v>0</v>
      </c>
      <c r="R122" s="22">
        <f t="shared" si="3"/>
        <v>0</v>
      </c>
      <c r="S122" s="22" t="str">
        <f t="shared" si="4"/>
        <v/>
      </c>
      <c r="T122" s="22">
        <f t="shared" si="5"/>
        <v>0</v>
      </c>
      <c r="U122" s="22" t="str">
        <f t="shared" si="8"/>
        <v>00</v>
      </c>
      <c r="V122" s="22">
        <f t="shared" si="6"/>
        <v>0</v>
      </c>
      <c r="W122" s="649">
        <f t="shared" si="7"/>
        <v>0</v>
      </c>
      <c r="X122" s="22">
        <f t="shared" si="9"/>
        <v>0</v>
      </c>
      <c r="Y122" s="22">
        <f t="shared" si="10"/>
        <v>0</v>
      </c>
      <c r="Z122" s="107">
        <f t="shared" si="14"/>
        <v>0</v>
      </c>
      <c r="AA122" s="107">
        <f t="shared" si="11"/>
        <v>0</v>
      </c>
      <c r="AB122" s="107">
        <f t="shared" si="12"/>
        <v>0</v>
      </c>
      <c r="AC122" s="22">
        <f t="shared" si="13"/>
        <v>0</v>
      </c>
    </row>
    <row r="123" spans="2:29" x14ac:dyDescent="0.25">
      <c r="B123">
        <f>'Outras emissões de processo'!B180</f>
        <v>0</v>
      </c>
      <c r="C123">
        <f>'Outras emissões de processo'!C180</f>
        <v>0</v>
      </c>
      <c r="D123">
        <f>'Outras emissões de processo'!D180</f>
        <v>0</v>
      </c>
      <c r="E123">
        <f>'Outras emissões de processo'!E180</f>
        <v>0</v>
      </c>
      <c r="F123">
        <f>'Outras emissões de processo'!F180</f>
        <v>0</v>
      </c>
      <c r="G123" t="str">
        <f>'Outras emissões de processo'!G180</f>
        <v/>
      </c>
      <c r="H123">
        <f>'Outras emissões de processo'!H180</f>
        <v>0</v>
      </c>
      <c r="I123">
        <f>'Outras emissões de processo'!I180</f>
        <v>0</v>
      </c>
      <c r="J123" t="str">
        <f>'Outras emissões de processo'!J180</f>
        <v/>
      </c>
      <c r="K123">
        <f>'Outras emissões de processo'!K180</f>
        <v>0</v>
      </c>
      <c r="L123">
        <f>'Outras emissões de processo'!L180</f>
        <v>0</v>
      </c>
      <c r="M123">
        <f>'Outras emissões de processo'!M180</f>
        <v>0</v>
      </c>
      <c r="N123">
        <f>'Outras emissões de processo'!N180</f>
        <v>0</v>
      </c>
      <c r="O123">
        <f>'Outras emissões de processo'!O180</f>
        <v>0</v>
      </c>
      <c r="Q123" s="649">
        <f t="shared" si="2"/>
        <v>0</v>
      </c>
      <c r="R123" s="22">
        <f t="shared" si="3"/>
        <v>0</v>
      </c>
      <c r="S123" s="22" t="str">
        <f t="shared" si="4"/>
        <v/>
      </c>
      <c r="T123" s="22">
        <f t="shared" si="5"/>
        <v>0</v>
      </c>
      <c r="U123" s="22" t="str">
        <f t="shared" si="8"/>
        <v>00</v>
      </c>
      <c r="V123" s="22">
        <f t="shared" si="6"/>
        <v>0</v>
      </c>
      <c r="W123" s="649">
        <f t="shared" si="7"/>
        <v>0</v>
      </c>
      <c r="X123" s="22">
        <f t="shared" si="9"/>
        <v>0</v>
      </c>
      <c r="Y123" s="22">
        <f t="shared" si="10"/>
        <v>0</v>
      </c>
      <c r="Z123" s="107">
        <f t="shared" si="14"/>
        <v>0</v>
      </c>
      <c r="AA123" s="107">
        <f t="shared" si="11"/>
        <v>0</v>
      </c>
      <c r="AB123" s="107">
        <f t="shared" si="12"/>
        <v>0</v>
      </c>
      <c r="AC123" s="22">
        <f t="shared" si="13"/>
        <v>0</v>
      </c>
    </row>
    <row r="124" spans="2:29" x14ac:dyDescent="0.25">
      <c r="B124">
        <f>'Outras emissões de processo'!B181</f>
        <v>0</v>
      </c>
      <c r="C124">
        <f>'Outras emissões de processo'!C181</f>
        <v>0</v>
      </c>
      <c r="D124">
        <f>'Outras emissões de processo'!D181</f>
        <v>0</v>
      </c>
      <c r="E124">
        <f>'Outras emissões de processo'!E181</f>
        <v>0</v>
      </c>
      <c r="F124">
        <f>'Outras emissões de processo'!F181</f>
        <v>0</v>
      </c>
      <c r="G124" t="str">
        <f>'Outras emissões de processo'!G181</f>
        <v/>
      </c>
      <c r="H124">
        <f>'Outras emissões de processo'!H181</f>
        <v>0</v>
      </c>
      <c r="I124">
        <f>'Outras emissões de processo'!I181</f>
        <v>0</v>
      </c>
      <c r="J124" t="str">
        <f>'Outras emissões de processo'!J181</f>
        <v/>
      </c>
      <c r="K124">
        <f>'Outras emissões de processo'!K181</f>
        <v>0</v>
      </c>
      <c r="L124">
        <f>'Outras emissões de processo'!L181</f>
        <v>0</v>
      </c>
      <c r="M124">
        <f>'Outras emissões de processo'!M181</f>
        <v>0</v>
      </c>
      <c r="N124">
        <f>'Outras emissões de processo'!N181</f>
        <v>0</v>
      </c>
      <c r="O124">
        <f>'Outras emissões de processo'!O181</f>
        <v>0</v>
      </c>
      <c r="Q124" s="649">
        <f t="shared" si="2"/>
        <v>0</v>
      </c>
      <c r="R124" s="22">
        <f t="shared" si="3"/>
        <v>0</v>
      </c>
      <c r="S124" s="22" t="str">
        <f t="shared" si="4"/>
        <v/>
      </c>
      <c r="T124" s="22">
        <f t="shared" si="5"/>
        <v>0</v>
      </c>
      <c r="U124" s="22" t="str">
        <f t="shared" si="8"/>
        <v>00</v>
      </c>
      <c r="V124" s="22">
        <f t="shared" si="6"/>
        <v>0</v>
      </c>
      <c r="W124" s="649">
        <f t="shared" si="7"/>
        <v>0</v>
      </c>
      <c r="X124" s="22">
        <f t="shared" si="9"/>
        <v>0</v>
      </c>
      <c r="Y124" s="22">
        <f t="shared" si="10"/>
        <v>0</v>
      </c>
      <c r="Z124" s="107">
        <f t="shared" si="14"/>
        <v>0</v>
      </c>
      <c r="AA124" s="107">
        <f t="shared" si="11"/>
        <v>0</v>
      </c>
      <c r="AB124" s="107">
        <f t="shared" si="12"/>
        <v>0</v>
      </c>
      <c r="AC124" s="22">
        <f t="shared" si="13"/>
        <v>0</v>
      </c>
    </row>
    <row r="125" spans="2:29" x14ac:dyDescent="0.25">
      <c r="B125">
        <f>'Outras emissões de processo'!B182</f>
        <v>0</v>
      </c>
      <c r="C125">
        <f>'Outras emissões de processo'!C182</f>
        <v>0</v>
      </c>
      <c r="D125">
        <f>'Outras emissões de processo'!D182</f>
        <v>0</v>
      </c>
      <c r="E125">
        <f>'Outras emissões de processo'!E182</f>
        <v>0</v>
      </c>
      <c r="F125">
        <f>'Outras emissões de processo'!F182</f>
        <v>0</v>
      </c>
      <c r="G125" t="str">
        <f>'Outras emissões de processo'!G182</f>
        <v/>
      </c>
      <c r="H125">
        <f>'Outras emissões de processo'!H182</f>
        <v>0</v>
      </c>
      <c r="I125">
        <f>'Outras emissões de processo'!I182</f>
        <v>0</v>
      </c>
      <c r="J125" t="str">
        <f>'Outras emissões de processo'!J182</f>
        <v/>
      </c>
      <c r="K125">
        <f>'Outras emissões de processo'!K182</f>
        <v>0</v>
      </c>
      <c r="L125">
        <f>'Outras emissões de processo'!L182</f>
        <v>0</v>
      </c>
      <c r="M125">
        <f>'Outras emissões de processo'!M182</f>
        <v>0</v>
      </c>
      <c r="N125">
        <f>'Outras emissões de processo'!N182</f>
        <v>0</v>
      </c>
      <c r="O125">
        <f>'Outras emissões de processo'!O182</f>
        <v>0</v>
      </c>
      <c r="Q125" s="649">
        <f t="shared" si="2"/>
        <v>0</v>
      </c>
      <c r="R125" s="22">
        <f t="shared" si="3"/>
        <v>0</v>
      </c>
      <c r="S125" s="22" t="str">
        <f t="shared" si="4"/>
        <v/>
      </c>
      <c r="T125" s="22">
        <f t="shared" si="5"/>
        <v>0</v>
      </c>
      <c r="U125" s="22" t="str">
        <f t="shared" si="8"/>
        <v>00</v>
      </c>
      <c r="V125" s="22">
        <f t="shared" si="6"/>
        <v>0</v>
      </c>
      <c r="W125" s="649">
        <f t="shared" si="7"/>
        <v>0</v>
      </c>
      <c r="X125" s="22">
        <f t="shared" si="9"/>
        <v>0</v>
      </c>
      <c r="Y125" s="22">
        <f t="shared" si="10"/>
        <v>0</v>
      </c>
      <c r="Z125" s="107">
        <f t="shared" si="14"/>
        <v>0</v>
      </c>
      <c r="AA125" s="107">
        <f t="shared" si="11"/>
        <v>0</v>
      </c>
      <c r="AB125" s="107">
        <f t="shared" si="12"/>
        <v>0</v>
      </c>
      <c r="AC125" s="22">
        <f t="shared" si="13"/>
        <v>0</v>
      </c>
    </row>
    <row r="126" spans="2:29" x14ac:dyDescent="0.25">
      <c r="B126">
        <f>'Outras emissões de processo'!B183</f>
        <v>0</v>
      </c>
      <c r="C126">
        <f>'Outras emissões de processo'!C183</f>
        <v>0</v>
      </c>
      <c r="D126">
        <f>'Outras emissões de processo'!D183</f>
        <v>0</v>
      </c>
      <c r="E126">
        <f>'Outras emissões de processo'!E183</f>
        <v>0</v>
      </c>
      <c r="F126">
        <f>'Outras emissões de processo'!F183</f>
        <v>0</v>
      </c>
      <c r="G126" t="str">
        <f>'Outras emissões de processo'!G183</f>
        <v/>
      </c>
      <c r="H126">
        <f>'Outras emissões de processo'!H183</f>
        <v>0</v>
      </c>
      <c r="I126">
        <f>'Outras emissões de processo'!I183</f>
        <v>0</v>
      </c>
      <c r="J126" t="str">
        <f>'Outras emissões de processo'!J183</f>
        <v/>
      </c>
      <c r="K126">
        <f>'Outras emissões de processo'!K183</f>
        <v>0</v>
      </c>
      <c r="L126">
        <f>'Outras emissões de processo'!L183</f>
        <v>0</v>
      </c>
      <c r="M126">
        <f>'Outras emissões de processo'!M183</f>
        <v>0</v>
      </c>
      <c r="N126">
        <f>'Outras emissões de processo'!N183</f>
        <v>0</v>
      </c>
      <c r="O126">
        <f>'Outras emissões de processo'!O183</f>
        <v>0</v>
      </c>
      <c r="Q126" s="649">
        <f t="shared" si="2"/>
        <v>0</v>
      </c>
      <c r="R126" s="22">
        <f t="shared" si="3"/>
        <v>0</v>
      </c>
      <c r="S126" s="22" t="str">
        <f t="shared" si="4"/>
        <v/>
      </c>
      <c r="T126" s="22">
        <f t="shared" si="5"/>
        <v>0</v>
      </c>
      <c r="U126" s="22" t="str">
        <f t="shared" si="8"/>
        <v>00</v>
      </c>
      <c r="V126" s="22">
        <f t="shared" si="6"/>
        <v>0</v>
      </c>
      <c r="W126" s="649">
        <f t="shared" si="7"/>
        <v>0</v>
      </c>
      <c r="X126" s="22">
        <f t="shared" si="9"/>
        <v>0</v>
      </c>
      <c r="Y126" s="22">
        <f t="shared" si="10"/>
        <v>0</v>
      </c>
      <c r="Z126" s="107">
        <f t="shared" si="14"/>
        <v>0</v>
      </c>
      <c r="AA126" s="107">
        <f t="shared" si="11"/>
        <v>0</v>
      </c>
      <c r="AB126" s="107">
        <f t="shared" si="12"/>
        <v>0</v>
      </c>
      <c r="AC126" s="22">
        <f t="shared" si="13"/>
        <v>0</v>
      </c>
    </row>
    <row r="127" spans="2:29" x14ac:dyDescent="0.25">
      <c r="B127">
        <f>'Outras emissões de processo'!B184</f>
        <v>0</v>
      </c>
      <c r="C127">
        <f>'Outras emissões de processo'!C184</f>
        <v>0</v>
      </c>
      <c r="D127">
        <f>'Outras emissões de processo'!D184</f>
        <v>0</v>
      </c>
      <c r="E127">
        <f>'Outras emissões de processo'!E184</f>
        <v>0</v>
      </c>
      <c r="F127">
        <f>'Outras emissões de processo'!F184</f>
        <v>0</v>
      </c>
      <c r="G127" t="str">
        <f>'Outras emissões de processo'!G184</f>
        <v/>
      </c>
      <c r="H127">
        <f>'Outras emissões de processo'!H184</f>
        <v>0</v>
      </c>
      <c r="I127">
        <f>'Outras emissões de processo'!I184</f>
        <v>0</v>
      </c>
      <c r="J127" t="str">
        <f>'Outras emissões de processo'!J184</f>
        <v/>
      </c>
      <c r="K127">
        <f>'Outras emissões de processo'!K184</f>
        <v>0</v>
      </c>
      <c r="L127">
        <f>'Outras emissões de processo'!L184</f>
        <v>0</v>
      </c>
      <c r="M127">
        <f>'Outras emissões de processo'!M184</f>
        <v>0</v>
      </c>
      <c r="N127">
        <f>'Outras emissões de processo'!N184</f>
        <v>0</v>
      </c>
      <c r="O127">
        <f>'Outras emissões de processo'!O184</f>
        <v>0</v>
      </c>
      <c r="Q127" s="649">
        <f t="shared" si="2"/>
        <v>0</v>
      </c>
      <c r="R127" s="22">
        <f t="shared" si="3"/>
        <v>0</v>
      </c>
      <c r="S127" s="22" t="str">
        <f t="shared" si="4"/>
        <v/>
      </c>
      <c r="T127" s="22">
        <f t="shared" si="5"/>
        <v>0</v>
      </c>
      <c r="U127" s="22" t="str">
        <f t="shared" si="8"/>
        <v>00</v>
      </c>
      <c r="V127" s="22">
        <f t="shared" si="6"/>
        <v>0</v>
      </c>
      <c r="W127" s="649">
        <f t="shared" si="7"/>
        <v>0</v>
      </c>
      <c r="X127" s="22">
        <f t="shared" si="9"/>
        <v>0</v>
      </c>
      <c r="Y127" s="22">
        <f t="shared" si="10"/>
        <v>0</v>
      </c>
      <c r="Z127" s="107">
        <f t="shared" si="14"/>
        <v>0</v>
      </c>
      <c r="AA127" s="107">
        <f t="shared" si="11"/>
        <v>0</v>
      </c>
      <c r="AB127" s="107">
        <f t="shared" si="12"/>
        <v>0</v>
      </c>
      <c r="AC127" s="22">
        <f t="shared" si="13"/>
        <v>0</v>
      </c>
    </row>
    <row r="128" spans="2:29" x14ac:dyDescent="0.25">
      <c r="B128">
        <f>'Outras emissões de processo'!B185</f>
        <v>0</v>
      </c>
      <c r="C128">
        <f>'Outras emissões de processo'!C185</f>
        <v>0</v>
      </c>
      <c r="D128">
        <f>'Outras emissões de processo'!D185</f>
        <v>0</v>
      </c>
      <c r="E128">
        <f>'Outras emissões de processo'!E185</f>
        <v>0</v>
      </c>
      <c r="F128">
        <f>'Outras emissões de processo'!F185</f>
        <v>0</v>
      </c>
      <c r="G128" t="str">
        <f>'Outras emissões de processo'!G185</f>
        <v/>
      </c>
      <c r="H128">
        <f>'Outras emissões de processo'!H185</f>
        <v>0</v>
      </c>
      <c r="I128">
        <f>'Outras emissões de processo'!I185</f>
        <v>0</v>
      </c>
      <c r="J128" t="str">
        <f>'Outras emissões de processo'!J185</f>
        <v/>
      </c>
      <c r="K128">
        <f>'Outras emissões de processo'!K185</f>
        <v>0</v>
      </c>
      <c r="L128">
        <f>'Outras emissões de processo'!L185</f>
        <v>0</v>
      </c>
      <c r="M128">
        <f>'Outras emissões de processo'!M185</f>
        <v>0</v>
      </c>
      <c r="N128">
        <f>'Outras emissões de processo'!N185</f>
        <v>0</v>
      </c>
      <c r="O128">
        <f>'Outras emissões de processo'!O185</f>
        <v>0</v>
      </c>
      <c r="Q128" s="649">
        <f t="shared" si="2"/>
        <v>0</v>
      </c>
      <c r="R128" s="22">
        <f t="shared" si="3"/>
        <v>0</v>
      </c>
      <c r="S128" s="22" t="str">
        <f t="shared" si="4"/>
        <v/>
      </c>
      <c r="T128" s="22">
        <f t="shared" si="5"/>
        <v>0</v>
      </c>
      <c r="U128" s="22" t="str">
        <f t="shared" si="8"/>
        <v>00</v>
      </c>
      <c r="V128" s="22">
        <f t="shared" si="6"/>
        <v>0</v>
      </c>
      <c r="W128" s="649">
        <f t="shared" si="7"/>
        <v>0</v>
      </c>
      <c r="X128" s="22">
        <f t="shared" si="9"/>
        <v>0</v>
      </c>
      <c r="Y128" s="22">
        <f t="shared" si="10"/>
        <v>0</v>
      </c>
      <c r="Z128" s="107">
        <f t="shared" si="14"/>
        <v>0</v>
      </c>
      <c r="AA128" s="107">
        <f t="shared" si="11"/>
        <v>0</v>
      </c>
      <c r="AB128" s="107">
        <f t="shared" si="12"/>
        <v>0</v>
      </c>
      <c r="AC128" s="22">
        <f t="shared" si="13"/>
        <v>0</v>
      </c>
    </row>
    <row r="129" spans="2:29" x14ac:dyDescent="0.25">
      <c r="B129">
        <f>'Outras emissões de processo'!B186</f>
        <v>0</v>
      </c>
      <c r="C129">
        <f>'Outras emissões de processo'!C186</f>
        <v>0</v>
      </c>
      <c r="D129">
        <f>'Outras emissões de processo'!D186</f>
        <v>0</v>
      </c>
      <c r="E129">
        <f>'Outras emissões de processo'!E186</f>
        <v>0</v>
      </c>
      <c r="F129">
        <f>'Outras emissões de processo'!F186</f>
        <v>0</v>
      </c>
      <c r="G129" t="str">
        <f>'Outras emissões de processo'!G186</f>
        <v/>
      </c>
      <c r="H129">
        <f>'Outras emissões de processo'!H186</f>
        <v>0</v>
      </c>
      <c r="I129">
        <f>'Outras emissões de processo'!I186</f>
        <v>0</v>
      </c>
      <c r="J129" t="str">
        <f>'Outras emissões de processo'!J186</f>
        <v/>
      </c>
      <c r="K129">
        <f>'Outras emissões de processo'!K186</f>
        <v>0</v>
      </c>
      <c r="L129">
        <f>'Outras emissões de processo'!L186</f>
        <v>0</v>
      </c>
      <c r="M129">
        <f>'Outras emissões de processo'!M186</f>
        <v>0</v>
      </c>
      <c r="N129">
        <f>'Outras emissões de processo'!N186</f>
        <v>0</v>
      </c>
      <c r="O129">
        <f>'Outras emissões de processo'!O186</f>
        <v>0</v>
      </c>
      <c r="Q129" s="649">
        <f t="shared" si="2"/>
        <v>0</v>
      </c>
      <c r="R129" s="22">
        <f t="shared" si="3"/>
        <v>0</v>
      </c>
      <c r="S129" s="22" t="str">
        <f t="shared" si="4"/>
        <v/>
      </c>
      <c r="T129" s="22">
        <f t="shared" si="5"/>
        <v>0</v>
      </c>
      <c r="U129" s="22" t="str">
        <f t="shared" si="8"/>
        <v>00</v>
      </c>
      <c r="V129" s="22">
        <f t="shared" si="6"/>
        <v>0</v>
      </c>
      <c r="W129" s="649">
        <f t="shared" si="7"/>
        <v>0</v>
      </c>
      <c r="X129" s="22">
        <f t="shared" si="9"/>
        <v>0</v>
      </c>
      <c r="Y129" s="22">
        <f t="shared" si="10"/>
        <v>0</v>
      </c>
      <c r="Z129" s="107">
        <f t="shared" si="14"/>
        <v>0</v>
      </c>
      <c r="AA129" s="107">
        <f t="shared" si="11"/>
        <v>0</v>
      </c>
      <c r="AB129" s="107">
        <f t="shared" si="12"/>
        <v>0</v>
      </c>
      <c r="AC129" s="22">
        <f t="shared" si="13"/>
        <v>0</v>
      </c>
    </row>
    <row r="130" spans="2:29" x14ac:dyDescent="0.25">
      <c r="B130">
        <f>'Outras emissões de processo'!B187</f>
        <v>0</v>
      </c>
      <c r="C130">
        <f>'Outras emissões de processo'!C187</f>
        <v>0</v>
      </c>
      <c r="D130">
        <f>'Outras emissões de processo'!D187</f>
        <v>0</v>
      </c>
      <c r="E130">
        <f>'Outras emissões de processo'!E187</f>
        <v>0</v>
      </c>
      <c r="F130">
        <f>'Outras emissões de processo'!F187</f>
        <v>0</v>
      </c>
      <c r="G130" t="str">
        <f>'Outras emissões de processo'!G187</f>
        <v/>
      </c>
      <c r="H130">
        <f>'Outras emissões de processo'!H187</f>
        <v>0</v>
      </c>
      <c r="I130">
        <f>'Outras emissões de processo'!I187</f>
        <v>0</v>
      </c>
      <c r="J130" t="str">
        <f>'Outras emissões de processo'!J187</f>
        <v/>
      </c>
      <c r="K130">
        <f>'Outras emissões de processo'!K187</f>
        <v>0</v>
      </c>
      <c r="L130">
        <f>'Outras emissões de processo'!L187</f>
        <v>0</v>
      </c>
      <c r="M130">
        <f>'Outras emissões de processo'!M187</f>
        <v>0</v>
      </c>
      <c r="N130">
        <f>'Outras emissões de processo'!N187</f>
        <v>0</v>
      </c>
      <c r="O130">
        <f>'Outras emissões de processo'!O187</f>
        <v>0</v>
      </c>
      <c r="Q130" s="649">
        <f t="shared" si="2"/>
        <v>0</v>
      </c>
      <c r="R130" s="22">
        <f t="shared" si="3"/>
        <v>0</v>
      </c>
      <c r="S130" s="22" t="str">
        <f t="shared" si="4"/>
        <v/>
      </c>
      <c r="T130" s="22">
        <f t="shared" si="5"/>
        <v>0</v>
      </c>
      <c r="U130" s="22" t="str">
        <f t="shared" si="8"/>
        <v>00</v>
      </c>
      <c r="V130" s="22">
        <f t="shared" si="6"/>
        <v>0</v>
      </c>
      <c r="W130" s="649">
        <f t="shared" si="7"/>
        <v>0</v>
      </c>
      <c r="X130" s="22">
        <f t="shared" si="9"/>
        <v>0</v>
      </c>
      <c r="Y130" s="22">
        <f t="shared" si="10"/>
        <v>0</v>
      </c>
      <c r="Z130" s="107">
        <f t="shared" si="14"/>
        <v>0</v>
      </c>
      <c r="AA130" s="107">
        <f t="shared" si="11"/>
        <v>0</v>
      </c>
      <c r="AB130" s="107">
        <f t="shared" si="12"/>
        <v>0</v>
      </c>
      <c r="AC130" s="22">
        <f t="shared" si="13"/>
        <v>0</v>
      </c>
    </row>
    <row r="131" spans="2:29" x14ac:dyDescent="0.25">
      <c r="B131">
        <f>'Outras emissões de processo'!B188</f>
        <v>0</v>
      </c>
      <c r="C131">
        <f>'Outras emissões de processo'!C188</f>
        <v>0</v>
      </c>
      <c r="D131">
        <f>'Outras emissões de processo'!D188</f>
        <v>0</v>
      </c>
      <c r="E131">
        <f>'Outras emissões de processo'!E188</f>
        <v>0</v>
      </c>
      <c r="F131">
        <f>'Outras emissões de processo'!F188</f>
        <v>0</v>
      </c>
      <c r="G131" t="str">
        <f>'Outras emissões de processo'!G188</f>
        <v/>
      </c>
      <c r="H131">
        <f>'Outras emissões de processo'!H188</f>
        <v>0</v>
      </c>
      <c r="I131">
        <f>'Outras emissões de processo'!I188</f>
        <v>0</v>
      </c>
      <c r="J131" t="str">
        <f>'Outras emissões de processo'!J188</f>
        <v/>
      </c>
      <c r="K131">
        <f>'Outras emissões de processo'!K188</f>
        <v>0</v>
      </c>
      <c r="L131">
        <f>'Outras emissões de processo'!L188</f>
        <v>0</v>
      </c>
      <c r="M131">
        <f>'Outras emissões de processo'!M188</f>
        <v>0</v>
      </c>
      <c r="N131">
        <f>'Outras emissões de processo'!N188</f>
        <v>0</v>
      </c>
      <c r="O131">
        <f>'Outras emissões de processo'!O188</f>
        <v>0</v>
      </c>
      <c r="Q131" s="649">
        <f t="shared" si="2"/>
        <v>0</v>
      </c>
      <c r="R131" s="22">
        <f t="shared" si="3"/>
        <v>0</v>
      </c>
      <c r="S131" s="22" t="str">
        <f t="shared" si="4"/>
        <v/>
      </c>
      <c r="T131" s="22">
        <f t="shared" si="5"/>
        <v>0</v>
      </c>
      <c r="U131" s="22" t="str">
        <f t="shared" si="8"/>
        <v>00</v>
      </c>
      <c r="V131" s="22">
        <f t="shared" si="6"/>
        <v>0</v>
      </c>
      <c r="W131" s="649">
        <f t="shared" si="7"/>
        <v>0</v>
      </c>
      <c r="X131" s="22">
        <f t="shared" si="9"/>
        <v>0</v>
      </c>
      <c r="Y131" s="22">
        <f t="shared" si="10"/>
        <v>0</v>
      </c>
      <c r="Z131" s="107">
        <f t="shared" si="14"/>
        <v>0</v>
      </c>
      <c r="AA131" s="107">
        <f t="shared" si="11"/>
        <v>0</v>
      </c>
      <c r="AB131" s="107">
        <f t="shared" si="12"/>
        <v>0</v>
      </c>
      <c r="AC131" s="22">
        <f t="shared" si="13"/>
        <v>0</v>
      </c>
    </row>
    <row r="132" spans="2:29" x14ac:dyDescent="0.25">
      <c r="B132">
        <f>'Outras emissões de processo'!B189</f>
        <v>0</v>
      </c>
      <c r="C132">
        <f>'Outras emissões de processo'!C189</f>
        <v>0</v>
      </c>
      <c r="D132">
        <f>'Outras emissões de processo'!D189</f>
        <v>0</v>
      </c>
      <c r="E132">
        <f>'Outras emissões de processo'!E189</f>
        <v>0</v>
      </c>
      <c r="F132">
        <f>'Outras emissões de processo'!F189</f>
        <v>0</v>
      </c>
      <c r="G132" t="str">
        <f>'Outras emissões de processo'!G189</f>
        <v/>
      </c>
      <c r="H132">
        <f>'Outras emissões de processo'!H189</f>
        <v>0</v>
      </c>
      <c r="I132">
        <f>'Outras emissões de processo'!I189</f>
        <v>0</v>
      </c>
      <c r="J132" t="str">
        <f>'Outras emissões de processo'!J189</f>
        <v/>
      </c>
      <c r="K132">
        <f>'Outras emissões de processo'!K189</f>
        <v>0</v>
      </c>
      <c r="L132">
        <f>'Outras emissões de processo'!L189</f>
        <v>0</v>
      </c>
      <c r="M132">
        <f>'Outras emissões de processo'!M189</f>
        <v>0</v>
      </c>
      <c r="N132">
        <f>'Outras emissões de processo'!N189</f>
        <v>0</v>
      </c>
      <c r="O132">
        <f>'Outras emissões de processo'!O189</f>
        <v>0</v>
      </c>
      <c r="Q132" s="649">
        <f t="shared" si="2"/>
        <v>0</v>
      </c>
      <c r="R132" s="22">
        <f t="shared" si="3"/>
        <v>0</v>
      </c>
      <c r="S132" s="22" t="str">
        <f t="shared" si="4"/>
        <v/>
      </c>
      <c r="T132" s="22">
        <f t="shared" si="5"/>
        <v>0</v>
      </c>
      <c r="U132" s="22" t="str">
        <f t="shared" si="8"/>
        <v>00</v>
      </c>
      <c r="V132" s="22">
        <f t="shared" si="6"/>
        <v>0</v>
      </c>
      <c r="W132" s="649">
        <f t="shared" si="7"/>
        <v>0</v>
      </c>
      <c r="X132" s="22">
        <f t="shared" si="9"/>
        <v>0</v>
      </c>
      <c r="Y132" s="22">
        <f t="shared" si="10"/>
        <v>0</v>
      </c>
      <c r="Z132" s="107">
        <f t="shared" si="14"/>
        <v>0</v>
      </c>
      <c r="AA132" s="107">
        <f t="shared" si="11"/>
        <v>0</v>
      </c>
      <c r="AB132" s="107">
        <f t="shared" si="12"/>
        <v>0</v>
      </c>
      <c r="AC132" s="22">
        <f t="shared" si="13"/>
        <v>0</v>
      </c>
    </row>
    <row r="133" spans="2:29" x14ac:dyDescent="0.25">
      <c r="B133">
        <f>'Outras emissões de processo'!B190</f>
        <v>0</v>
      </c>
      <c r="C133">
        <f>'Outras emissões de processo'!C190</f>
        <v>0</v>
      </c>
      <c r="D133">
        <f>'Outras emissões de processo'!D190</f>
        <v>0</v>
      </c>
      <c r="E133">
        <f>'Outras emissões de processo'!E190</f>
        <v>0</v>
      </c>
      <c r="F133">
        <f>'Outras emissões de processo'!F190</f>
        <v>0</v>
      </c>
      <c r="G133" t="str">
        <f>'Outras emissões de processo'!G190</f>
        <v/>
      </c>
      <c r="H133">
        <f>'Outras emissões de processo'!H190</f>
        <v>0</v>
      </c>
      <c r="I133">
        <f>'Outras emissões de processo'!I190</f>
        <v>0</v>
      </c>
      <c r="J133" t="str">
        <f>'Outras emissões de processo'!J190</f>
        <v/>
      </c>
      <c r="K133">
        <f>'Outras emissões de processo'!K190</f>
        <v>0</v>
      </c>
      <c r="L133">
        <f>'Outras emissões de processo'!L190</f>
        <v>0</v>
      </c>
      <c r="M133">
        <f>'Outras emissões de processo'!M190</f>
        <v>0</v>
      </c>
      <c r="N133">
        <f>'Outras emissões de processo'!N190</f>
        <v>0</v>
      </c>
      <c r="O133">
        <f>'Outras emissões de processo'!O190</f>
        <v>0</v>
      </c>
      <c r="Q133" s="649">
        <f t="shared" si="2"/>
        <v>0</v>
      </c>
      <c r="R133" s="22">
        <f t="shared" si="3"/>
        <v>0</v>
      </c>
      <c r="S133" s="22" t="str">
        <f t="shared" si="4"/>
        <v/>
      </c>
      <c r="T133" s="22">
        <f t="shared" si="5"/>
        <v>0</v>
      </c>
      <c r="U133" s="22" t="str">
        <f t="shared" si="8"/>
        <v>00</v>
      </c>
      <c r="V133" s="22">
        <f t="shared" si="6"/>
        <v>0</v>
      </c>
      <c r="W133" s="649">
        <f t="shared" si="7"/>
        <v>0</v>
      </c>
      <c r="X133" s="22">
        <f t="shared" si="9"/>
        <v>0</v>
      </c>
      <c r="Y133" s="22">
        <f t="shared" si="10"/>
        <v>0</v>
      </c>
      <c r="Z133" s="107">
        <f t="shared" si="14"/>
        <v>0</v>
      </c>
      <c r="AA133" s="107">
        <f t="shared" si="11"/>
        <v>0</v>
      </c>
      <c r="AB133" s="107">
        <f t="shared" si="12"/>
        <v>0</v>
      </c>
      <c r="AC133" s="22">
        <f t="shared" si="13"/>
        <v>0</v>
      </c>
    </row>
    <row r="134" spans="2:29" x14ac:dyDescent="0.25">
      <c r="B134">
        <f>'Outras emissões de processo'!B191</f>
        <v>0</v>
      </c>
      <c r="C134">
        <f>'Outras emissões de processo'!C191</f>
        <v>0</v>
      </c>
      <c r="D134">
        <f>'Outras emissões de processo'!D191</f>
        <v>0</v>
      </c>
      <c r="E134">
        <f>'Outras emissões de processo'!E191</f>
        <v>0</v>
      </c>
      <c r="F134">
        <f>'Outras emissões de processo'!F191</f>
        <v>0</v>
      </c>
      <c r="G134" t="str">
        <f>'Outras emissões de processo'!G191</f>
        <v/>
      </c>
      <c r="H134">
        <f>'Outras emissões de processo'!H191</f>
        <v>0</v>
      </c>
      <c r="I134">
        <f>'Outras emissões de processo'!I191</f>
        <v>0</v>
      </c>
      <c r="J134" t="str">
        <f>'Outras emissões de processo'!J191</f>
        <v/>
      </c>
      <c r="K134">
        <f>'Outras emissões de processo'!K191</f>
        <v>0</v>
      </c>
      <c r="L134">
        <f>'Outras emissões de processo'!L191</f>
        <v>0</v>
      </c>
      <c r="M134">
        <f>'Outras emissões de processo'!M191</f>
        <v>0</v>
      </c>
      <c r="N134">
        <f>'Outras emissões de processo'!N191</f>
        <v>0</v>
      </c>
      <c r="O134">
        <f>'Outras emissões de processo'!O191</f>
        <v>0</v>
      </c>
      <c r="Q134" s="649">
        <f t="shared" si="2"/>
        <v>0</v>
      </c>
      <c r="R134" s="22">
        <f t="shared" si="3"/>
        <v>0</v>
      </c>
      <c r="S134" s="22" t="str">
        <f t="shared" si="4"/>
        <v/>
      </c>
      <c r="T134" s="22">
        <f t="shared" si="5"/>
        <v>0</v>
      </c>
      <c r="U134" s="22" t="str">
        <f t="shared" si="8"/>
        <v>00</v>
      </c>
      <c r="V134" s="22">
        <f t="shared" si="6"/>
        <v>0</v>
      </c>
      <c r="W134" s="649">
        <f t="shared" si="7"/>
        <v>0</v>
      </c>
      <c r="X134" s="22">
        <f t="shared" si="9"/>
        <v>0</v>
      </c>
      <c r="Y134" s="22">
        <f t="shared" si="10"/>
        <v>0</v>
      </c>
      <c r="Z134" s="107">
        <f t="shared" si="14"/>
        <v>0</v>
      </c>
      <c r="AA134" s="107">
        <f t="shared" si="11"/>
        <v>0</v>
      </c>
      <c r="AB134" s="107">
        <f t="shared" si="12"/>
        <v>0</v>
      </c>
      <c r="AC134" s="22">
        <f t="shared" si="13"/>
        <v>0</v>
      </c>
    </row>
    <row r="135" spans="2:29" x14ac:dyDescent="0.25">
      <c r="B135">
        <f>'Outras emissões de processo'!B192</f>
        <v>0</v>
      </c>
      <c r="C135">
        <f>'Outras emissões de processo'!C192</f>
        <v>0</v>
      </c>
      <c r="D135">
        <f>'Outras emissões de processo'!D192</f>
        <v>0</v>
      </c>
      <c r="E135">
        <f>'Outras emissões de processo'!E192</f>
        <v>0</v>
      </c>
      <c r="F135">
        <f>'Outras emissões de processo'!F192</f>
        <v>0</v>
      </c>
      <c r="G135" t="str">
        <f>'Outras emissões de processo'!G192</f>
        <v/>
      </c>
      <c r="H135">
        <f>'Outras emissões de processo'!H192</f>
        <v>0</v>
      </c>
      <c r="I135">
        <f>'Outras emissões de processo'!I192</f>
        <v>0</v>
      </c>
      <c r="J135" t="str">
        <f>'Outras emissões de processo'!J192</f>
        <v/>
      </c>
      <c r="K135">
        <f>'Outras emissões de processo'!K192</f>
        <v>0</v>
      </c>
      <c r="L135">
        <f>'Outras emissões de processo'!L192</f>
        <v>0</v>
      </c>
      <c r="M135">
        <f>'Outras emissões de processo'!M192</f>
        <v>0</v>
      </c>
      <c r="N135">
        <f>'Outras emissões de processo'!N192</f>
        <v>0</v>
      </c>
      <c r="O135">
        <f>'Outras emissões de processo'!O192</f>
        <v>0</v>
      </c>
      <c r="Q135" s="649">
        <f t="shared" si="2"/>
        <v>0</v>
      </c>
      <c r="R135" s="22">
        <f t="shared" si="3"/>
        <v>0</v>
      </c>
      <c r="S135" s="22" t="str">
        <f t="shared" si="4"/>
        <v/>
      </c>
      <c r="T135" s="22">
        <f t="shared" si="5"/>
        <v>0</v>
      </c>
      <c r="U135" s="22" t="str">
        <f t="shared" si="8"/>
        <v>00</v>
      </c>
      <c r="V135" s="22">
        <f t="shared" si="6"/>
        <v>0</v>
      </c>
      <c r="W135" s="649">
        <f t="shared" si="7"/>
        <v>0</v>
      </c>
      <c r="X135" s="22">
        <f t="shared" si="9"/>
        <v>0</v>
      </c>
      <c r="Y135" s="22">
        <f t="shared" si="10"/>
        <v>0</v>
      </c>
      <c r="Z135" s="107">
        <f t="shared" si="14"/>
        <v>0</v>
      </c>
      <c r="AA135" s="107">
        <f t="shared" si="11"/>
        <v>0</v>
      </c>
      <c r="AB135" s="107">
        <f t="shared" si="12"/>
        <v>0</v>
      </c>
      <c r="AC135" s="22">
        <f t="shared" si="13"/>
        <v>0</v>
      </c>
    </row>
    <row r="136" spans="2:29" x14ac:dyDescent="0.25">
      <c r="B136">
        <f>'Outras emissões de processo'!B193</f>
        <v>0</v>
      </c>
      <c r="C136">
        <f>'Outras emissões de processo'!C193</f>
        <v>0</v>
      </c>
      <c r="D136">
        <f>'Outras emissões de processo'!D193</f>
        <v>0</v>
      </c>
      <c r="E136">
        <f>'Outras emissões de processo'!E193</f>
        <v>0</v>
      </c>
      <c r="F136">
        <f>'Outras emissões de processo'!F193</f>
        <v>0</v>
      </c>
      <c r="G136" t="str">
        <f>'Outras emissões de processo'!G193</f>
        <v/>
      </c>
      <c r="H136">
        <f>'Outras emissões de processo'!H193</f>
        <v>0</v>
      </c>
      <c r="I136">
        <f>'Outras emissões de processo'!I193</f>
        <v>0</v>
      </c>
      <c r="J136" t="str">
        <f>'Outras emissões de processo'!J193</f>
        <v/>
      </c>
      <c r="K136">
        <f>'Outras emissões de processo'!K193</f>
        <v>0</v>
      </c>
      <c r="L136">
        <f>'Outras emissões de processo'!L193</f>
        <v>0</v>
      </c>
      <c r="M136">
        <f>'Outras emissões de processo'!M193</f>
        <v>0</v>
      </c>
      <c r="N136">
        <f>'Outras emissões de processo'!N193</f>
        <v>0</v>
      </c>
      <c r="O136">
        <f>'Outras emissões de processo'!O193</f>
        <v>0</v>
      </c>
      <c r="Q136" s="649">
        <f t="shared" si="2"/>
        <v>0</v>
      </c>
      <c r="R136" s="22">
        <f t="shared" si="3"/>
        <v>0</v>
      </c>
      <c r="S136" s="22" t="str">
        <f t="shared" si="4"/>
        <v/>
      </c>
      <c r="T136" s="22">
        <f t="shared" si="5"/>
        <v>0</v>
      </c>
      <c r="U136" s="22" t="str">
        <f t="shared" si="8"/>
        <v>00</v>
      </c>
      <c r="V136" s="22">
        <f t="shared" si="6"/>
        <v>0</v>
      </c>
      <c r="W136" s="649">
        <f t="shared" si="7"/>
        <v>0</v>
      </c>
      <c r="X136" s="22">
        <f t="shared" si="9"/>
        <v>0</v>
      </c>
      <c r="Y136" s="22">
        <f t="shared" si="10"/>
        <v>0</v>
      </c>
      <c r="Z136" s="107">
        <f t="shared" si="14"/>
        <v>0</v>
      </c>
      <c r="AA136" s="107">
        <f t="shared" si="11"/>
        <v>0</v>
      </c>
      <c r="AB136" s="107">
        <f t="shared" si="12"/>
        <v>0</v>
      </c>
      <c r="AC136" s="22">
        <f t="shared" si="13"/>
        <v>0</v>
      </c>
    </row>
    <row r="137" spans="2:29" x14ac:dyDescent="0.25">
      <c r="B137">
        <f>'Outras emissões de processo'!B194</f>
        <v>0</v>
      </c>
      <c r="C137">
        <f>'Outras emissões de processo'!C194</f>
        <v>0</v>
      </c>
      <c r="D137">
        <f>'Outras emissões de processo'!D194</f>
        <v>0</v>
      </c>
      <c r="E137">
        <f>'Outras emissões de processo'!E194</f>
        <v>0</v>
      </c>
      <c r="F137">
        <f>'Outras emissões de processo'!F194</f>
        <v>0</v>
      </c>
      <c r="G137" t="str">
        <f>'Outras emissões de processo'!G194</f>
        <v/>
      </c>
      <c r="H137">
        <f>'Outras emissões de processo'!H194</f>
        <v>0</v>
      </c>
      <c r="I137">
        <f>'Outras emissões de processo'!I194</f>
        <v>0</v>
      </c>
      <c r="J137" t="str">
        <f>'Outras emissões de processo'!J194</f>
        <v/>
      </c>
      <c r="K137">
        <f>'Outras emissões de processo'!K194</f>
        <v>0</v>
      </c>
      <c r="L137">
        <f>'Outras emissões de processo'!L194</f>
        <v>0</v>
      </c>
      <c r="M137">
        <f>'Outras emissões de processo'!M194</f>
        <v>0</v>
      </c>
      <c r="N137">
        <f>'Outras emissões de processo'!N194</f>
        <v>0</v>
      </c>
      <c r="O137">
        <f>'Outras emissões de processo'!O194</f>
        <v>0</v>
      </c>
      <c r="Q137" s="649">
        <f t="shared" si="2"/>
        <v>0</v>
      </c>
      <c r="R137" s="22">
        <f t="shared" si="3"/>
        <v>0</v>
      </c>
      <c r="S137" s="22" t="str">
        <f t="shared" si="4"/>
        <v/>
      </c>
      <c r="T137" s="22">
        <f t="shared" si="5"/>
        <v>0</v>
      </c>
      <c r="U137" s="22" t="str">
        <f t="shared" si="8"/>
        <v>00</v>
      </c>
      <c r="V137" s="22">
        <f t="shared" si="6"/>
        <v>0</v>
      </c>
      <c r="W137" s="649">
        <f t="shared" si="7"/>
        <v>0</v>
      </c>
      <c r="X137" s="22">
        <f t="shared" si="9"/>
        <v>0</v>
      </c>
      <c r="Y137" s="22">
        <f t="shared" si="10"/>
        <v>0</v>
      </c>
      <c r="Z137" s="107">
        <f t="shared" si="14"/>
        <v>0</v>
      </c>
      <c r="AA137" s="107">
        <f t="shared" si="11"/>
        <v>0</v>
      </c>
      <c r="AB137" s="107">
        <f t="shared" si="12"/>
        <v>0</v>
      </c>
      <c r="AC137" s="22">
        <f t="shared" si="13"/>
        <v>0</v>
      </c>
    </row>
    <row r="138" spans="2:29" x14ac:dyDescent="0.25">
      <c r="B138">
        <f>'Outras emissões de processo'!B195</f>
        <v>0</v>
      </c>
      <c r="C138">
        <f>'Outras emissões de processo'!C195</f>
        <v>0</v>
      </c>
      <c r="D138">
        <f>'Outras emissões de processo'!D195</f>
        <v>0</v>
      </c>
      <c r="E138">
        <f>'Outras emissões de processo'!E195</f>
        <v>0</v>
      </c>
      <c r="F138">
        <f>'Outras emissões de processo'!F195</f>
        <v>0</v>
      </c>
      <c r="G138" t="str">
        <f>'Outras emissões de processo'!G195</f>
        <v/>
      </c>
      <c r="H138">
        <f>'Outras emissões de processo'!H195</f>
        <v>0</v>
      </c>
      <c r="I138">
        <f>'Outras emissões de processo'!I195</f>
        <v>0</v>
      </c>
      <c r="J138" t="str">
        <f>'Outras emissões de processo'!J195</f>
        <v/>
      </c>
      <c r="K138">
        <f>'Outras emissões de processo'!K195</f>
        <v>0</v>
      </c>
      <c r="L138">
        <f>'Outras emissões de processo'!L195</f>
        <v>0</v>
      </c>
      <c r="M138">
        <f>'Outras emissões de processo'!M195</f>
        <v>0</v>
      </c>
      <c r="N138">
        <f>'Outras emissões de processo'!N195</f>
        <v>0</v>
      </c>
      <c r="O138">
        <f>'Outras emissões de processo'!O195</f>
        <v>0</v>
      </c>
      <c r="Q138" s="649">
        <f t="shared" si="2"/>
        <v>0</v>
      </c>
      <c r="R138" s="22">
        <f t="shared" si="3"/>
        <v>0</v>
      </c>
      <c r="S138" s="22" t="str">
        <f t="shared" si="4"/>
        <v/>
      </c>
      <c r="T138" s="22">
        <f t="shared" si="5"/>
        <v>0</v>
      </c>
      <c r="U138" s="22" t="str">
        <f t="shared" si="8"/>
        <v>00</v>
      </c>
      <c r="V138" s="22">
        <f t="shared" si="6"/>
        <v>0</v>
      </c>
      <c r="W138" s="649">
        <f t="shared" si="7"/>
        <v>0</v>
      </c>
      <c r="X138" s="22">
        <f t="shared" si="9"/>
        <v>0</v>
      </c>
      <c r="Y138" s="22">
        <f t="shared" si="10"/>
        <v>0</v>
      </c>
      <c r="Z138" s="107">
        <f t="shared" si="14"/>
        <v>0</v>
      </c>
      <c r="AA138" s="107">
        <f t="shared" si="11"/>
        <v>0</v>
      </c>
      <c r="AB138" s="107">
        <f t="shared" si="12"/>
        <v>0</v>
      </c>
      <c r="AC138" s="22">
        <f t="shared" si="13"/>
        <v>0</v>
      </c>
    </row>
    <row r="139" spans="2:29" x14ac:dyDescent="0.25">
      <c r="B139">
        <f>'Outras emissões de processo'!B196</f>
        <v>0</v>
      </c>
      <c r="C139">
        <f>'Outras emissões de processo'!C196</f>
        <v>0</v>
      </c>
      <c r="D139">
        <f>'Outras emissões de processo'!D196</f>
        <v>0</v>
      </c>
      <c r="E139">
        <f>'Outras emissões de processo'!E196</f>
        <v>0</v>
      </c>
      <c r="F139">
        <f>'Outras emissões de processo'!F196</f>
        <v>0</v>
      </c>
      <c r="G139" t="str">
        <f>'Outras emissões de processo'!G196</f>
        <v/>
      </c>
      <c r="H139">
        <f>'Outras emissões de processo'!H196</f>
        <v>0</v>
      </c>
      <c r="I139">
        <f>'Outras emissões de processo'!I196</f>
        <v>0</v>
      </c>
      <c r="J139" t="str">
        <f>'Outras emissões de processo'!J196</f>
        <v/>
      </c>
      <c r="K139">
        <f>'Outras emissões de processo'!K196</f>
        <v>0</v>
      </c>
      <c r="L139">
        <f>'Outras emissões de processo'!L196</f>
        <v>0</v>
      </c>
      <c r="M139">
        <f>'Outras emissões de processo'!M196</f>
        <v>0</v>
      </c>
      <c r="N139">
        <f>'Outras emissões de processo'!N196</f>
        <v>0</v>
      </c>
      <c r="O139">
        <f>'Outras emissões de processo'!O196</f>
        <v>0</v>
      </c>
      <c r="Q139" s="649">
        <f t="shared" si="2"/>
        <v>0</v>
      </c>
      <c r="R139" s="22">
        <f t="shared" si="3"/>
        <v>0</v>
      </c>
      <c r="S139" s="22" t="str">
        <f t="shared" si="4"/>
        <v/>
      </c>
      <c r="T139" s="22">
        <f t="shared" si="5"/>
        <v>0</v>
      </c>
      <c r="U139" s="22" t="str">
        <f t="shared" si="8"/>
        <v>00</v>
      </c>
      <c r="V139" s="22">
        <f t="shared" si="6"/>
        <v>0</v>
      </c>
      <c r="W139" s="649">
        <f t="shared" si="7"/>
        <v>0</v>
      </c>
      <c r="X139" s="22">
        <f t="shared" si="9"/>
        <v>0</v>
      </c>
      <c r="Y139" s="22">
        <f t="shared" si="10"/>
        <v>0</v>
      </c>
      <c r="Z139" s="107">
        <f t="shared" si="14"/>
        <v>0</v>
      </c>
      <c r="AA139" s="107">
        <f t="shared" si="11"/>
        <v>0</v>
      </c>
      <c r="AB139" s="107">
        <f t="shared" si="12"/>
        <v>0</v>
      </c>
      <c r="AC139" s="22">
        <f t="shared" si="13"/>
        <v>0</v>
      </c>
    </row>
    <row r="140" spans="2:29" x14ac:dyDescent="0.25">
      <c r="B140">
        <f>'Outras emissões de processo'!B197</f>
        <v>0</v>
      </c>
      <c r="C140">
        <f>'Outras emissões de processo'!C197</f>
        <v>0</v>
      </c>
      <c r="D140">
        <f>'Outras emissões de processo'!D197</f>
        <v>0</v>
      </c>
      <c r="E140">
        <f>'Outras emissões de processo'!E197</f>
        <v>0</v>
      </c>
      <c r="F140">
        <f>'Outras emissões de processo'!F197</f>
        <v>0</v>
      </c>
      <c r="G140" t="str">
        <f>'Outras emissões de processo'!G197</f>
        <v/>
      </c>
      <c r="H140">
        <f>'Outras emissões de processo'!H197</f>
        <v>0</v>
      </c>
      <c r="I140">
        <f>'Outras emissões de processo'!I197</f>
        <v>0</v>
      </c>
      <c r="J140" t="str">
        <f>'Outras emissões de processo'!J197</f>
        <v/>
      </c>
      <c r="K140">
        <f>'Outras emissões de processo'!K197</f>
        <v>0</v>
      </c>
      <c r="L140">
        <f>'Outras emissões de processo'!L197</f>
        <v>0</v>
      </c>
      <c r="M140">
        <f>'Outras emissões de processo'!M197</f>
        <v>0</v>
      </c>
      <c r="N140">
        <f>'Outras emissões de processo'!N197</f>
        <v>0</v>
      </c>
      <c r="O140">
        <f>'Outras emissões de processo'!O197</f>
        <v>0</v>
      </c>
      <c r="Q140" s="649">
        <f t="shared" ref="Q140:Q171" si="15">IF(AND(C140=$E$42,D140="Sim"),I140*F140,0)</f>
        <v>0</v>
      </c>
      <c r="R140" s="22">
        <f t="shared" ref="R140:R171" si="16">IF(AND(C140=$E$42,D140="Não"),VLOOKUP(L140,$B$50:$D$61,2,FALSE),0)</f>
        <v>0</v>
      </c>
      <c r="S140" s="22" t="str">
        <f t="shared" ref="S140:S171" si="17">IF(AND(C140=$E$42,D140="Não"),VLOOKUP(L140,$B$50:$D$61,3,FALSE),"")</f>
        <v/>
      </c>
      <c r="T140" s="22">
        <f t="shared" ref="T140:T171" si="18">IF(AND(C140=$E$42,D140="Não"),S140*O140/245,0)</f>
        <v>0</v>
      </c>
      <c r="U140" s="22" t="str">
        <f t="shared" si="8"/>
        <v>00</v>
      </c>
      <c r="V140" s="22">
        <f t="shared" ref="V140:V171" si="19">IF(AND(C140=$E$42,D140="Não"),VLOOKUP(U140,$H$50:$I$97,2,FALSE),0)</f>
        <v>0</v>
      </c>
      <c r="W140" s="649">
        <f t="shared" ref="W140:W171" si="20">IF(AND(C140=$E$42,D140="Não"),(R140+T140+V140)*N140,0)</f>
        <v>0</v>
      </c>
      <c r="X140" s="22">
        <f t="shared" si="9"/>
        <v>0</v>
      </c>
      <c r="Y140" s="22">
        <f t="shared" si="10"/>
        <v>0</v>
      </c>
      <c r="Z140" s="107">
        <f t="shared" si="14"/>
        <v>0</v>
      </c>
      <c r="AA140" s="107">
        <f t="shared" si="11"/>
        <v>0</v>
      </c>
      <c r="AB140" s="107">
        <f t="shared" si="12"/>
        <v>0</v>
      </c>
      <c r="AC140" s="22">
        <f t="shared" si="13"/>
        <v>0</v>
      </c>
    </row>
    <row r="141" spans="2:29" x14ac:dyDescent="0.25">
      <c r="B141">
        <f>'Outras emissões de processo'!B198</f>
        <v>0</v>
      </c>
      <c r="C141">
        <f>'Outras emissões de processo'!C198</f>
        <v>0</v>
      </c>
      <c r="D141">
        <f>'Outras emissões de processo'!D198</f>
        <v>0</v>
      </c>
      <c r="E141">
        <f>'Outras emissões de processo'!E198</f>
        <v>0</v>
      </c>
      <c r="F141">
        <f>'Outras emissões de processo'!F198</f>
        <v>0</v>
      </c>
      <c r="G141" t="str">
        <f>'Outras emissões de processo'!G198</f>
        <v/>
      </c>
      <c r="H141">
        <f>'Outras emissões de processo'!H198</f>
        <v>0</v>
      </c>
      <c r="I141">
        <f>'Outras emissões de processo'!I198</f>
        <v>0</v>
      </c>
      <c r="J141" t="str">
        <f>'Outras emissões de processo'!J198</f>
        <v/>
      </c>
      <c r="K141">
        <f>'Outras emissões de processo'!K198</f>
        <v>0</v>
      </c>
      <c r="L141">
        <f>'Outras emissões de processo'!L198</f>
        <v>0</v>
      </c>
      <c r="M141">
        <f>'Outras emissões de processo'!M198</f>
        <v>0</v>
      </c>
      <c r="N141">
        <f>'Outras emissões de processo'!N198</f>
        <v>0</v>
      </c>
      <c r="O141">
        <f>'Outras emissões de processo'!O198</f>
        <v>0</v>
      </c>
      <c r="Q141" s="649">
        <f t="shared" si="15"/>
        <v>0</v>
      </c>
      <c r="R141" s="22">
        <f t="shared" si="16"/>
        <v>0</v>
      </c>
      <c r="S141" s="22" t="str">
        <f t="shared" si="17"/>
        <v/>
      </c>
      <c r="T141" s="22">
        <f t="shared" si="18"/>
        <v>0</v>
      </c>
      <c r="U141" s="22" t="str">
        <f t="shared" si="8"/>
        <v>00</v>
      </c>
      <c r="V141" s="22">
        <f t="shared" si="19"/>
        <v>0</v>
      </c>
      <c r="W141" s="649">
        <f t="shared" si="20"/>
        <v>0</v>
      </c>
      <c r="X141" s="22">
        <f t="shared" si="9"/>
        <v>0</v>
      </c>
      <c r="Y141" s="22">
        <f t="shared" si="10"/>
        <v>0</v>
      </c>
      <c r="Z141" s="107">
        <f t="shared" si="14"/>
        <v>0</v>
      </c>
      <c r="AA141" s="107">
        <f t="shared" ref="AA141:AA172" si="21">IF(OR(E141=$L$18,C141=$E$37,C141=$E$40,C141=$E$43),F141*I141,0)</f>
        <v>0</v>
      </c>
      <c r="AB141" s="107">
        <f t="shared" si="12"/>
        <v>0</v>
      </c>
      <c r="AC141" s="22">
        <f t="shared" si="13"/>
        <v>0</v>
      </c>
    </row>
    <row r="142" spans="2:29" x14ac:dyDescent="0.25">
      <c r="B142">
        <f>'Outras emissões de processo'!B199</f>
        <v>0</v>
      </c>
      <c r="C142">
        <f>'Outras emissões de processo'!C199</f>
        <v>0</v>
      </c>
      <c r="D142">
        <f>'Outras emissões de processo'!D199</f>
        <v>0</v>
      </c>
      <c r="E142">
        <f>'Outras emissões de processo'!E199</f>
        <v>0</v>
      </c>
      <c r="F142">
        <f>'Outras emissões de processo'!F199</f>
        <v>0</v>
      </c>
      <c r="G142" t="str">
        <f>'Outras emissões de processo'!G199</f>
        <v/>
      </c>
      <c r="H142">
        <f>'Outras emissões de processo'!H199</f>
        <v>0</v>
      </c>
      <c r="I142">
        <f>'Outras emissões de processo'!I199</f>
        <v>0</v>
      </c>
      <c r="J142" t="str">
        <f>'Outras emissões de processo'!J199</f>
        <v/>
      </c>
      <c r="K142">
        <f>'Outras emissões de processo'!K199</f>
        <v>0</v>
      </c>
      <c r="L142">
        <f>'Outras emissões de processo'!L199</f>
        <v>0</v>
      </c>
      <c r="M142">
        <f>'Outras emissões de processo'!M199</f>
        <v>0</v>
      </c>
      <c r="N142">
        <f>'Outras emissões de processo'!N199</f>
        <v>0</v>
      </c>
      <c r="O142">
        <f>'Outras emissões de processo'!O199</f>
        <v>0</v>
      </c>
      <c r="Q142" s="649">
        <f t="shared" si="15"/>
        <v>0</v>
      </c>
      <c r="R142" s="22">
        <f t="shared" si="16"/>
        <v>0</v>
      </c>
      <c r="S142" s="22" t="str">
        <f t="shared" si="17"/>
        <v/>
      </c>
      <c r="T142" s="22">
        <f t="shared" si="18"/>
        <v>0</v>
      </c>
      <c r="U142" s="22" t="str">
        <f t="shared" si="8"/>
        <v>00</v>
      </c>
      <c r="V142" s="22">
        <f t="shared" si="19"/>
        <v>0</v>
      </c>
      <c r="W142" s="649">
        <f t="shared" si="20"/>
        <v>0</v>
      </c>
      <c r="X142" s="22">
        <f t="shared" si="9"/>
        <v>0</v>
      </c>
      <c r="Y142" s="22">
        <f t="shared" si="10"/>
        <v>0</v>
      </c>
      <c r="Z142" s="107">
        <f t="shared" si="14"/>
        <v>0</v>
      </c>
      <c r="AA142" s="107">
        <f t="shared" si="21"/>
        <v>0</v>
      </c>
      <c r="AB142" s="107">
        <f t="shared" si="12"/>
        <v>0</v>
      </c>
      <c r="AC142" s="22">
        <f t="shared" si="13"/>
        <v>0</v>
      </c>
    </row>
    <row r="143" spans="2:29" x14ac:dyDescent="0.25">
      <c r="B143">
        <f>'Outras emissões de processo'!B200</f>
        <v>0</v>
      </c>
      <c r="C143">
        <f>'Outras emissões de processo'!C200</f>
        <v>0</v>
      </c>
      <c r="D143">
        <f>'Outras emissões de processo'!D200</f>
        <v>0</v>
      </c>
      <c r="E143">
        <f>'Outras emissões de processo'!E200</f>
        <v>0</v>
      </c>
      <c r="F143">
        <f>'Outras emissões de processo'!F200</f>
        <v>0</v>
      </c>
      <c r="G143" t="str">
        <f>'Outras emissões de processo'!G200</f>
        <v/>
      </c>
      <c r="H143">
        <f>'Outras emissões de processo'!H200</f>
        <v>0</v>
      </c>
      <c r="I143">
        <f>'Outras emissões de processo'!I200</f>
        <v>0</v>
      </c>
      <c r="J143" t="str">
        <f>'Outras emissões de processo'!J200</f>
        <v/>
      </c>
      <c r="K143">
        <f>'Outras emissões de processo'!K200</f>
        <v>0</v>
      </c>
      <c r="L143">
        <f>'Outras emissões de processo'!L200</f>
        <v>0</v>
      </c>
      <c r="M143">
        <f>'Outras emissões de processo'!M200</f>
        <v>0</v>
      </c>
      <c r="N143">
        <f>'Outras emissões de processo'!N200</f>
        <v>0</v>
      </c>
      <c r="O143">
        <f>'Outras emissões de processo'!O200</f>
        <v>0</v>
      </c>
      <c r="Q143" s="649">
        <f t="shared" si="15"/>
        <v>0</v>
      </c>
      <c r="R143" s="22">
        <f t="shared" si="16"/>
        <v>0</v>
      </c>
      <c r="S143" s="22" t="str">
        <f t="shared" si="17"/>
        <v/>
      </c>
      <c r="T143" s="22">
        <f t="shared" si="18"/>
        <v>0</v>
      </c>
      <c r="U143" s="22" t="str">
        <f t="shared" si="8"/>
        <v>00</v>
      </c>
      <c r="V143" s="22">
        <f t="shared" si="19"/>
        <v>0</v>
      </c>
      <c r="W143" s="649">
        <f t="shared" si="20"/>
        <v>0</v>
      </c>
      <c r="X143" s="22">
        <f t="shared" si="9"/>
        <v>0</v>
      </c>
      <c r="Y143" s="22">
        <f t="shared" si="10"/>
        <v>0</v>
      </c>
      <c r="Z143" s="107">
        <f t="shared" si="14"/>
        <v>0</v>
      </c>
      <c r="AA143" s="107">
        <f t="shared" si="21"/>
        <v>0</v>
      </c>
      <c r="AB143" s="107">
        <f t="shared" si="12"/>
        <v>0</v>
      </c>
      <c r="AC143" s="22">
        <f t="shared" si="13"/>
        <v>0</v>
      </c>
    </row>
    <row r="144" spans="2:29" x14ac:dyDescent="0.25">
      <c r="B144">
        <f>'Outras emissões de processo'!B201</f>
        <v>0</v>
      </c>
      <c r="C144">
        <f>'Outras emissões de processo'!C201</f>
        <v>0</v>
      </c>
      <c r="D144">
        <f>'Outras emissões de processo'!D201</f>
        <v>0</v>
      </c>
      <c r="E144">
        <f>'Outras emissões de processo'!E201</f>
        <v>0</v>
      </c>
      <c r="F144">
        <f>'Outras emissões de processo'!F201</f>
        <v>0</v>
      </c>
      <c r="G144" t="str">
        <f>'Outras emissões de processo'!G201</f>
        <v/>
      </c>
      <c r="H144">
        <f>'Outras emissões de processo'!H201</f>
        <v>0</v>
      </c>
      <c r="I144">
        <f>'Outras emissões de processo'!I201</f>
        <v>0</v>
      </c>
      <c r="J144" t="str">
        <f>'Outras emissões de processo'!J201</f>
        <v/>
      </c>
      <c r="K144">
        <f>'Outras emissões de processo'!K201</f>
        <v>0</v>
      </c>
      <c r="L144">
        <f>'Outras emissões de processo'!L201</f>
        <v>0</v>
      </c>
      <c r="M144">
        <f>'Outras emissões de processo'!M201</f>
        <v>0</v>
      </c>
      <c r="N144">
        <f>'Outras emissões de processo'!N201</f>
        <v>0</v>
      </c>
      <c r="O144">
        <f>'Outras emissões de processo'!O201</f>
        <v>0</v>
      </c>
      <c r="Q144" s="649">
        <f t="shared" si="15"/>
        <v>0</v>
      </c>
      <c r="R144" s="22">
        <f t="shared" si="16"/>
        <v>0</v>
      </c>
      <c r="S144" s="22" t="str">
        <f t="shared" si="17"/>
        <v/>
      </c>
      <c r="T144" s="22">
        <f t="shared" si="18"/>
        <v>0</v>
      </c>
      <c r="U144" s="22" t="str">
        <f t="shared" si="8"/>
        <v>00</v>
      </c>
      <c r="V144" s="22">
        <f t="shared" si="19"/>
        <v>0</v>
      </c>
      <c r="W144" s="649">
        <f t="shared" si="20"/>
        <v>0</v>
      </c>
      <c r="X144" s="22">
        <f t="shared" si="9"/>
        <v>0</v>
      </c>
      <c r="Y144" s="22">
        <f t="shared" si="10"/>
        <v>0</v>
      </c>
      <c r="Z144" s="107">
        <f t="shared" si="14"/>
        <v>0</v>
      </c>
      <c r="AA144" s="107">
        <f t="shared" si="21"/>
        <v>0</v>
      </c>
      <c r="AB144" s="107">
        <f t="shared" si="12"/>
        <v>0</v>
      </c>
      <c r="AC144" s="22">
        <f t="shared" si="13"/>
        <v>0</v>
      </c>
    </row>
    <row r="145" spans="2:29" x14ac:dyDescent="0.25">
      <c r="B145">
        <f>'Outras emissões de processo'!B202</f>
        <v>0</v>
      </c>
      <c r="C145">
        <f>'Outras emissões de processo'!C202</f>
        <v>0</v>
      </c>
      <c r="D145">
        <f>'Outras emissões de processo'!D202</f>
        <v>0</v>
      </c>
      <c r="E145">
        <f>'Outras emissões de processo'!E202</f>
        <v>0</v>
      </c>
      <c r="F145">
        <f>'Outras emissões de processo'!F202</f>
        <v>0</v>
      </c>
      <c r="G145" t="str">
        <f>'Outras emissões de processo'!G202</f>
        <v/>
      </c>
      <c r="H145">
        <f>'Outras emissões de processo'!H202</f>
        <v>0</v>
      </c>
      <c r="I145">
        <f>'Outras emissões de processo'!I202</f>
        <v>0</v>
      </c>
      <c r="J145" t="str">
        <f>'Outras emissões de processo'!J202</f>
        <v/>
      </c>
      <c r="K145">
        <f>'Outras emissões de processo'!K202</f>
        <v>0</v>
      </c>
      <c r="L145">
        <f>'Outras emissões de processo'!L202</f>
        <v>0</v>
      </c>
      <c r="M145">
        <f>'Outras emissões de processo'!M202</f>
        <v>0</v>
      </c>
      <c r="N145">
        <f>'Outras emissões de processo'!N202</f>
        <v>0</v>
      </c>
      <c r="O145">
        <f>'Outras emissões de processo'!O202</f>
        <v>0</v>
      </c>
      <c r="Q145" s="649">
        <f t="shared" si="15"/>
        <v>0</v>
      </c>
      <c r="R145" s="22">
        <f t="shared" si="16"/>
        <v>0</v>
      </c>
      <c r="S145" s="22" t="str">
        <f t="shared" si="17"/>
        <v/>
      </c>
      <c r="T145" s="22">
        <f t="shared" si="18"/>
        <v>0</v>
      </c>
      <c r="U145" s="22" t="str">
        <f t="shared" si="8"/>
        <v>00</v>
      </c>
      <c r="V145" s="22">
        <f t="shared" si="19"/>
        <v>0</v>
      </c>
      <c r="W145" s="649">
        <f t="shared" si="20"/>
        <v>0</v>
      </c>
      <c r="X145" s="22">
        <f t="shared" si="9"/>
        <v>0</v>
      </c>
      <c r="Y145" s="22">
        <f t="shared" si="10"/>
        <v>0</v>
      </c>
      <c r="Z145" s="107">
        <f t="shared" si="14"/>
        <v>0</v>
      </c>
      <c r="AA145" s="107">
        <f t="shared" si="21"/>
        <v>0</v>
      </c>
      <c r="AB145" s="107">
        <f t="shared" si="12"/>
        <v>0</v>
      </c>
      <c r="AC145" s="22">
        <f t="shared" si="13"/>
        <v>0</v>
      </c>
    </row>
    <row r="146" spans="2:29" x14ac:dyDescent="0.25">
      <c r="B146">
        <f>'Outras emissões de processo'!B203</f>
        <v>0</v>
      </c>
      <c r="C146">
        <f>'Outras emissões de processo'!C203</f>
        <v>0</v>
      </c>
      <c r="D146">
        <f>'Outras emissões de processo'!D203</f>
        <v>0</v>
      </c>
      <c r="E146">
        <f>'Outras emissões de processo'!E203</f>
        <v>0</v>
      </c>
      <c r="F146">
        <f>'Outras emissões de processo'!F203</f>
        <v>0</v>
      </c>
      <c r="G146" t="str">
        <f>'Outras emissões de processo'!G203</f>
        <v/>
      </c>
      <c r="H146">
        <f>'Outras emissões de processo'!H203</f>
        <v>0</v>
      </c>
      <c r="I146">
        <f>'Outras emissões de processo'!I203</f>
        <v>0</v>
      </c>
      <c r="J146" t="str">
        <f>'Outras emissões de processo'!J203</f>
        <v/>
      </c>
      <c r="K146">
        <f>'Outras emissões de processo'!K203</f>
        <v>0</v>
      </c>
      <c r="L146">
        <f>'Outras emissões de processo'!L203</f>
        <v>0</v>
      </c>
      <c r="M146">
        <f>'Outras emissões de processo'!M203</f>
        <v>0</v>
      </c>
      <c r="N146">
        <f>'Outras emissões de processo'!N203</f>
        <v>0</v>
      </c>
      <c r="O146">
        <f>'Outras emissões de processo'!O203</f>
        <v>0</v>
      </c>
      <c r="Q146" s="649">
        <f t="shared" si="15"/>
        <v>0</v>
      </c>
      <c r="R146" s="22">
        <f t="shared" si="16"/>
        <v>0</v>
      </c>
      <c r="S146" s="22" t="str">
        <f t="shared" si="17"/>
        <v/>
      </c>
      <c r="T146" s="22">
        <f t="shared" si="18"/>
        <v>0</v>
      </c>
      <c r="U146" s="22" t="str">
        <f t="shared" si="8"/>
        <v>00</v>
      </c>
      <c r="V146" s="22">
        <f t="shared" si="19"/>
        <v>0</v>
      </c>
      <c r="W146" s="649">
        <f t="shared" si="20"/>
        <v>0</v>
      </c>
      <c r="X146" s="22">
        <f t="shared" si="9"/>
        <v>0</v>
      </c>
      <c r="Y146" s="22">
        <f t="shared" si="10"/>
        <v>0</v>
      </c>
      <c r="Z146" s="107">
        <f t="shared" si="14"/>
        <v>0</v>
      </c>
      <c r="AA146" s="107">
        <f t="shared" si="21"/>
        <v>0</v>
      </c>
      <c r="AB146" s="107">
        <f t="shared" si="12"/>
        <v>0</v>
      </c>
      <c r="AC146" s="22">
        <f t="shared" si="13"/>
        <v>0</v>
      </c>
    </row>
    <row r="147" spans="2:29" x14ac:dyDescent="0.25">
      <c r="B147">
        <f>'Outras emissões de processo'!B204</f>
        <v>0</v>
      </c>
      <c r="C147">
        <f>'Outras emissões de processo'!C204</f>
        <v>0</v>
      </c>
      <c r="D147">
        <f>'Outras emissões de processo'!D204</f>
        <v>0</v>
      </c>
      <c r="E147">
        <f>'Outras emissões de processo'!E204</f>
        <v>0</v>
      </c>
      <c r="F147">
        <f>'Outras emissões de processo'!F204</f>
        <v>0</v>
      </c>
      <c r="G147" t="str">
        <f>'Outras emissões de processo'!G204</f>
        <v/>
      </c>
      <c r="H147">
        <f>'Outras emissões de processo'!H204</f>
        <v>0</v>
      </c>
      <c r="I147">
        <f>'Outras emissões de processo'!I204</f>
        <v>0</v>
      </c>
      <c r="J147" t="str">
        <f>'Outras emissões de processo'!J204</f>
        <v/>
      </c>
      <c r="K147">
        <f>'Outras emissões de processo'!K204</f>
        <v>0</v>
      </c>
      <c r="L147">
        <f>'Outras emissões de processo'!L204</f>
        <v>0</v>
      </c>
      <c r="M147">
        <f>'Outras emissões de processo'!M204</f>
        <v>0</v>
      </c>
      <c r="N147">
        <f>'Outras emissões de processo'!N204</f>
        <v>0</v>
      </c>
      <c r="O147">
        <f>'Outras emissões de processo'!O204</f>
        <v>0</v>
      </c>
      <c r="Q147" s="649">
        <f t="shared" si="15"/>
        <v>0</v>
      </c>
      <c r="R147" s="22">
        <f t="shared" si="16"/>
        <v>0</v>
      </c>
      <c r="S147" s="22" t="str">
        <f t="shared" si="17"/>
        <v/>
      </c>
      <c r="T147" s="22">
        <f t="shared" si="18"/>
        <v>0</v>
      </c>
      <c r="U147" s="22" t="str">
        <f t="shared" si="8"/>
        <v>00</v>
      </c>
      <c r="V147" s="22">
        <f t="shared" si="19"/>
        <v>0</v>
      </c>
      <c r="W147" s="649">
        <f t="shared" si="20"/>
        <v>0</v>
      </c>
      <c r="X147" s="22">
        <f t="shared" si="9"/>
        <v>0</v>
      </c>
      <c r="Y147" s="22">
        <f t="shared" si="10"/>
        <v>0</v>
      </c>
      <c r="Z147" s="107">
        <f t="shared" si="14"/>
        <v>0</v>
      </c>
      <c r="AA147" s="107">
        <f t="shared" si="21"/>
        <v>0</v>
      </c>
      <c r="AB147" s="107">
        <f t="shared" si="12"/>
        <v>0</v>
      </c>
      <c r="AC147" s="22">
        <f t="shared" si="13"/>
        <v>0</v>
      </c>
    </row>
    <row r="148" spans="2:29" x14ac:dyDescent="0.25">
      <c r="B148">
        <f>'Outras emissões de processo'!B205</f>
        <v>0</v>
      </c>
      <c r="C148">
        <f>'Outras emissões de processo'!C205</f>
        <v>0</v>
      </c>
      <c r="D148">
        <f>'Outras emissões de processo'!D205</f>
        <v>0</v>
      </c>
      <c r="E148">
        <f>'Outras emissões de processo'!E205</f>
        <v>0</v>
      </c>
      <c r="F148">
        <f>'Outras emissões de processo'!F205</f>
        <v>0</v>
      </c>
      <c r="G148" t="str">
        <f>'Outras emissões de processo'!G205</f>
        <v/>
      </c>
      <c r="H148">
        <f>'Outras emissões de processo'!H205</f>
        <v>0</v>
      </c>
      <c r="I148">
        <f>'Outras emissões de processo'!I205</f>
        <v>0</v>
      </c>
      <c r="J148" t="str">
        <f>'Outras emissões de processo'!J205</f>
        <v/>
      </c>
      <c r="K148">
        <f>'Outras emissões de processo'!K205</f>
        <v>0</v>
      </c>
      <c r="L148">
        <f>'Outras emissões de processo'!L205</f>
        <v>0</v>
      </c>
      <c r="M148">
        <f>'Outras emissões de processo'!M205</f>
        <v>0</v>
      </c>
      <c r="N148">
        <f>'Outras emissões de processo'!N205</f>
        <v>0</v>
      </c>
      <c r="O148">
        <f>'Outras emissões de processo'!O205</f>
        <v>0</v>
      </c>
      <c r="Q148" s="649">
        <f t="shared" si="15"/>
        <v>0</v>
      </c>
      <c r="R148" s="22">
        <f t="shared" si="16"/>
        <v>0</v>
      </c>
      <c r="S148" s="22" t="str">
        <f t="shared" si="17"/>
        <v/>
      </c>
      <c r="T148" s="22">
        <f t="shared" si="18"/>
        <v>0</v>
      </c>
      <c r="U148" s="22" t="str">
        <f t="shared" si="8"/>
        <v>00</v>
      </c>
      <c r="V148" s="22">
        <f t="shared" si="19"/>
        <v>0</v>
      </c>
      <c r="W148" s="649">
        <f t="shared" si="20"/>
        <v>0</v>
      </c>
      <c r="X148" s="22">
        <f t="shared" si="9"/>
        <v>0</v>
      </c>
      <c r="Y148" s="22">
        <f t="shared" si="10"/>
        <v>0</v>
      </c>
      <c r="Z148" s="107">
        <f t="shared" si="14"/>
        <v>0</v>
      </c>
      <c r="AA148" s="107">
        <f t="shared" si="21"/>
        <v>0</v>
      </c>
      <c r="AB148" s="107">
        <f t="shared" si="12"/>
        <v>0</v>
      </c>
      <c r="AC148" s="22">
        <f t="shared" si="13"/>
        <v>0</v>
      </c>
    </row>
    <row r="149" spans="2:29" x14ac:dyDescent="0.25">
      <c r="B149">
        <f>'Outras emissões de processo'!B206</f>
        <v>0</v>
      </c>
      <c r="C149">
        <f>'Outras emissões de processo'!C206</f>
        <v>0</v>
      </c>
      <c r="D149">
        <f>'Outras emissões de processo'!D206</f>
        <v>0</v>
      </c>
      <c r="E149">
        <f>'Outras emissões de processo'!E206</f>
        <v>0</v>
      </c>
      <c r="F149">
        <f>'Outras emissões de processo'!F206</f>
        <v>0</v>
      </c>
      <c r="G149" t="str">
        <f>'Outras emissões de processo'!G206</f>
        <v/>
      </c>
      <c r="H149">
        <f>'Outras emissões de processo'!H206</f>
        <v>0</v>
      </c>
      <c r="I149">
        <f>'Outras emissões de processo'!I206</f>
        <v>0</v>
      </c>
      <c r="J149" t="str">
        <f>'Outras emissões de processo'!J206</f>
        <v/>
      </c>
      <c r="K149">
        <f>'Outras emissões de processo'!K206</f>
        <v>0</v>
      </c>
      <c r="L149">
        <f>'Outras emissões de processo'!L206</f>
        <v>0</v>
      </c>
      <c r="M149">
        <f>'Outras emissões de processo'!M206</f>
        <v>0</v>
      </c>
      <c r="N149">
        <f>'Outras emissões de processo'!N206</f>
        <v>0</v>
      </c>
      <c r="O149">
        <f>'Outras emissões de processo'!O206</f>
        <v>0</v>
      </c>
      <c r="Q149" s="649">
        <f t="shared" si="15"/>
        <v>0</v>
      </c>
      <c r="R149" s="22">
        <f t="shared" si="16"/>
        <v>0</v>
      </c>
      <c r="S149" s="22" t="str">
        <f t="shared" si="17"/>
        <v/>
      </c>
      <c r="T149" s="22">
        <f t="shared" si="18"/>
        <v>0</v>
      </c>
      <c r="U149" s="22" t="str">
        <f t="shared" si="8"/>
        <v>00</v>
      </c>
      <c r="V149" s="22">
        <f t="shared" si="19"/>
        <v>0</v>
      </c>
      <c r="W149" s="649">
        <f t="shared" si="20"/>
        <v>0</v>
      </c>
      <c r="X149" s="22">
        <f t="shared" si="9"/>
        <v>0</v>
      </c>
      <c r="Y149" s="22">
        <f t="shared" si="10"/>
        <v>0</v>
      </c>
      <c r="Z149" s="107">
        <f t="shared" si="14"/>
        <v>0</v>
      </c>
      <c r="AA149" s="107">
        <f t="shared" si="21"/>
        <v>0</v>
      </c>
      <c r="AB149" s="107">
        <f t="shared" si="12"/>
        <v>0</v>
      </c>
      <c r="AC149" s="22">
        <f t="shared" si="13"/>
        <v>0</v>
      </c>
    </row>
    <row r="150" spans="2:29" x14ac:dyDescent="0.25">
      <c r="B150">
        <f>'Outras emissões de processo'!B207</f>
        <v>0</v>
      </c>
      <c r="C150">
        <f>'Outras emissões de processo'!C207</f>
        <v>0</v>
      </c>
      <c r="D150">
        <f>'Outras emissões de processo'!D207</f>
        <v>0</v>
      </c>
      <c r="E150">
        <f>'Outras emissões de processo'!E207</f>
        <v>0</v>
      </c>
      <c r="F150">
        <f>'Outras emissões de processo'!F207</f>
        <v>0</v>
      </c>
      <c r="G150" t="str">
        <f>'Outras emissões de processo'!G207</f>
        <v/>
      </c>
      <c r="H150">
        <f>'Outras emissões de processo'!H207</f>
        <v>0</v>
      </c>
      <c r="I150">
        <f>'Outras emissões de processo'!I207</f>
        <v>0</v>
      </c>
      <c r="J150" t="str">
        <f>'Outras emissões de processo'!J207</f>
        <v/>
      </c>
      <c r="K150">
        <f>'Outras emissões de processo'!K207</f>
        <v>0</v>
      </c>
      <c r="L150">
        <f>'Outras emissões de processo'!L207</f>
        <v>0</v>
      </c>
      <c r="M150">
        <f>'Outras emissões de processo'!M207</f>
        <v>0</v>
      </c>
      <c r="N150">
        <f>'Outras emissões de processo'!N207</f>
        <v>0</v>
      </c>
      <c r="O150">
        <f>'Outras emissões de processo'!O207</f>
        <v>0</v>
      </c>
      <c r="Q150" s="649">
        <f t="shared" si="15"/>
        <v>0</v>
      </c>
      <c r="R150" s="22">
        <f t="shared" si="16"/>
        <v>0</v>
      </c>
      <c r="S150" s="22" t="str">
        <f t="shared" si="17"/>
        <v/>
      </c>
      <c r="T150" s="22">
        <f t="shared" si="18"/>
        <v>0</v>
      </c>
      <c r="U150" s="22" t="str">
        <f t="shared" si="8"/>
        <v>00</v>
      </c>
      <c r="V150" s="22">
        <f t="shared" si="19"/>
        <v>0</v>
      </c>
      <c r="W150" s="649">
        <f t="shared" si="20"/>
        <v>0</v>
      </c>
      <c r="X150" s="22">
        <f t="shared" si="9"/>
        <v>0</v>
      </c>
      <c r="Y150" s="22">
        <f t="shared" si="10"/>
        <v>0</v>
      </c>
      <c r="Z150" s="107">
        <f t="shared" si="14"/>
        <v>0</v>
      </c>
      <c r="AA150" s="107">
        <f t="shared" si="21"/>
        <v>0</v>
      </c>
      <c r="AB150" s="107">
        <f t="shared" si="12"/>
        <v>0</v>
      </c>
      <c r="AC150" s="22">
        <f t="shared" si="13"/>
        <v>0</v>
      </c>
    </row>
    <row r="151" spans="2:29" x14ac:dyDescent="0.25">
      <c r="B151">
        <f>'Outras emissões de processo'!B208</f>
        <v>0</v>
      </c>
      <c r="C151">
        <f>'Outras emissões de processo'!C208</f>
        <v>0</v>
      </c>
      <c r="D151">
        <f>'Outras emissões de processo'!D208</f>
        <v>0</v>
      </c>
      <c r="E151">
        <f>'Outras emissões de processo'!E208</f>
        <v>0</v>
      </c>
      <c r="F151">
        <f>'Outras emissões de processo'!F208</f>
        <v>0</v>
      </c>
      <c r="G151" t="str">
        <f>'Outras emissões de processo'!G208</f>
        <v/>
      </c>
      <c r="H151">
        <f>'Outras emissões de processo'!H208</f>
        <v>0</v>
      </c>
      <c r="I151">
        <f>'Outras emissões de processo'!I208</f>
        <v>0</v>
      </c>
      <c r="J151" t="str">
        <f>'Outras emissões de processo'!J208</f>
        <v/>
      </c>
      <c r="K151">
        <f>'Outras emissões de processo'!K208</f>
        <v>0</v>
      </c>
      <c r="L151">
        <f>'Outras emissões de processo'!L208</f>
        <v>0</v>
      </c>
      <c r="M151">
        <f>'Outras emissões de processo'!M208</f>
        <v>0</v>
      </c>
      <c r="N151">
        <f>'Outras emissões de processo'!N208</f>
        <v>0</v>
      </c>
      <c r="O151">
        <f>'Outras emissões de processo'!O208</f>
        <v>0</v>
      </c>
      <c r="Q151" s="649">
        <f t="shared" si="15"/>
        <v>0</v>
      </c>
      <c r="R151" s="22">
        <f t="shared" si="16"/>
        <v>0</v>
      </c>
      <c r="S151" s="22" t="str">
        <f t="shared" si="17"/>
        <v/>
      </c>
      <c r="T151" s="22">
        <f t="shared" si="18"/>
        <v>0</v>
      </c>
      <c r="U151" s="22" t="str">
        <f t="shared" si="8"/>
        <v>00</v>
      </c>
      <c r="V151" s="22">
        <f t="shared" si="19"/>
        <v>0</v>
      </c>
      <c r="W151" s="649">
        <f t="shared" si="20"/>
        <v>0</v>
      </c>
      <c r="X151" s="22">
        <f t="shared" si="9"/>
        <v>0</v>
      </c>
      <c r="Y151" s="22">
        <f t="shared" si="10"/>
        <v>0</v>
      </c>
      <c r="Z151" s="107">
        <f t="shared" si="14"/>
        <v>0</v>
      </c>
      <c r="AA151" s="107">
        <f t="shared" si="21"/>
        <v>0</v>
      </c>
      <c r="AB151" s="107">
        <f t="shared" si="12"/>
        <v>0</v>
      </c>
      <c r="AC151" s="22">
        <f t="shared" si="13"/>
        <v>0</v>
      </c>
    </row>
    <row r="152" spans="2:29" x14ac:dyDescent="0.25">
      <c r="B152">
        <f>'Outras emissões de processo'!B209</f>
        <v>0</v>
      </c>
      <c r="C152">
        <f>'Outras emissões de processo'!C209</f>
        <v>0</v>
      </c>
      <c r="D152">
        <f>'Outras emissões de processo'!D209</f>
        <v>0</v>
      </c>
      <c r="E152">
        <f>'Outras emissões de processo'!E209</f>
        <v>0</v>
      </c>
      <c r="F152">
        <f>'Outras emissões de processo'!F209</f>
        <v>0</v>
      </c>
      <c r="G152" t="str">
        <f>'Outras emissões de processo'!G209</f>
        <v/>
      </c>
      <c r="H152">
        <f>'Outras emissões de processo'!H209</f>
        <v>0</v>
      </c>
      <c r="I152">
        <f>'Outras emissões de processo'!I209</f>
        <v>0</v>
      </c>
      <c r="J152" t="str">
        <f>'Outras emissões de processo'!J209</f>
        <v/>
      </c>
      <c r="K152">
        <f>'Outras emissões de processo'!K209</f>
        <v>0</v>
      </c>
      <c r="L152">
        <f>'Outras emissões de processo'!L209</f>
        <v>0</v>
      </c>
      <c r="M152">
        <f>'Outras emissões de processo'!M209</f>
        <v>0</v>
      </c>
      <c r="N152">
        <f>'Outras emissões de processo'!N209</f>
        <v>0</v>
      </c>
      <c r="O152">
        <f>'Outras emissões de processo'!O209</f>
        <v>0</v>
      </c>
      <c r="Q152" s="649">
        <f t="shared" si="15"/>
        <v>0</v>
      </c>
      <c r="R152" s="22">
        <f t="shared" si="16"/>
        <v>0</v>
      </c>
      <c r="S152" s="22" t="str">
        <f t="shared" si="17"/>
        <v/>
      </c>
      <c r="T152" s="22">
        <f t="shared" si="18"/>
        <v>0</v>
      </c>
      <c r="U152" s="22" t="str">
        <f t="shared" si="8"/>
        <v>00</v>
      </c>
      <c r="V152" s="22">
        <f t="shared" si="19"/>
        <v>0</v>
      </c>
      <c r="W152" s="649">
        <f t="shared" si="20"/>
        <v>0</v>
      </c>
      <c r="X152" s="22">
        <f t="shared" si="9"/>
        <v>0</v>
      </c>
      <c r="Y152" s="22">
        <f t="shared" si="10"/>
        <v>0</v>
      </c>
      <c r="Z152" s="107">
        <f t="shared" si="14"/>
        <v>0</v>
      </c>
      <c r="AA152" s="107">
        <f t="shared" si="21"/>
        <v>0</v>
      </c>
      <c r="AB152" s="107">
        <f t="shared" si="12"/>
        <v>0</v>
      </c>
      <c r="AC152" s="22">
        <f t="shared" si="13"/>
        <v>0</v>
      </c>
    </row>
    <row r="153" spans="2:29" x14ac:dyDescent="0.25">
      <c r="B153">
        <f>'Outras emissões de processo'!B210</f>
        <v>0</v>
      </c>
      <c r="C153">
        <f>'Outras emissões de processo'!C210</f>
        <v>0</v>
      </c>
      <c r="D153">
        <f>'Outras emissões de processo'!D210</f>
        <v>0</v>
      </c>
      <c r="E153">
        <f>'Outras emissões de processo'!E210</f>
        <v>0</v>
      </c>
      <c r="F153">
        <f>'Outras emissões de processo'!F210</f>
        <v>0</v>
      </c>
      <c r="G153" t="str">
        <f>'Outras emissões de processo'!G210</f>
        <v/>
      </c>
      <c r="H153">
        <f>'Outras emissões de processo'!H210</f>
        <v>0</v>
      </c>
      <c r="I153">
        <f>'Outras emissões de processo'!I210</f>
        <v>0</v>
      </c>
      <c r="J153" t="str">
        <f>'Outras emissões de processo'!J210</f>
        <v/>
      </c>
      <c r="K153">
        <f>'Outras emissões de processo'!K210</f>
        <v>0</v>
      </c>
      <c r="L153">
        <f>'Outras emissões de processo'!L210</f>
        <v>0</v>
      </c>
      <c r="M153">
        <f>'Outras emissões de processo'!M210</f>
        <v>0</v>
      </c>
      <c r="N153">
        <f>'Outras emissões de processo'!N210</f>
        <v>0</v>
      </c>
      <c r="O153">
        <f>'Outras emissões de processo'!O210</f>
        <v>0</v>
      </c>
      <c r="Q153" s="649">
        <f t="shared" si="15"/>
        <v>0</v>
      </c>
      <c r="R153" s="22">
        <f t="shared" si="16"/>
        <v>0</v>
      </c>
      <c r="S153" s="22" t="str">
        <f t="shared" si="17"/>
        <v/>
      </c>
      <c r="T153" s="22">
        <f t="shared" si="18"/>
        <v>0</v>
      </c>
      <c r="U153" s="22" t="str">
        <f t="shared" si="8"/>
        <v>00</v>
      </c>
      <c r="V153" s="22">
        <f t="shared" si="19"/>
        <v>0</v>
      </c>
      <c r="W153" s="649">
        <f t="shared" si="20"/>
        <v>0</v>
      </c>
      <c r="X153" s="22">
        <f t="shared" si="9"/>
        <v>0</v>
      </c>
      <c r="Y153" s="22">
        <f t="shared" si="10"/>
        <v>0</v>
      </c>
      <c r="Z153" s="107">
        <f t="shared" si="14"/>
        <v>0</v>
      </c>
      <c r="AA153" s="107">
        <f t="shared" si="21"/>
        <v>0</v>
      </c>
      <c r="AB153" s="107">
        <f t="shared" si="12"/>
        <v>0</v>
      </c>
      <c r="AC153" s="22">
        <f t="shared" si="13"/>
        <v>0</v>
      </c>
    </row>
    <row r="154" spans="2:29" x14ac:dyDescent="0.25">
      <c r="B154">
        <f>'Outras emissões de processo'!B211</f>
        <v>0</v>
      </c>
      <c r="C154">
        <f>'Outras emissões de processo'!C211</f>
        <v>0</v>
      </c>
      <c r="D154">
        <f>'Outras emissões de processo'!D211</f>
        <v>0</v>
      </c>
      <c r="E154">
        <f>'Outras emissões de processo'!E211</f>
        <v>0</v>
      </c>
      <c r="F154">
        <f>'Outras emissões de processo'!F211</f>
        <v>0</v>
      </c>
      <c r="G154" t="str">
        <f>'Outras emissões de processo'!G211</f>
        <v/>
      </c>
      <c r="H154">
        <f>'Outras emissões de processo'!H211</f>
        <v>0</v>
      </c>
      <c r="I154">
        <f>'Outras emissões de processo'!I211</f>
        <v>0</v>
      </c>
      <c r="J154" t="str">
        <f>'Outras emissões de processo'!J211</f>
        <v/>
      </c>
      <c r="K154">
        <f>'Outras emissões de processo'!K211</f>
        <v>0</v>
      </c>
      <c r="L154">
        <f>'Outras emissões de processo'!L211</f>
        <v>0</v>
      </c>
      <c r="M154">
        <f>'Outras emissões de processo'!M211</f>
        <v>0</v>
      </c>
      <c r="N154">
        <f>'Outras emissões de processo'!N211</f>
        <v>0</v>
      </c>
      <c r="O154">
        <f>'Outras emissões de processo'!O211</f>
        <v>0</v>
      </c>
      <c r="Q154" s="649">
        <f t="shared" si="15"/>
        <v>0</v>
      </c>
      <c r="R154" s="22">
        <f t="shared" si="16"/>
        <v>0</v>
      </c>
      <c r="S154" s="22" t="str">
        <f t="shared" si="17"/>
        <v/>
      </c>
      <c r="T154" s="22">
        <f t="shared" si="18"/>
        <v>0</v>
      </c>
      <c r="U154" s="22" t="str">
        <f t="shared" si="8"/>
        <v>00</v>
      </c>
      <c r="V154" s="22">
        <f t="shared" si="19"/>
        <v>0</v>
      </c>
      <c r="W154" s="649">
        <f t="shared" si="20"/>
        <v>0</v>
      </c>
      <c r="X154" s="22">
        <f t="shared" si="9"/>
        <v>0</v>
      </c>
      <c r="Y154" s="22">
        <f t="shared" si="10"/>
        <v>0</v>
      </c>
      <c r="Z154" s="107">
        <f t="shared" si="14"/>
        <v>0</v>
      </c>
      <c r="AA154" s="107">
        <f t="shared" si="21"/>
        <v>0</v>
      </c>
      <c r="AB154" s="107">
        <f t="shared" si="12"/>
        <v>0</v>
      </c>
      <c r="AC154" s="22">
        <f t="shared" si="13"/>
        <v>0</v>
      </c>
    </row>
    <row r="155" spans="2:29" x14ac:dyDescent="0.25">
      <c r="B155">
        <f>'Outras emissões de processo'!B212</f>
        <v>0</v>
      </c>
      <c r="C155">
        <f>'Outras emissões de processo'!C212</f>
        <v>0</v>
      </c>
      <c r="D155">
        <f>'Outras emissões de processo'!D212</f>
        <v>0</v>
      </c>
      <c r="E155">
        <f>'Outras emissões de processo'!E212</f>
        <v>0</v>
      </c>
      <c r="F155">
        <f>'Outras emissões de processo'!F212</f>
        <v>0</v>
      </c>
      <c r="G155" t="str">
        <f>'Outras emissões de processo'!G212</f>
        <v/>
      </c>
      <c r="H155">
        <f>'Outras emissões de processo'!H212</f>
        <v>0</v>
      </c>
      <c r="I155">
        <f>'Outras emissões de processo'!I212</f>
        <v>0</v>
      </c>
      <c r="J155" t="str">
        <f>'Outras emissões de processo'!J212</f>
        <v/>
      </c>
      <c r="K155">
        <f>'Outras emissões de processo'!K212</f>
        <v>0</v>
      </c>
      <c r="L155">
        <f>'Outras emissões de processo'!L212</f>
        <v>0</v>
      </c>
      <c r="M155">
        <f>'Outras emissões de processo'!M212</f>
        <v>0</v>
      </c>
      <c r="N155">
        <f>'Outras emissões de processo'!N212</f>
        <v>0</v>
      </c>
      <c r="O155">
        <f>'Outras emissões de processo'!O212</f>
        <v>0</v>
      </c>
      <c r="Q155" s="649">
        <f t="shared" si="15"/>
        <v>0</v>
      </c>
      <c r="R155" s="22">
        <f t="shared" si="16"/>
        <v>0</v>
      </c>
      <c r="S155" s="22" t="str">
        <f t="shared" si="17"/>
        <v/>
      </c>
      <c r="T155" s="22">
        <f t="shared" si="18"/>
        <v>0</v>
      </c>
      <c r="U155" s="22" t="str">
        <f t="shared" si="8"/>
        <v>00</v>
      </c>
      <c r="V155" s="22">
        <f t="shared" si="19"/>
        <v>0</v>
      </c>
      <c r="W155" s="649">
        <f t="shared" si="20"/>
        <v>0</v>
      </c>
      <c r="X155" s="22">
        <f t="shared" si="9"/>
        <v>0</v>
      </c>
      <c r="Y155" s="22">
        <f t="shared" si="10"/>
        <v>0</v>
      </c>
      <c r="Z155" s="107">
        <f t="shared" si="14"/>
        <v>0</v>
      </c>
      <c r="AA155" s="107">
        <f t="shared" si="21"/>
        <v>0</v>
      </c>
      <c r="AB155" s="107">
        <f t="shared" si="12"/>
        <v>0</v>
      </c>
      <c r="AC155" s="22">
        <f t="shared" si="13"/>
        <v>0</v>
      </c>
    </row>
    <row r="156" spans="2:29" x14ac:dyDescent="0.25">
      <c r="B156">
        <f>'Outras emissões de processo'!B213</f>
        <v>0</v>
      </c>
      <c r="C156">
        <f>'Outras emissões de processo'!C213</f>
        <v>0</v>
      </c>
      <c r="D156">
        <f>'Outras emissões de processo'!D213</f>
        <v>0</v>
      </c>
      <c r="E156">
        <f>'Outras emissões de processo'!E213</f>
        <v>0</v>
      </c>
      <c r="F156">
        <f>'Outras emissões de processo'!F213</f>
        <v>0</v>
      </c>
      <c r="G156" t="str">
        <f>'Outras emissões de processo'!G213</f>
        <v/>
      </c>
      <c r="H156">
        <f>'Outras emissões de processo'!H213</f>
        <v>0</v>
      </c>
      <c r="I156">
        <f>'Outras emissões de processo'!I213</f>
        <v>0</v>
      </c>
      <c r="J156" t="str">
        <f>'Outras emissões de processo'!J213</f>
        <v/>
      </c>
      <c r="K156">
        <f>'Outras emissões de processo'!K213</f>
        <v>0</v>
      </c>
      <c r="L156">
        <f>'Outras emissões de processo'!L213</f>
        <v>0</v>
      </c>
      <c r="M156">
        <f>'Outras emissões de processo'!M213</f>
        <v>0</v>
      </c>
      <c r="N156">
        <f>'Outras emissões de processo'!N213</f>
        <v>0</v>
      </c>
      <c r="O156">
        <f>'Outras emissões de processo'!O213</f>
        <v>0</v>
      </c>
      <c r="Q156" s="649">
        <f t="shared" si="15"/>
        <v>0</v>
      </c>
      <c r="R156" s="22">
        <f t="shared" si="16"/>
        <v>0</v>
      </c>
      <c r="S156" s="22" t="str">
        <f t="shared" si="17"/>
        <v/>
      </c>
      <c r="T156" s="22">
        <f t="shared" si="18"/>
        <v>0</v>
      </c>
      <c r="U156" s="22" t="str">
        <f t="shared" si="8"/>
        <v>00</v>
      </c>
      <c r="V156" s="22">
        <f t="shared" si="19"/>
        <v>0</v>
      </c>
      <c r="W156" s="649">
        <f t="shared" si="20"/>
        <v>0</v>
      </c>
      <c r="X156" s="22">
        <f t="shared" si="9"/>
        <v>0</v>
      </c>
      <c r="Y156" s="22">
        <f t="shared" si="10"/>
        <v>0</v>
      </c>
      <c r="Z156" s="107">
        <f t="shared" si="14"/>
        <v>0</v>
      </c>
      <c r="AA156" s="107">
        <f t="shared" si="21"/>
        <v>0</v>
      </c>
      <c r="AB156" s="107">
        <f t="shared" si="12"/>
        <v>0</v>
      </c>
      <c r="AC156" s="22">
        <f t="shared" si="13"/>
        <v>0</v>
      </c>
    </row>
    <row r="157" spans="2:29" x14ac:dyDescent="0.25">
      <c r="B157">
        <f>'Outras emissões de processo'!B214</f>
        <v>0</v>
      </c>
      <c r="C157">
        <f>'Outras emissões de processo'!C214</f>
        <v>0</v>
      </c>
      <c r="D157">
        <f>'Outras emissões de processo'!D214</f>
        <v>0</v>
      </c>
      <c r="E157">
        <f>'Outras emissões de processo'!E214</f>
        <v>0</v>
      </c>
      <c r="F157">
        <f>'Outras emissões de processo'!F214</f>
        <v>0</v>
      </c>
      <c r="G157" t="str">
        <f>'Outras emissões de processo'!G214</f>
        <v/>
      </c>
      <c r="H157">
        <f>'Outras emissões de processo'!H214</f>
        <v>0</v>
      </c>
      <c r="I157">
        <f>'Outras emissões de processo'!I214</f>
        <v>0</v>
      </c>
      <c r="J157" t="str">
        <f>'Outras emissões de processo'!J214</f>
        <v/>
      </c>
      <c r="K157">
        <f>'Outras emissões de processo'!K214</f>
        <v>0</v>
      </c>
      <c r="L157">
        <f>'Outras emissões de processo'!L214</f>
        <v>0</v>
      </c>
      <c r="M157">
        <f>'Outras emissões de processo'!M214</f>
        <v>0</v>
      </c>
      <c r="N157">
        <f>'Outras emissões de processo'!N214</f>
        <v>0</v>
      </c>
      <c r="O157">
        <f>'Outras emissões de processo'!O214</f>
        <v>0</v>
      </c>
      <c r="Q157" s="649">
        <f t="shared" si="15"/>
        <v>0</v>
      </c>
      <c r="R157" s="22">
        <f t="shared" si="16"/>
        <v>0</v>
      </c>
      <c r="S157" s="22" t="str">
        <f t="shared" si="17"/>
        <v/>
      </c>
      <c r="T157" s="22">
        <f t="shared" si="18"/>
        <v>0</v>
      </c>
      <c r="U157" s="22" t="str">
        <f t="shared" si="8"/>
        <v>00</v>
      </c>
      <c r="V157" s="22">
        <f t="shared" si="19"/>
        <v>0</v>
      </c>
      <c r="W157" s="649">
        <f t="shared" si="20"/>
        <v>0</v>
      </c>
      <c r="X157" s="22">
        <f t="shared" si="9"/>
        <v>0</v>
      </c>
      <c r="Y157" s="22">
        <f t="shared" si="10"/>
        <v>0</v>
      </c>
      <c r="Z157" s="107">
        <f t="shared" si="14"/>
        <v>0</v>
      </c>
      <c r="AA157" s="107">
        <f t="shared" si="21"/>
        <v>0</v>
      </c>
      <c r="AB157" s="107">
        <f t="shared" si="12"/>
        <v>0</v>
      </c>
      <c r="AC157" s="22">
        <f t="shared" si="13"/>
        <v>0</v>
      </c>
    </row>
    <row r="158" spans="2:29" x14ac:dyDescent="0.25">
      <c r="B158">
        <f>'Outras emissões de processo'!B215</f>
        <v>0</v>
      </c>
      <c r="C158">
        <f>'Outras emissões de processo'!C215</f>
        <v>0</v>
      </c>
      <c r="D158">
        <f>'Outras emissões de processo'!D215</f>
        <v>0</v>
      </c>
      <c r="E158">
        <f>'Outras emissões de processo'!E215</f>
        <v>0</v>
      </c>
      <c r="F158">
        <f>'Outras emissões de processo'!F215</f>
        <v>0</v>
      </c>
      <c r="G158" t="str">
        <f>'Outras emissões de processo'!G215</f>
        <v/>
      </c>
      <c r="H158">
        <f>'Outras emissões de processo'!H215</f>
        <v>0</v>
      </c>
      <c r="I158">
        <f>'Outras emissões de processo'!I215</f>
        <v>0</v>
      </c>
      <c r="J158" t="str">
        <f>'Outras emissões de processo'!J215</f>
        <v/>
      </c>
      <c r="K158">
        <f>'Outras emissões de processo'!K215</f>
        <v>0</v>
      </c>
      <c r="L158">
        <f>'Outras emissões de processo'!L215</f>
        <v>0</v>
      </c>
      <c r="M158">
        <f>'Outras emissões de processo'!M215</f>
        <v>0</v>
      </c>
      <c r="N158">
        <f>'Outras emissões de processo'!N215</f>
        <v>0</v>
      </c>
      <c r="O158">
        <f>'Outras emissões de processo'!O215</f>
        <v>0</v>
      </c>
      <c r="Q158" s="649">
        <f t="shared" si="15"/>
        <v>0</v>
      </c>
      <c r="R158" s="22">
        <f t="shared" si="16"/>
        <v>0</v>
      </c>
      <c r="S158" s="22" t="str">
        <f t="shared" si="17"/>
        <v/>
      </c>
      <c r="T158" s="22">
        <f t="shared" si="18"/>
        <v>0</v>
      </c>
      <c r="U158" s="22" t="str">
        <f t="shared" si="8"/>
        <v>00</v>
      </c>
      <c r="V158" s="22">
        <f t="shared" si="19"/>
        <v>0</v>
      </c>
      <c r="W158" s="649">
        <f t="shared" si="20"/>
        <v>0</v>
      </c>
      <c r="X158" s="22">
        <f t="shared" si="9"/>
        <v>0</v>
      </c>
      <c r="Y158" s="22">
        <f t="shared" si="10"/>
        <v>0</v>
      </c>
      <c r="Z158" s="107">
        <f t="shared" si="14"/>
        <v>0</v>
      </c>
      <c r="AA158" s="107">
        <f t="shared" si="21"/>
        <v>0</v>
      </c>
      <c r="AB158" s="107">
        <f t="shared" si="12"/>
        <v>0</v>
      </c>
      <c r="AC158" s="22">
        <f t="shared" si="13"/>
        <v>0</v>
      </c>
    </row>
    <row r="159" spans="2:29" x14ac:dyDescent="0.25">
      <c r="B159">
        <f>'Outras emissões de processo'!B216</f>
        <v>0</v>
      </c>
      <c r="C159">
        <f>'Outras emissões de processo'!C216</f>
        <v>0</v>
      </c>
      <c r="D159">
        <f>'Outras emissões de processo'!D216</f>
        <v>0</v>
      </c>
      <c r="E159">
        <f>'Outras emissões de processo'!E216</f>
        <v>0</v>
      </c>
      <c r="F159">
        <f>'Outras emissões de processo'!F216</f>
        <v>0</v>
      </c>
      <c r="G159" t="str">
        <f>'Outras emissões de processo'!G216</f>
        <v/>
      </c>
      <c r="H159">
        <f>'Outras emissões de processo'!H216</f>
        <v>0</v>
      </c>
      <c r="I159">
        <f>'Outras emissões de processo'!I216</f>
        <v>0</v>
      </c>
      <c r="J159" t="str">
        <f>'Outras emissões de processo'!J216</f>
        <v/>
      </c>
      <c r="K159">
        <f>'Outras emissões de processo'!K216</f>
        <v>0</v>
      </c>
      <c r="L159">
        <f>'Outras emissões de processo'!L216</f>
        <v>0</v>
      </c>
      <c r="M159">
        <f>'Outras emissões de processo'!M216</f>
        <v>0</v>
      </c>
      <c r="N159">
        <f>'Outras emissões de processo'!N216</f>
        <v>0</v>
      </c>
      <c r="O159">
        <f>'Outras emissões de processo'!O216</f>
        <v>0</v>
      </c>
      <c r="Q159" s="649">
        <f t="shared" si="15"/>
        <v>0</v>
      </c>
      <c r="R159" s="22">
        <f t="shared" si="16"/>
        <v>0</v>
      </c>
      <c r="S159" s="22" t="str">
        <f t="shared" si="17"/>
        <v/>
      </c>
      <c r="T159" s="22">
        <f t="shared" si="18"/>
        <v>0</v>
      </c>
      <c r="U159" s="22" t="str">
        <f t="shared" si="8"/>
        <v>00</v>
      </c>
      <c r="V159" s="22">
        <f t="shared" si="19"/>
        <v>0</v>
      </c>
      <c r="W159" s="649">
        <f t="shared" si="20"/>
        <v>0</v>
      </c>
      <c r="X159" s="22">
        <f t="shared" si="9"/>
        <v>0</v>
      </c>
      <c r="Y159" s="22">
        <f t="shared" si="10"/>
        <v>0</v>
      </c>
      <c r="Z159" s="107">
        <f t="shared" si="14"/>
        <v>0</v>
      </c>
      <c r="AA159" s="107">
        <f t="shared" si="21"/>
        <v>0</v>
      </c>
      <c r="AB159" s="107">
        <f t="shared" si="12"/>
        <v>0</v>
      </c>
      <c r="AC159" s="22">
        <f t="shared" si="13"/>
        <v>0</v>
      </c>
    </row>
    <row r="160" spans="2:29" x14ac:dyDescent="0.25">
      <c r="B160">
        <f>'Outras emissões de processo'!B217</f>
        <v>0</v>
      </c>
      <c r="C160">
        <f>'Outras emissões de processo'!C217</f>
        <v>0</v>
      </c>
      <c r="D160">
        <f>'Outras emissões de processo'!D217</f>
        <v>0</v>
      </c>
      <c r="E160">
        <f>'Outras emissões de processo'!E217</f>
        <v>0</v>
      </c>
      <c r="F160">
        <f>'Outras emissões de processo'!F217</f>
        <v>0</v>
      </c>
      <c r="G160" t="str">
        <f>'Outras emissões de processo'!G217</f>
        <v/>
      </c>
      <c r="H160">
        <f>'Outras emissões de processo'!H217</f>
        <v>0</v>
      </c>
      <c r="I160">
        <f>'Outras emissões de processo'!I217</f>
        <v>0</v>
      </c>
      <c r="J160" t="str">
        <f>'Outras emissões de processo'!J217</f>
        <v/>
      </c>
      <c r="K160">
        <f>'Outras emissões de processo'!K217</f>
        <v>0</v>
      </c>
      <c r="L160">
        <f>'Outras emissões de processo'!L217</f>
        <v>0</v>
      </c>
      <c r="M160">
        <f>'Outras emissões de processo'!M217</f>
        <v>0</v>
      </c>
      <c r="N160">
        <f>'Outras emissões de processo'!N217</f>
        <v>0</v>
      </c>
      <c r="O160">
        <f>'Outras emissões de processo'!O217</f>
        <v>0</v>
      </c>
      <c r="Q160" s="649">
        <f t="shared" si="15"/>
        <v>0</v>
      </c>
      <c r="R160" s="22">
        <f t="shared" si="16"/>
        <v>0</v>
      </c>
      <c r="S160" s="22" t="str">
        <f t="shared" si="17"/>
        <v/>
      </c>
      <c r="T160" s="22">
        <f t="shared" si="18"/>
        <v>0</v>
      </c>
      <c r="U160" s="22" t="str">
        <f t="shared" si="8"/>
        <v>00</v>
      </c>
      <c r="V160" s="22">
        <f t="shared" si="19"/>
        <v>0</v>
      </c>
      <c r="W160" s="649">
        <f t="shared" si="20"/>
        <v>0</v>
      </c>
      <c r="X160" s="22">
        <f t="shared" si="9"/>
        <v>0</v>
      </c>
      <c r="Y160" s="22">
        <f t="shared" si="10"/>
        <v>0</v>
      </c>
      <c r="Z160" s="107">
        <f t="shared" si="14"/>
        <v>0</v>
      </c>
      <c r="AA160" s="107">
        <f t="shared" si="21"/>
        <v>0</v>
      </c>
      <c r="AB160" s="107">
        <f t="shared" si="12"/>
        <v>0</v>
      </c>
      <c r="AC160" s="22">
        <f t="shared" si="13"/>
        <v>0</v>
      </c>
    </row>
    <row r="161" spans="2:29" x14ac:dyDescent="0.25">
      <c r="B161">
        <f>'Outras emissões de processo'!B218</f>
        <v>0</v>
      </c>
      <c r="C161">
        <f>'Outras emissões de processo'!C218</f>
        <v>0</v>
      </c>
      <c r="D161">
        <f>'Outras emissões de processo'!D218</f>
        <v>0</v>
      </c>
      <c r="E161">
        <f>'Outras emissões de processo'!E218</f>
        <v>0</v>
      </c>
      <c r="F161">
        <f>'Outras emissões de processo'!F218</f>
        <v>0</v>
      </c>
      <c r="G161" t="str">
        <f>'Outras emissões de processo'!G218</f>
        <v/>
      </c>
      <c r="H161">
        <f>'Outras emissões de processo'!H218</f>
        <v>0</v>
      </c>
      <c r="I161">
        <f>'Outras emissões de processo'!I218</f>
        <v>0</v>
      </c>
      <c r="J161" t="str">
        <f>'Outras emissões de processo'!J218</f>
        <v/>
      </c>
      <c r="K161">
        <f>'Outras emissões de processo'!K218</f>
        <v>0</v>
      </c>
      <c r="L161">
        <f>'Outras emissões de processo'!L218</f>
        <v>0</v>
      </c>
      <c r="M161">
        <f>'Outras emissões de processo'!M218</f>
        <v>0</v>
      </c>
      <c r="N161">
        <f>'Outras emissões de processo'!N218</f>
        <v>0</v>
      </c>
      <c r="O161">
        <f>'Outras emissões de processo'!O218</f>
        <v>0</v>
      </c>
      <c r="Q161" s="649">
        <f t="shared" si="15"/>
        <v>0</v>
      </c>
      <c r="R161" s="22">
        <f t="shared" si="16"/>
        <v>0</v>
      </c>
      <c r="S161" s="22" t="str">
        <f t="shared" si="17"/>
        <v/>
      </c>
      <c r="T161" s="22">
        <f t="shared" si="18"/>
        <v>0</v>
      </c>
      <c r="U161" s="22" t="str">
        <f t="shared" si="8"/>
        <v>00</v>
      </c>
      <c r="V161" s="22">
        <f t="shared" si="19"/>
        <v>0</v>
      </c>
      <c r="W161" s="649">
        <f t="shared" si="20"/>
        <v>0</v>
      </c>
      <c r="X161" s="22">
        <f t="shared" si="9"/>
        <v>0</v>
      </c>
      <c r="Y161" s="22">
        <f t="shared" si="10"/>
        <v>0</v>
      </c>
      <c r="Z161" s="107">
        <f t="shared" si="14"/>
        <v>0</v>
      </c>
      <c r="AA161" s="107">
        <f t="shared" si="21"/>
        <v>0</v>
      </c>
      <c r="AB161" s="107">
        <f t="shared" si="12"/>
        <v>0</v>
      </c>
      <c r="AC161" s="22">
        <f t="shared" si="13"/>
        <v>0</v>
      </c>
    </row>
    <row r="162" spans="2:29" x14ac:dyDescent="0.25">
      <c r="B162">
        <f>'Outras emissões de processo'!B219</f>
        <v>0</v>
      </c>
      <c r="C162">
        <f>'Outras emissões de processo'!C219</f>
        <v>0</v>
      </c>
      <c r="D162">
        <f>'Outras emissões de processo'!D219</f>
        <v>0</v>
      </c>
      <c r="E162">
        <f>'Outras emissões de processo'!E219</f>
        <v>0</v>
      </c>
      <c r="F162">
        <f>'Outras emissões de processo'!F219</f>
        <v>0</v>
      </c>
      <c r="G162" t="str">
        <f>'Outras emissões de processo'!G219</f>
        <v/>
      </c>
      <c r="H162">
        <f>'Outras emissões de processo'!H219</f>
        <v>0</v>
      </c>
      <c r="I162">
        <f>'Outras emissões de processo'!I219</f>
        <v>0</v>
      </c>
      <c r="J162" t="str">
        <f>'Outras emissões de processo'!J219</f>
        <v/>
      </c>
      <c r="K162">
        <f>'Outras emissões de processo'!K219</f>
        <v>0</v>
      </c>
      <c r="L162">
        <f>'Outras emissões de processo'!L219</f>
        <v>0</v>
      </c>
      <c r="M162">
        <f>'Outras emissões de processo'!M219</f>
        <v>0</v>
      </c>
      <c r="N162">
        <f>'Outras emissões de processo'!N219</f>
        <v>0</v>
      </c>
      <c r="O162">
        <f>'Outras emissões de processo'!O219</f>
        <v>0</v>
      </c>
      <c r="Q162" s="649">
        <f t="shared" si="15"/>
        <v>0</v>
      </c>
      <c r="R162" s="22">
        <f t="shared" si="16"/>
        <v>0</v>
      </c>
      <c r="S162" s="22" t="str">
        <f t="shared" si="17"/>
        <v/>
      </c>
      <c r="T162" s="22">
        <f t="shared" si="18"/>
        <v>0</v>
      </c>
      <c r="U162" s="22" t="str">
        <f t="shared" si="8"/>
        <v>00</v>
      </c>
      <c r="V162" s="22">
        <f t="shared" si="19"/>
        <v>0</v>
      </c>
      <c r="W162" s="649">
        <f t="shared" si="20"/>
        <v>0</v>
      </c>
      <c r="X162" s="22">
        <f t="shared" si="9"/>
        <v>0</v>
      </c>
      <c r="Y162" s="22">
        <f t="shared" si="10"/>
        <v>0</v>
      </c>
      <c r="Z162" s="107">
        <f t="shared" si="14"/>
        <v>0</v>
      </c>
      <c r="AA162" s="107">
        <f t="shared" si="21"/>
        <v>0</v>
      </c>
      <c r="AB162" s="107">
        <f t="shared" si="12"/>
        <v>0</v>
      </c>
      <c r="AC162" s="22">
        <f t="shared" si="13"/>
        <v>0</v>
      </c>
    </row>
    <row r="163" spans="2:29" x14ac:dyDescent="0.25">
      <c r="B163">
        <f>'Outras emissões de processo'!B220</f>
        <v>0</v>
      </c>
      <c r="C163">
        <f>'Outras emissões de processo'!C220</f>
        <v>0</v>
      </c>
      <c r="D163">
        <f>'Outras emissões de processo'!D220</f>
        <v>0</v>
      </c>
      <c r="E163">
        <f>'Outras emissões de processo'!E220</f>
        <v>0</v>
      </c>
      <c r="F163">
        <f>'Outras emissões de processo'!F220</f>
        <v>0</v>
      </c>
      <c r="G163" t="str">
        <f>'Outras emissões de processo'!G220</f>
        <v/>
      </c>
      <c r="H163">
        <f>'Outras emissões de processo'!H220</f>
        <v>0</v>
      </c>
      <c r="I163">
        <f>'Outras emissões de processo'!I220</f>
        <v>0</v>
      </c>
      <c r="J163" t="str">
        <f>'Outras emissões de processo'!J220</f>
        <v/>
      </c>
      <c r="K163">
        <f>'Outras emissões de processo'!K220</f>
        <v>0</v>
      </c>
      <c r="L163">
        <f>'Outras emissões de processo'!L220</f>
        <v>0</v>
      </c>
      <c r="M163">
        <f>'Outras emissões de processo'!M220</f>
        <v>0</v>
      </c>
      <c r="N163">
        <f>'Outras emissões de processo'!N220</f>
        <v>0</v>
      </c>
      <c r="O163">
        <f>'Outras emissões de processo'!O220</f>
        <v>0</v>
      </c>
      <c r="Q163" s="649">
        <f t="shared" si="15"/>
        <v>0</v>
      </c>
      <c r="R163" s="22">
        <f t="shared" si="16"/>
        <v>0</v>
      </c>
      <c r="S163" s="22" t="str">
        <f t="shared" si="17"/>
        <v/>
      </c>
      <c r="T163" s="22">
        <f t="shared" si="18"/>
        <v>0</v>
      </c>
      <c r="U163" s="22" t="str">
        <f t="shared" si="8"/>
        <v>00</v>
      </c>
      <c r="V163" s="22">
        <f t="shared" si="19"/>
        <v>0</v>
      </c>
      <c r="W163" s="649">
        <f t="shared" si="20"/>
        <v>0</v>
      </c>
      <c r="X163" s="22">
        <f t="shared" si="9"/>
        <v>0</v>
      </c>
      <c r="Y163" s="22">
        <f t="shared" si="10"/>
        <v>0</v>
      </c>
      <c r="Z163" s="107">
        <f t="shared" si="14"/>
        <v>0</v>
      </c>
      <c r="AA163" s="107">
        <f t="shared" si="21"/>
        <v>0</v>
      </c>
      <c r="AB163" s="107">
        <f t="shared" si="12"/>
        <v>0</v>
      </c>
      <c r="AC163" s="22">
        <f t="shared" si="13"/>
        <v>0</v>
      </c>
    </row>
    <row r="164" spans="2:29" x14ac:dyDescent="0.25">
      <c r="B164">
        <f>'Outras emissões de processo'!B221</f>
        <v>0</v>
      </c>
      <c r="C164">
        <f>'Outras emissões de processo'!C221</f>
        <v>0</v>
      </c>
      <c r="D164">
        <f>'Outras emissões de processo'!D221</f>
        <v>0</v>
      </c>
      <c r="E164">
        <f>'Outras emissões de processo'!E221</f>
        <v>0</v>
      </c>
      <c r="F164">
        <f>'Outras emissões de processo'!F221</f>
        <v>0</v>
      </c>
      <c r="G164" t="str">
        <f>'Outras emissões de processo'!G221</f>
        <v/>
      </c>
      <c r="H164">
        <f>'Outras emissões de processo'!H221</f>
        <v>0</v>
      </c>
      <c r="I164">
        <f>'Outras emissões de processo'!I221</f>
        <v>0</v>
      </c>
      <c r="J164" t="str">
        <f>'Outras emissões de processo'!J221</f>
        <v/>
      </c>
      <c r="K164">
        <f>'Outras emissões de processo'!K221</f>
        <v>0</v>
      </c>
      <c r="L164">
        <f>'Outras emissões de processo'!L221</f>
        <v>0</v>
      </c>
      <c r="M164">
        <f>'Outras emissões de processo'!M221</f>
        <v>0</v>
      </c>
      <c r="N164">
        <f>'Outras emissões de processo'!N221</f>
        <v>0</v>
      </c>
      <c r="O164">
        <f>'Outras emissões de processo'!O221</f>
        <v>0</v>
      </c>
      <c r="Q164" s="649">
        <f t="shared" si="15"/>
        <v>0</v>
      </c>
      <c r="R164" s="22">
        <f t="shared" si="16"/>
        <v>0</v>
      </c>
      <c r="S164" s="22" t="str">
        <f t="shared" si="17"/>
        <v/>
      </c>
      <c r="T164" s="22">
        <f t="shared" si="18"/>
        <v>0</v>
      </c>
      <c r="U164" s="22" t="str">
        <f t="shared" si="8"/>
        <v>00</v>
      </c>
      <c r="V164" s="22">
        <f t="shared" si="19"/>
        <v>0</v>
      </c>
      <c r="W164" s="649">
        <f t="shared" si="20"/>
        <v>0</v>
      </c>
      <c r="X164" s="22">
        <f t="shared" si="9"/>
        <v>0</v>
      </c>
      <c r="Y164" s="22">
        <f t="shared" si="10"/>
        <v>0</v>
      </c>
      <c r="Z164" s="107">
        <f t="shared" si="14"/>
        <v>0</v>
      </c>
      <c r="AA164" s="107">
        <f t="shared" si="21"/>
        <v>0</v>
      </c>
      <c r="AB164" s="107">
        <f t="shared" si="12"/>
        <v>0</v>
      </c>
      <c r="AC164" s="22">
        <f t="shared" si="13"/>
        <v>0</v>
      </c>
    </row>
    <row r="165" spans="2:29" x14ac:dyDescent="0.25">
      <c r="B165">
        <f>'Outras emissões de processo'!B222</f>
        <v>0</v>
      </c>
      <c r="C165">
        <f>'Outras emissões de processo'!C222</f>
        <v>0</v>
      </c>
      <c r="D165">
        <f>'Outras emissões de processo'!D222</f>
        <v>0</v>
      </c>
      <c r="E165">
        <f>'Outras emissões de processo'!E222</f>
        <v>0</v>
      </c>
      <c r="F165">
        <f>'Outras emissões de processo'!F222</f>
        <v>0</v>
      </c>
      <c r="G165" t="str">
        <f>'Outras emissões de processo'!G222</f>
        <v/>
      </c>
      <c r="H165">
        <f>'Outras emissões de processo'!H222</f>
        <v>0</v>
      </c>
      <c r="I165">
        <f>'Outras emissões de processo'!I222</f>
        <v>0</v>
      </c>
      <c r="J165" t="str">
        <f>'Outras emissões de processo'!J222</f>
        <v/>
      </c>
      <c r="K165">
        <f>'Outras emissões de processo'!K222</f>
        <v>0</v>
      </c>
      <c r="L165">
        <f>'Outras emissões de processo'!L222</f>
        <v>0</v>
      </c>
      <c r="M165">
        <f>'Outras emissões de processo'!M222</f>
        <v>0</v>
      </c>
      <c r="N165">
        <f>'Outras emissões de processo'!N222</f>
        <v>0</v>
      </c>
      <c r="O165">
        <f>'Outras emissões de processo'!O222</f>
        <v>0</v>
      </c>
      <c r="Q165" s="649">
        <f t="shared" si="15"/>
        <v>0</v>
      </c>
      <c r="R165" s="22">
        <f t="shared" si="16"/>
        <v>0</v>
      </c>
      <c r="S165" s="22" t="str">
        <f t="shared" si="17"/>
        <v/>
      </c>
      <c r="T165" s="22">
        <f t="shared" si="18"/>
        <v>0</v>
      </c>
      <c r="U165" s="22" t="str">
        <f t="shared" si="8"/>
        <v>00</v>
      </c>
      <c r="V165" s="22">
        <f t="shared" si="19"/>
        <v>0</v>
      </c>
      <c r="W165" s="649">
        <f t="shared" si="20"/>
        <v>0</v>
      </c>
      <c r="X165" s="22">
        <f t="shared" si="9"/>
        <v>0</v>
      </c>
      <c r="Y165" s="22">
        <f t="shared" si="10"/>
        <v>0</v>
      </c>
      <c r="Z165" s="107">
        <f t="shared" si="14"/>
        <v>0</v>
      </c>
      <c r="AA165" s="107">
        <f t="shared" si="21"/>
        <v>0</v>
      </c>
      <c r="AB165" s="107">
        <f t="shared" si="12"/>
        <v>0</v>
      </c>
      <c r="AC165" s="22">
        <f t="shared" si="13"/>
        <v>0</v>
      </c>
    </row>
    <row r="166" spans="2:29" x14ac:dyDescent="0.25">
      <c r="B166">
        <f>'Outras emissões de processo'!B223</f>
        <v>0</v>
      </c>
      <c r="C166">
        <f>'Outras emissões de processo'!C223</f>
        <v>0</v>
      </c>
      <c r="D166">
        <f>'Outras emissões de processo'!D223</f>
        <v>0</v>
      </c>
      <c r="E166">
        <f>'Outras emissões de processo'!E223</f>
        <v>0</v>
      </c>
      <c r="F166">
        <f>'Outras emissões de processo'!F223</f>
        <v>0</v>
      </c>
      <c r="G166" t="str">
        <f>'Outras emissões de processo'!G223</f>
        <v/>
      </c>
      <c r="H166">
        <f>'Outras emissões de processo'!H223</f>
        <v>0</v>
      </c>
      <c r="I166">
        <f>'Outras emissões de processo'!I223</f>
        <v>0</v>
      </c>
      <c r="J166" t="str">
        <f>'Outras emissões de processo'!J223</f>
        <v/>
      </c>
      <c r="K166">
        <f>'Outras emissões de processo'!K223</f>
        <v>0</v>
      </c>
      <c r="L166">
        <f>'Outras emissões de processo'!L223</f>
        <v>0</v>
      </c>
      <c r="M166">
        <f>'Outras emissões de processo'!M223</f>
        <v>0</v>
      </c>
      <c r="N166">
        <f>'Outras emissões de processo'!N223</f>
        <v>0</v>
      </c>
      <c r="O166">
        <f>'Outras emissões de processo'!O223</f>
        <v>0</v>
      </c>
      <c r="Q166" s="649">
        <f t="shared" si="15"/>
        <v>0</v>
      </c>
      <c r="R166" s="22">
        <f t="shared" si="16"/>
        <v>0</v>
      </c>
      <c r="S166" s="22" t="str">
        <f t="shared" si="17"/>
        <v/>
      </c>
      <c r="T166" s="22">
        <f t="shared" si="18"/>
        <v>0</v>
      </c>
      <c r="U166" s="22" t="str">
        <f t="shared" si="8"/>
        <v>00</v>
      </c>
      <c r="V166" s="22">
        <f t="shared" si="19"/>
        <v>0</v>
      </c>
      <c r="W166" s="649">
        <f t="shared" si="20"/>
        <v>0</v>
      </c>
      <c r="X166" s="22">
        <f t="shared" si="9"/>
        <v>0</v>
      </c>
      <c r="Y166" s="22">
        <f t="shared" si="10"/>
        <v>0</v>
      </c>
      <c r="Z166" s="107">
        <f t="shared" si="14"/>
        <v>0</v>
      </c>
      <c r="AA166" s="107">
        <f t="shared" si="21"/>
        <v>0</v>
      </c>
      <c r="AB166" s="107">
        <f t="shared" si="12"/>
        <v>0</v>
      </c>
      <c r="AC166" s="22">
        <f t="shared" si="13"/>
        <v>0</v>
      </c>
    </row>
    <row r="167" spans="2:29" x14ac:dyDescent="0.25">
      <c r="B167">
        <f>'Outras emissões de processo'!B224</f>
        <v>0</v>
      </c>
      <c r="C167">
        <f>'Outras emissões de processo'!C224</f>
        <v>0</v>
      </c>
      <c r="D167">
        <f>'Outras emissões de processo'!D224</f>
        <v>0</v>
      </c>
      <c r="E167">
        <f>'Outras emissões de processo'!E224</f>
        <v>0</v>
      </c>
      <c r="F167">
        <f>'Outras emissões de processo'!F224</f>
        <v>0</v>
      </c>
      <c r="G167" t="str">
        <f>'Outras emissões de processo'!G224</f>
        <v/>
      </c>
      <c r="H167">
        <f>'Outras emissões de processo'!H224</f>
        <v>0</v>
      </c>
      <c r="I167">
        <f>'Outras emissões de processo'!I224</f>
        <v>0</v>
      </c>
      <c r="J167" t="str">
        <f>'Outras emissões de processo'!J224</f>
        <v/>
      </c>
      <c r="K167">
        <f>'Outras emissões de processo'!K224</f>
        <v>0</v>
      </c>
      <c r="L167">
        <f>'Outras emissões de processo'!L224</f>
        <v>0</v>
      </c>
      <c r="M167">
        <f>'Outras emissões de processo'!M224</f>
        <v>0</v>
      </c>
      <c r="N167">
        <f>'Outras emissões de processo'!N224</f>
        <v>0</v>
      </c>
      <c r="O167">
        <f>'Outras emissões de processo'!O224</f>
        <v>0</v>
      </c>
      <c r="Q167" s="649">
        <f t="shared" si="15"/>
        <v>0</v>
      </c>
      <c r="R167" s="22">
        <f t="shared" si="16"/>
        <v>0</v>
      </c>
      <c r="S167" s="22" t="str">
        <f t="shared" si="17"/>
        <v/>
      </c>
      <c r="T167" s="22">
        <f t="shared" si="18"/>
        <v>0</v>
      </c>
      <c r="U167" s="22" t="str">
        <f t="shared" si="8"/>
        <v>00</v>
      </c>
      <c r="V167" s="22">
        <f t="shared" si="19"/>
        <v>0</v>
      </c>
      <c r="W167" s="649">
        <f t="shared" si="20"/>
        <v>0</v>
      </c>
      <c r="X167" s="22">
        <f t="shared" si="9"/>
        <v>0</v>
      </c>
      <c r="Y167" s="22">
        <f t="shared" si="10"/>
        <v>0</v>
      </c>
      <c r="Z167" s="107">
        <f t="shared" si="14"/>
        <v>0</v>
      </c>
      <c r="AA167" s="107">
        <f t="shared" si="21"/>
        <v>0</v>
      </c>
      <c r="AB167" s="107">
        <f t="shared" si="12"/>
        <v>0</v>
      </c>
      <c r="AC167" s="22">
        <f t="shared" si="13"/>
        <v>0</v>
      </c>
    </row>
    <row r="168" spans="2:29" x14ac:dyDescent="0.25">
      <c r="B168">
        <f>'Outras emissões de processo'!B225</f>
        <v>0</v>
      </c>
      <c r="C168">
        <f>'Outras emissões de processo'!C225</f>
        <v>0</v>
      </c>
      <c r="D168">
        <f>'Outras emissões de processo'!D225</f>
        <v>0</v>
      </c>
      <c r="E168">
        <f>'Outras emissões de processo'!E225</f>
        <v>0</v>
      </c>
      <c r="F168">
        <f>'Outras emissões de processo'!F225</f>
        <v>0</v>
      </c>
      <c r="G168" t="str">
        <f>'Outras emissões de processo'!G225</f>
        <v/>
      </c>
      <c r="H168">
        <f>'Outras emissões de processo'!H225</f>
        <v>0</v>
      </c>
      <c r="I168">
        <f>'Outras emissões de processo'!I225</f>
        <v>0</v>
      </c>
      <c r="J168" t="str">
        <f>'Outras emissões de processo'!J225</f>
        <v/>
      </c>
      <c r="K168">
        <f>'Outras emissões de processo'!K225</f>
        <v>0</v>
      </c>
      <c r="L168">
        <f>'Outras emissões de processo'!L225</f>
        <v>0</v>
      </c>
      <c r="M168">
        <f>'Outras emissões de processo'!M225</f>
        <v>0</v>
      </c>
      <c r="N168">
        <f>'Outras emissões de processo'!N225</f>
        <v>0</v>
      </c>
      <c r="O168">
        <f>'Outras emissões de processo'!O225</f>
        <v>0</v>
      </c>
      <c r="Q168" s="649">
        <f t="shared" si="15"/>
        <v>0</v>
      </c>
      <c r="R168" s="22">
        <f t="shared" si="16"/>
        <v>0</v>
      </c>
      <c r="S168" s="22" t="str">
        <f t="shared" si="17"/>
        <v/>
      </c>
      <c r="T168" s="22">
        <f t="shared" si="18"/>
        <v>0</v>
      </c>
      <c r="U168" s="22" t="str">
        <f t="shared" si="8"/>
        <v>00</v>
      </c>
      <c r="V168" s="22">
        <f t="shared" si="19"/>
        <v>0</v>
      </c>
      <c r="W168" s="649">
        <f t="shared" si="20"/>
        <v>0</v>
      </c>
      <c r="X168" s="22">
        <f t="shared" si="9"/>
        <v>0</v>
      </c>
      <c r="Y168" s="22">
        <f t="shared" si="10"/>
        <v>0</v>
      </c>
      <c r="Z168" s="107">
        <f t="shared" si="14"/>
        <v>0</v>
      </c>
      <c r="AA168" s="107">
        <f t="shared" si="21"/>
        <v>0</v>
      </c>
      <c r="AB168" s="107">
        <f t="shared" si="12"/>
        <v>0</v>
      </c>
      <c r="AC168" s="22">
        <f t="shared" si="13"/>
        <v>0</v>
      </c>
    </row>
    <row r="169" spans="2:29" x14ac:dyDescent="0.25">
      <c r="B169">
        <f>'Outras emissões de processo'!B226</f>
        <v>0</v>
      </c>
      <c r="C169">
        <f>'Outras emissões de processo'!C226</f>
        <v>0</v>
      </c>
      <c r="D169">
        <f>'Outras emissões de processo'!D226</f>
        <v>0</v>
      </c>
      <c r="E169">
        <f>'Outras emissões de processo'!E226</f>
        <v>0</v>
      </c>
      <c r="F169">
        <f>'Outras emissões de processo'!F226</f>
        <v>0</v>
      </c>
      <c r="G169" t="str">
        <f>'Outras emissões de processo'!G226</f>
        <v/>
      </c>
      <c r="H169">
        <f>'Outras emissões de processo'!H226</f>
        <v>0</v>
      </c>
      <c r="I169">
        <f>'Outras emissões de processo'!I226</f>
        <v>0</v>
      </c>
      <c r="J169" t="str">
        <f>'Outras emissões de processo'!J226</f>
        <v/>
      </c>
      <c r="K169">
        <f>'Outras emissões de processo'!K226</f>
        <v>0</v>
      </c>
      <c r="L169">
        <f>'Outras emissões de processo'!L226</f>
        <v>0</v>
      </c>
      <c r="M169">
        <f>'Outras emissões de processo'!M226</f>
        <v>0</v>
      </c>
      <c r="N169">
        <f>'Outras emissões de processo'!N226</f>
        <v>0</v>
      </c>
      <c r="O169">
        <f>'Outras emissões de processo'!O226</f>
        <v>0</v>
      </c>
      <c r="Q169" s="649">
        <f t="shared" si="15"/>
        <v>0</v>
      </c>
      <c r="R169" s="22">
        <f t="shared" si="16"/>
        <v>0</v>
      </c>
      <c r="S169" s="22" t="str">
        <f t="shared" si="17"/>
        <v/>
      </c>
      <c r="T169" s="22">
        <f t="shared" si="18"/>
        <v>0</v>
      </c>
      <c r="U169" s="22" t="str">
        <f t="shared" si="8"/>
        <v>00</v>
      </c>
      <c r="V169" s="22">
        <f t="shared" si="19"/>
        <v>0</v>
      </c>
      <c r="W169" s="649">
        <f t="shared" si="20"/>
        <v>0</v>
      </c>
      <c r="X169" s="22">
        <f t="shared" si="9"/>
        <v>0</v>
      </c>
      <c r="Y169" s="22">
        <f t="shared" si="10"/>
        <v>0</v>
      </c>
      <c r="Z169" s="107">
        <f t="shared" si="14"/>
        <v>0</v>
      </c>
      <c r="AA169" s="107">
        <f t="shared" si="21"/>
        <v>0</v>
      </c>
      <c r="AB169" s="107">
        <f t="shared" si="12"/>
        <v>0</v>
      </c>
      <c r="AC169" s="22">
        <f t="shared" si="13"/>
        <v>0</v>
      </c>
    </row>
    <row r="170" spans="2:29" x14ac:dyDescent="0.25">
      <c r="B170">
        <f>'Outras emissões de processo'!B227</f>
        <v>0</v>
      </c>
      <c r="C170">
        <f>'Outras emissões de processo'!C227</f>
        <v>0</v>
      </c>
      <c r="D170">
        <f>'Outras emissões de processo'!D227</f>
        <v>0</v>
      </c>
      <c r="E170">
        <f>'Outras emissões de processo'!E227</f>
        <v>0</v>
      </c>
      <c r="F170">
        <f>'Outras emissões de processo'!F227</f>
        <v>0</v>
      </c>
      <c r="G170" t="str">
        <f>'Outras emissões de processo'!G227</f>
        <v/>
      </c>
      <c r="H170">
        <f>'Outras emissões de processo'!H227</f>
        <v>0</v>
      </c>
      <c r="I170">
        <f>'Outras emissões de processo'!I227</f>
        <v>0</v>
      </c>
      <c r="J170" t="str">
        <f>'Outras emissões de processo'!J227</f>
        <v/>
      </c>
      <c r="K170">
        <f>'Outras emissões de processo'!K227</f>
        <v>0</v>
      </c>
      <c r="L170">
        <f>'Outras emissões de processo'!L227</f>
        <v>0</v>
      </c>
      <c r="M170">
        <f>'Outras emissões de processo'!M227</f>
        <v>0</v>
      </c>
      <c r="N170">
        <f>'Outras emissões de processo'!N227</f>
        <v>0</v>
      </c>
      <c r="O170">
        <f>'Outras emissões de processo'!O227</f>
        <v>0</v>
      </c>
      <c r="Q170" s="649">
        <f t="shared" si="15"/>
        <v>0</v>
      </c>
      <c r="R170" s="22">
        <f t="shared" si="16"/>
        <v>0</v>
      </c>
      <c r="S170" s="22" t="str">
        <f t="shared" si="17"/>
        <v/>
      </c>
      <c r="T170" s="22">
        <f t="shared" si="18"/>
        <v>0</v>
      </c>
      <c r="U170" s="22" t="str">
        <f t="shared" si="8"/>
        <v>00</v>
      </c>
      <c r="V170" s="22">
        <f t="shared" si="19"/>
        <v>0</v>
      </c>
      <c r="W170" s="649">
        <f t="shared" si="20"/>
        <v>0</v>
      </c>
      <c r="X170" s="22">
        <f t="shared" si="9"/>
        <v>0</v>
      </c>
      <c r="Y170" s="22">
        <f t="shared" si="10"/>
        <v>0</v>
      </c>
      <c r="Z170" s="107">
        <f t="shared" si="14"/>
        <v>0</v>
      </c>
      <c r="AA170" s="107">
        <f t="shared" si="21"/>
        <v>0</v>
      </c>
      <c r="AB170" s="107">
        <f t="shared" si="12"/>
        <v>0</v>
      </c>
      <c r="AC170" s="22">
        <f t="shared" si="13"/>
        <v>0</v>
      </c>
    </row>
    <row r="171" spans="2:29" x14ac:dyDescent="0.25">
      <c r="B171">
        <f>'Outras emissões de processo'!B228</f>
        <v>0</v>
      </c>
      <c r="C171">
        <f>'Outras emissões de processo'!C228</f>
        <v>0</v>
      </c>
      <c r="D171">
        <f>'Outras emissões de processo'!D228</f>
        <v>0</v>
      </c>
      <c r="E171">
        <f>'Outras emissões de processo'!E228</f>
        <v>0</v>
      </c>
      <c r="F171">
        <f>'Outras emissões de processo'!F228</f>
        <v>0</v>
      </c>
      <c r="G171" t="str">
        <f>'Outras emissões de processo'!G228</f>
        <v/>
      </c>
      <c r="H171">
        <f>'Outras emissões de processo'!H228</f>
        <v>0</v>
      </c>
      <c r="I171">
        <f>'Outras emissões de processo'!I228</f>
        <v>0</v>
      </c>
      <c r="J171" t="str">
        <f>'Outras emissões de processo'!J228</f>
        <v/>
      </c>
      <c r="K171">
        <f>'Outras emissões de processo'!K228</f>
        <v>0</v>
      </c>
      <c r="L171">
        <f>'Outras emissões de processo'!L228</f>
        <v>0</v>
      </c>
      <c r="M171">
        <f>'Outras emissões de processo'!M228</f>
        <v>0</v>
      </c>
      <c r="N171">
        <f>'Outras emissões de processo'!N228</f>
        <v>0</v>
      </c>
      <c r="O171">
        <f>'Outras emissões de processo'!O228</f>
        <v>0</v>
      </c>
      <c r="Q171" s="649">
        <f t="shared" si="15"/>
        <v>0</v>
      </c>
      <c r="R171" s="22">
        <f t="shared" si="16"/>
        <v>0</v>
      </c>
      <c r="S171" s="22" t="str">
        <f t="shared" si="17"/>
        <v/>
      </c>
      <c r="T171" s="22">
        <f t="shared" si="18"/>
        <v>0</v>
      </c>
      <c r="U171" s="22" t="str">
        <f t="shared" si="8"/>
        <v>00</v>
      </c>
      <c r="V171" s="22">
        <f t="shared" si="19"/>
        <v>0</v>
      </c>
      <c r="W171" s="649">
        <f t="shared" si="20"/>
        <v>0</v>
      </c>
      <c r="X171" s="22">
        <f t="shared" si="9"/>
        <v>0</v>
      </c>
      <c r="Y171" s="22">
        <f t="shared" si="10"/>
        <v>0</v>
      </c>
      <c r="Z171" s="107">
        <f t="shared" si="14"/>
        <v>0</v>
      </c>
      <c r="AA171" s="107">
        <f t="shared" si="21"/>
        <v>0</v>
      </c>
      <c r="AB171" s="107">
        <f t="shared" si="12"/>
        <v>0</v>
      </c>
      <c r="AC171" s="22">
        <f t="shared" si="13"/>
        <v>0</v>
      </c>
    </row>
    <row r="172" spans="2:29" x14ac:dyDescent="0.25">
      <c r="B172">
        <f>'Outras emissões de processo'!B229</f>
        <v>0</v>
      </c>
      <c r="C172">
        <f>'Outras emissões de processo'!C229</f>
        <v>0</v>
      </c>
      <c r="D172">
        <f>'Outras emissões de processo'!D229</f>
        <v>0</v>
      </c>
      <c r="E172">
        <f>'Outras emissões de processo'!E229</f>
        <v>0</v>
      </c>
      <c r="F172">
        <f>'Outras emissões de processo'!F229</f>
        <v>0</v>
      </c>
      <c r="G172" t="str">
        <f>'Outras emissões de processo'!G229</f>
        <v/>
      </c>
      <c r="H172">
        <f>'Outras emissões de processo'!H229</f>
        <v>0</v>
      </c>
      <c r="I172">
        <f>'Outras emissões de processo'!I229</f>
        <v>0</v>
      </c>
      <c r="J172" t="str">
        <f>'Outras emissões de processo'!J229</f>
        <v/>
      </c>
      <c r="K172">
        <f>'Outras emissões de processo'!K229</f>
        <v>0</v>
      </c>
      <c r="L172">
        <f>'Outras emissões de processo'!L229</f>
        <v>0</v>
      </c>
      <c r="M172">
        <f>'Outras emissões de processo'!M229</f>
        <v>0</v>
      </c>
      <c r="N172">
        <f>'Outras emissões de processo'!N229</f>
        <v>0</v>
      </c>
      <c r="O172">
        <f>'Outras emissões de processo'!O229</f>
        <v>0</v>
      </c>
      <c r="Q172" s="649">
        <f t="shared" ref="Q172:Q207" si="22">IF(AND(C172=$E$42,D172="Sim"),I172*F172,0)</f>
        <v>0</v>
      </c>
      <c r="R172" s="22">
        <f t="shared" ref="R172:R207" si="23">IF(AND(C172=$E$42,D172="Não"),VLOOKUP(L172,$B$50:$D$61,2,FALSE),0)</f>
        <v>0</v>
      </c>
      <c r="S172" s="22" t="str">
        <f t="shared" ref="S172:S207" si="24">IF(AND(C172=$E$42,D172="Não"),VLOOKUP(L172,$B$50:$D$61,3,FALSE),"")</f>
        <v/>
      </c>
      <c r="T172" s="22">
        <f t="shared" ref="T172:T203" si="25">IF(AND(C172=$E$42,D172="Não"),S172*O172/245,0)</f>
        <v>0</v>
      </c>
      <c r="U172" s="22" t="str">
        <f t="shared" si="8"/>
        <v>00</v>
      </c>
      <c r="V172" s="22">
        <f t="shared" ref="V172:V203" si="26">IF(AND(C172=$E$42,D172="Não"),VLOOKUP(U172,$H$50:$I$97,2,FALSE),0)</f>
        <v>0</v>
      </c>
      <c r="W172" s="649">
        <f t="shared" ref="W172:W203" si="27">IF(AND(C172=$E$42,D172="Não"),(R172+T172+V172)*N172,0)</f>
        <v>0</v>
      </c>
      <c r="X172" s="22">
        <f t="shared" si="9"/>
        <v>0</v>
      </c>
      <c r="Y172" s="22">
        <f t="shared" si="10"/>
        <v>0</v>
      </c>
      <c r="Z172" s="107">
        <f t="shared" si="14"/>
        <v>0</v>
      </c>
      <c r="AA172" s="107">
        <f t="shared" si="21"/>
        <v>0</v>
      </c>
      <c r="AB172" s="107">
        <f t="shared" si="12"/>
        <v>0</v>
      </c>
      <c r="AC172" s="22">
        <f t="shared" si="13"/>
        <v>0</v>
      </c>
    </row>
    <row r="173" spans="2:29" x14ac:dyDescent="0.25">
      <c r="B173">
        <f>'Outras emissões de processo'!B230</f>
        <v>0</v>
      </c>
      <c r="C173">
        <f>'Outras emissões de processo'!C230</f>
        <v>0</v>
      </c>
      <c r="D173">
        <f>'Outras emissões de processo'!D230</f>
        <v>0</v>
      </c>
      <c r="E173">
        <f>'Outras emissões de processo'!E230</f>
        <v>0</v>
      </c>
      <c r="F173">
        <f>'Outras emissões de processo'!F230</f>
        <v>0</v>
      </c>
      <c r="G173" t="str">
        <f>'Outras emissões de processo'!G230</f>
        <v/>
      </c>
      <c r="H173">
        <f>'Outras emissões de processo'!H230</f>
        <v>0</v>
      </c>
      <c r="I173">
        <f>'Outras emissões de processo'!I230</f>
        <v>0</v>
      </c>
      <c r="J173" t="str">
        <f>'Outras emissões de processo'!J230</f>
        <v/>
      </c>
      <c r="K173">
        <f>'Outras emissões de processo'!K230</f>
        <v>0</v>
      </c>
      <c r="L173">
        <f>'Outras emissões de processo'!L230</f>
        <v>0</v>
      </c>
      <c r="M173">
        <f>'Outras emissões de processo'!M230</f>
        <v>0</v>
      </c>
      <c r="N173">
        <f>'Outras emissões de processo'!N230</f>
        <v>0</v>
      </c>
      <c r="O173">
        <f>'Outras emissões de processo'!O230</f>
        <v>0</v>
      </c>
      <c r="Q173" s="649">
        <f t="shared" si="22"/>
        <v>0</v>
      </c>
      <c r="R173" s="22">
        <f t="shared" si="23"/>
        <v>0</v>
      </c>
      <c r="S173" s="22" t="str">
        <f t="shared" si="24"/>
        <v/>
      </c>
      <c r="T173" s="22">
        <f t="shared" si="25"/>
        <v>0</v>
      </c>
      <c r="U173" s="22" t="str">
        <f t="shared" ref="U173:U207" si="28">L173&amp;M173</f>
        <v>00</v>
      </c>
      <c r="V173" s="22">
        <f t="shared" si="26"/>
        <v>0</v>
      </c>
      <c r="W173" s="649">
        <f t="shared" si="27"/>
        <v>0</v>
      </c>
      <c r="X173" s="22">
        <f t="shared" ref="X173:X207" si="29">E173</f>
        <v>0</v>
      </c>
      <c r="Y173" s="22">
        <f t="shared" ref="Y173:Y207" si="30">IF(C173=$E$40,$J$40,IF(C173=$E$41,$J$41,IF(X173=$L$16,VLOOKUP(C173,$E$37:$J$43,6,FALSE),IF(X173=$L$17,VLOOKUP(C173,$E$37:$J$43,4,FALSE),0))))</f>
        <v>0</v>
      </c>
      <c r="Z173" s="107">
        <f t="shared" ref="Z173:Z207" si="31">Y173*F173</f>
        <v>0</v>
      </c>
      <c r="AA173" s="107">
        <f t="shared" ref="AA173:AA207" si="32">IF(OR(E173=$L$18,C173=$E$37,C173=$E$40,C173=$E$43),F173*I173,0)</f>
        <v>0</v>
      </c>
      <c r="AB173" s="107">
        <f t="shared" ref="AB173:AB207" si="33">R173+T173+V173+Y173+I173</f>
        <v>0</v>
      </c>
      <c r="AC173" s="22">
        <f t="shared" ref="AC173:AC207" si="34">Q173+W173+Z173+AA173</f>
        <v>0</v>
      </c>
    </row>
    <row r="174" spans="2:29" x14ac:dyDescent="0.25">
      <c r="B174">
        <f>'Outras emissões de processo'!B231</f>
        <v>0</v>
      </c>
      <c r="C174">
        <f>'Outras emissões de processo'!C231</f>
        <v>0</v>
      </c>
      <c r="D174">
        <f>'Outras emissões de processo'!D231</f>
        <v>0</v>
      </c>
      <c r="E174">
        <f>'Outras emissões de processo'!E231</f>
        <v>0</v>
      </c>
      <c r="F174">
        <f>'Outras emissões de processo'!F231</f>
        <v>0</v>
      </c>
      <c r="G174" t="str">
        <f>'Outras emissões de processo'!G231</f>
        <v/>
      </c>
      <c r="H174">
        <f>'Outras emissões de processo'!H231</f>
        <v>0</v>
      </c>
      <c r="I174">
        <f>'Outras emissões de processo'!I231</f>
        <v>0</v>
      </c>
      <c r="J174" t="str">
        <f>'Outras emissões de processo'!J231</f>
        <v/>
      </c>
      <c r="K174">
        <f>'Outras emissões de processo'!K231</f>
        <v>0</v>
      </c>
      <c r="L174">
        <f>'Outras emissões de processo'!L231</f>
        <v>0</v>
      </c>
      <c r="M174">
        <f>'Outras emissões de processo'!M231</f>
        <v>0</v>
      </c>
      <c r="N174">
        <f>'Outras emissões de processo'!N231</f>
        <v>0</v>
      </c>
      <c r="O174">
        <f>'Outras emissões de processo'!O231</f>
        <v>0</v>
      </c>
      <c r="Q174" s="649">
        <f t="shared" si="22"/>
        <v>0</v>
      </c>
      <c r="R174" s="22">
        <f t="shared" si="23"/>
        <v>0</v>
      </c>
      <c r="S174" s="22" t="str">
        <f t="shared" si="24"/>
        <v/>
      </c>
      <c r="T174" s="22">
        <f t="shared" si="25"/>
        <v>0</v>
      </c>
      <c r="U174" s="22" t="str">
        <f t="shared" si="28"/>
        <v>00</v>
      </c>
      <c r="V174" s="22">
        <f t="shared" si="26"/>
        <v>0</v>
      </c>
      <c r="W174" s="649">
        <f t="shared" si="27"/>
        <v>0</v>
      </c>
      <c r="X174" s="22">
        <f t="shared" si="29"/>
        <v>0</v>
      </c>
      <c r="Y174" s="22">
        <f t="shared" si="30"/>
        <v>0</v>
      </c>
      <c r="Z174" s="107">
        <f t="shared" si="31"/>
        <v>0</v>
      </c>
      <c r="AA174" s="107">
        <f t="shared" si="32"/>
        <v>0</v>
      </c>
      <c r="AB174" s="107">
        <f t="shared" si="33"/>
        <v>0</v>
      </c>
      <c r="AC174" s="22">
        <f t="shared" si="34"/>
        <v>0</v>
      </c>
    </row>
    <row r="175" spans="2:29" x14ac:dyDescent="0.25">
      <c r="B175">
        <f>'Outras emissões de processo'!B232</f>
        <v>0</v>
      </c>
      <c r="C175">
        <f>'Outras emissões de processo'!C232</f>
        <v>0</v>
      </c>
      <c r="D175">
        <f>'Outras emissões de processo'!D232</f>
        <v>0</v>
      </c>
      <c r="E175">
        <f>'Outras emissões de processo'!E232</f>
        <v>0</v>
      </c>
      <c r="F175">
        <f>'Outras emissões de processo'!F232</f>
        <v>0</v>
      </c>
      <c r="G175" t="str">
        <f>'Outras emissões de processo'!G232</f>
        <v/>
      </c>
      <c r="H175">
        <f>'Outras emissões de processo'!H232</f>
        <v>0</v>
      </c>
      <c r="I175">
        <f>'Outras emissões de processo'!I232</f>
        <v>0</v>
      </c>
      <c r="J175" t="str">
        <f>'Outras emissões de processo'!J232</f>
        <v/>
      </c>
      <c r="K175">
        <f>'Outras emissões de processo'!K232</f>
        <v>0</v>
      </c>
      <c r="L175">
        <f>'Outras emissões de processo'!L232</f>
        <v>0</v>
      </c>
      <c r="M175">
        <f>'Outras emissões de processo'!M232</f>
        <v>0</v>
      </c>
      <c r="N175">
        <f>'Outras emissões de processo'!N232</f>
        <v>0</v>
      </c>
      <c r="O175">
        <f>'Outras emissões de processo'!O232</f>
        <v>0</v>
      </c>
      <c r="Q175" s="649">
        <f t="shared" si="22"/>
        <v>0</v>
      </c>
      <c r="R175" s="22">
        <f t="shared" si="23"/>
        <v>0</v>
      </c>
      <c r="S175" s="22" t="str">
        <f t="shared" si="24"/>
        <v/>
      </c>
      <c r="T175" s="22">
        <f t="shared" si="25"/>
        <v>0</v>
      </c>
      <c r="U175" s="22" t="str">
        <f t="shared" si="28"/>
        <v>00</v>
      </c>
      <c r="V175" s="22">
        <f t="shared" si="26"/>
        <v>0</v>
      </c>
      <c r="W175" s="649">
        <f t="shared" si="27"/>
        <v>0</v>
      </c>
      <c r="X175" s="22">
        <f t="shared" si="29"/>
        <v>0</v>
      </c>
      <c r="Y175" s="22">
        <f t="shared" si="30"/>
        <v>0</v>
      </c>
      <c r="Z175" s="107">
        <f t="shared" si="31"/>
        <v>0</v>
      </c>
      <c r="AA175" s="107">
        <f t="shared" si="32"/>
        <v>0</v>
      </c>
      <c r="AB175" s="107">
        <f t="shared" si="33"/>
        <v>0</v>
      </c>
      <c r="AC175" s="22">
        <f t="shared" si="34"/>
        <v>0</v>
      </c>
    </row>
    <row r="176" spans="2:29" x14ac:dyDescent="0.25">
      <c r="B176">
        <f>'Outras emissões de processo'!B233</f>
        <v>0</v>
      </c>
      <c r="C176">
        <f>'Outras emissões de processo'!C233</f>
        <v>0</v>
      </c>
      <c r="D176">
        <f>'Outras emissões de processo'!D233</f>
        <v>0</v>
      </c>
      <c r="E176">
        <f>'Outras emissões de processo'!E233</f>
        <v>0</v>
      </c>
      <c r="F176">
        <f>'Outras emissões de processo'!F233</f>
        <v>0</v>
      </c>
      <c r="G176" t="str">
        <f>'Outras emissões de processo'!G233</f>
        <v/>
      </c>
      <c r="H176">
        <f>'Outras emissões de processo'!H233</f>
        <v>0</v>
      </c>
      <c r="I176">
        <f>'Outras emissões de processo'!I233</f>
        <v>0</v>
      </c>
      <c r="J176" t="str">
        <f>'Outras emissões de processo'!J233</f>
        <v/>
      </c>
      <c r="K176">
        <f>'Outras emissões de processo'!K233</f>
        <v>0</v>
      </c>
      <c r="L176">
        <f>'Outras emissões de processo'!L233</f>
        <v>0</v>
      </c>
      <c r="M176">
        <f>'Outras emissões de processo'!M233</f>
        <v>0</v>
      </c>
      <c r="N176">
        <f>'Outras emissões de processo'!N233</f>
        <v>0</v>
      </c>
      <c r="O176">
        <f>'Outras emissões de processo'!O233</f>
        <v>0</v>
      </c>
      <c r="Q176" s="649">
        <f t="shared" si="22"/>
        <v>0</v>
      </c>
      <c r="R176" s="22">
        <f t="shared" si="23"/>
        <v>0</v>
      </c>
      <c r="S176" s="22" t="str">
        <f t="shared" si="24"/>
        <v/>
      </c>
      <c r="T176" s="22">
        <f t="shared" si="25"/>
        <v>0</v>
      </c>
      <c r="U176" s="22" t="str">
        <f t="shared" si="28"/>
        <v>00</v>
      </c>
      <c r="V176" s="22">
        <f t="shared" si="26"/>
        <v>0</v>
      </c>
      <c r="W176" s="649">
        <f t="shared" si="27"/>
        <v>0</v>
      </c>
      <c r="X176" s="22">
        <f t="shared" si="29"/>
        <v>0</v>
      </c>
      <c r="Y176" s="22">
        <f t="shared" si="30"/>
        <v>0</v>
      </c>
      <c r="Z176" s="107">
        <f t="shared" si="31"/>
        <v>0</v>
      </c>
      <c r="AA176" s="107">
        <f t="shared" si="32"/>
        <v>0</v>
      </c>
      <c r="AB176" s="107">
        <f t="shared" si="33"/>
        <v>0</v>
      </c>
      <c r="AC176" s="22">
        <f t="shared" si="34"/>
        <v>0</v>
      </c>
    </row>
    <row r="177" spans="2:29" x14ac:dyDescent="0.25">
      <c r="B177">
        <f>'Outras emissões de processo'!B234</f>
        <v>0</v>
      </c>
      <c r="C177">
        <f>'Outras emissões de processo'!C234</f>
        <v>0</v>
      </c>
      <c r="D177">
        <f>'Outras emissões de processo'!D234</f>
        <v>0</v>
      </c>
      <c r="E177">
        <f>'Outras emissões de processo'!E234</f>
        <v>0</v>
      </c>
      <c r="F177">
        <f>'Outras emissões de processo'!F234</f>
        <v>0</v>
      </c>
      <c r="G177" t="str">
        <f>'Outras emissões de processo'!G234</f>
        <v/>
      </c>
      <c r="H177">
        <f>'Outras emissões de processo'!H234</f>
        <v>0</v>
      </c>
      <c r="I177">
        <f>'Outras emissões de processo'!I234</f>
        <v>0</v>
      </c>
      <c r="J177" t="str">
        <f>'Outras emissões de processo'!J234</f>
        <v/>
      </c>
      <c r="K177">
        <f>'Outras emissões de processo'!K234</f>
        <v>0</v>
      </c>
      <c r="L177">
        <f>'Outras emissões de processo'!L234</f>
        <v>0</v>
      </c>
      <c r="M177">
        <f>'Outras emissões de processo'!M234</f>
        <v>0</v>
      </c>
      <c r="N177">
        <f>'Outras emissões de processo'!N234</f>
        <v>0</v>
      </c>
      <c r="O177">
        <f>'Outras emissões de processo'!O234</f>
        <v>0</v>
      </c>
      <c r="Q177" s="649">
        <f t="shared" si="22"/>
        <v>0</v>
      </c>
      <c r="R177" s="22">
        <f t="shared" si="23"/>
        <v>0</v>
      </c>
      <c r="S177" s="22" t="str">
        <f t="shared" si="24"/>
        <v/>
      </c>
      <c r="T177" s="22">
        <f t="shared" si="25"/>
        <v>0</v>
      </c>
      <c r="U177" s="22" t="str">
        <f t="shared" si="28"/>
        <v>00</v>
      </c>
      <c r="V177" s="22">
        <f t="shared" si="26"/>
        <v>0</v>
      </c>
      <c r="W177" s="649">
        <f t="shared" si="27"/>
        <v>0</v>
      </c>
      <c r="X177" s="22">
        <f t="shared" si="29"/>
        <v>0</v>
      </c>
      <c r="Y177" s="22">
        <f t="shared" si="30"/>
        <v>0</v>
      </c>
      <c r="Z177" s="107">
        <f t="shared" si="31"/>
        <v>0</v>
      </c>
      <c r="AA177" s="107">
        <f t="shared" si="32"/>
        <v>0</v>
      </c>
      <c r="AB177" s="107">
        <f t="shared" si="33"/>
        <v>0</v>
      </c>
      <c r="AC177" s="22">
        <f t="shared" si="34"/>
        <v>0</v>
      </c>
    </row>
    <row r="178" spans="2:29" x14ac:dyDescent="0.25">
      <c r="B178">
        <f>'Outras emissões de processo'!B235</f>
        <v>0</v>
      </c>
      <c r="C178">
        <f>'Outras emissões de processo'!C235</f>
        <v>0</v>
      </c>
      <c r="D178">
        <f>'Outras emissões de processo'!D235</f>
        <v>0</v>
      </c>
      <c r="E178">
        <f>'Outras emissões de processo'!E235</f>
        <v>0</v>
      </c>
      <c r="F178">
        <f>'Outras emissões de processo'!F235</f>
        <v>0</v>
      </c>
      <c r="G178" t="str">
        <f>'Outras emissões de processo'!G235</f>
        <v/>
      </c>
      <c r="H178">
        <f>'Outras emissões de processo'!H235</f>
        <v>0</v>
      </c>
      <c r="I178">
        <f>'Outras emissões de processo'!I235</f>
        <v>0</v>
      </c>
      <c r="J178" t="str">
        <f>'Outras emissões de processo'!J235</f>
        <v/>
      </c>
      <c r="K178">
        <f>'Outras emissões de processo'!K235</f>
        <v>0</v>
      </c>
      <c r="L178">
        <f>'Outras emissões de processo'!L235</f>
        <v>0</v>
      </c>
      <c r="M178">
        <f>'Outras emissões de processo'!M235</f>
        <v>0</v>
      </c>
      <c r="N178">
        <f>'Outras emissões de processo'!N235</f>
        <v>0</v>
      </c>
      <c r="O178">
        <f>'Outras emissões de processo'!O235</f>
        <v>0</v>
      </c>
      <c r="Q178" s="649">
        <f t="shared" si="22"/>
        <v>0</v>
      </c>
      <c r="R178" s="22">
        <f t="shared" si="23"/>
        <v>0</v>
      </c>
      <c r="S178" s="22" t="str">
        <f t="shared" si="24"/>
        <v/>
      </c>
      <c r="T178" s="22">
        <f t="shared" si="25"/>
        <v>0</v>
      </c>
      <c r="U178" s="22" t="str">
        <f t="shared" si="28"/>
        <v>00</v>
      </c>
      <c r="V178" s="22">
        <f t="shared" si="26"/>
        <v>0</v>
      </c>
      <c r="W178" s="649">
        <f t="shared" si="27"/>
        <v>0</v>
      </c>
      <c r="X178" s="22">
        <f t="shared" si="29"/>
        <v>0</v>
      </c>
      <c r="Y178" s="22">
        <f t="shared" si="30"/>
        <v>0</v>
      </c>
      <c r="Z178" s="107">
        <f t="shared" si="31"/>
        <v>0</v>
      </c>
      <c r="AA178" s="107">
        <f t="shared" si="32"/>
        <v>0</v>
      </c>
      <c r="AB178" s="107">
        <f t="shared" si="33"/>
        <v>0</v>
      </c>
      <c r="AC178" s="22">
        <f t="shared" si="34"/>
        <v>0</v>
      </c>
    </row>
    <row r="179" spans="2:29" x14ac:dyDescent="0.25">
      <c r="B179">
        <f>'Outras emissões de processo'!B236</f>
        <v>0</v>
      </c>
      <c r="C179">
        <f>'Outras emissões de processo'!C236</f>
        <v>0</v>
      </c>
      <c r="D179">
        <f>'Outras emissões de processo'!D236</f>
        <v>0</v>
      </c>
      <c r="E179">
        <f>'Outras emissões de processo'!E236</f>
        <v>0</v>
      </c>
      <c r="F179">
        <f>'Outras emissões de processo'!F236</f>
        <v>0</v>
      </c>
      <c r="G179" t="str">
        <f>'Outras emissões de processo'!G236</f>
        <v/>
      </c>
      <c r="H179">
        <f>'Outras emissões de processo'!H236</f>
        <v>0</v>
      </c>
      <c r="I179">
        <f>'Outras emissões de processo'!I236</f>
        <v>0</v>
      </c>
      <c r="J179" t="str">
        <f>'Outras emissões de processo'!J236</f>
        <v/>
      </c>
      <c r="K179">
        <f>'Outras emissões de processo'!K236</f>
        <v>0</v>
      </c>
      <c r="L179">
        <f>'Outras emissões de processo'!L236</f>
        <v>0</v>
      </c>
      <c r="M179">
        <f>'Outras emissões de processo'!M236</f>
        <v>0</v>
      </c>
      <c r="N179">
        <f>'Outras emissões de processo'!N236</f>
        <v>0</v>
      </c>
      <c r="O179">
        <f>'Outras emissões de processo'!O236</f>
        <v>0</v>
      </c>
      <c r="Q179" s="649">
        <f t="shared" si="22"/>
        <v>0</v>
      </c>
      <c r="R179" s="22">
        <f t="shared" si="23"/>
        <v>0</v>
      </c>
      <c r="S179" s="22" t="str">
        <f t="shared" si="24"/>
        <v/>
      </c>
      <c r="T179" s="22">
        <f t="shared" si="25"/>
        <v>0</v>
      </c>
      <c r="U179" s="22" t="str">
        <f t="shared" si="28"/>
        <v>00</v>
      </c>
      <c r="V179" s="22">
        <f t="shared" si="26"/>
        <v>0</v>
      </c>
      <c r="W179" s="649">
        <f t="shared" si="27"/>
        <v>0</v>
      </c>
      <c r="X179" s="22">
        <f t="shared" si="29"/>
        <v>0</v>
      </c>
      <c r="Y179" s="22">
        <f t="shared" si="30"/>
        <v>0</v>
      </c>
      <c r="Z179" s="107">
        <f t="shared" si="31"/>
        <v>0</v>
      </c>
      <c r="AA179" s="107">
        <f t="shared" si="32"/>
        <v>0</v>
      </c>
      <c r="AB179" s="107">
        <f t="shared" si="33"/>
        <v>0</v>
      </c>
      <c r="AC179" s="22">
        <f t="shared" si="34"/>
        <v>0</v>
      </c>
    </row>
    <row r="180" spans="2:29" x14ac:dyDescent="0.25">
      <c r="B180">
        <f>'Outras emissões de processo'!B237</f>
        <v>0</v>
      </c>
      <c r="C180">
        <f>'Outras emissões de processo'!C237</f>
        <v>0</v>
      </c>
      <c r="D180">
        <f>'Outras emissões de processo'!D237</f>
        <v>0</v>
      </c>
      <c r="E180">
        <f>'Outras emissões de processo'!E237</f>
        <v>0</v>
      </c>
      <c r="F180">
        <f>'Outras emissões de processo'!F237</f>
        <v>0</v>
      </c>
      <c r="G180" t="str">
        <f>'Outras emissões de processo'!G237</f>
        <v/>
      </c>
      <c r="H180">
        <f>'Outras emissões de processo'!H237</f>
        <v>0</v>
      </c>
      <c r="I180">
        <f>'Outras emissões de processo'!I237</f>
        <v>0</v>
      </c>
      <c r="J180" t="str">
        <f>'Outras emissões de processo'!J237</f>
        <v/>
      </c>
      <c r="K180">
        <f>'Outras emissões de processo'!K237</f>
        <v>0</v>
      </c>
      <c r="L180">
        <f>'Outras emissões de processo'!L237</f>
        <v>0</v>
      </c>
      <c r="M180">
        <f>'Outras emissões de processo'!M237</f>
        <v>0</v>
      </c>
      <c r="N180">
        <f>'Outras emissões de processo'!N237</f>
        <v>0</v>
      </c>
      <c r="O180">
        <f>'Outras emissões de processo'!O237</f>
        <v>0</v>
      </c>
      <c r="Q180" s="649">
        <f t="shared" si="22"/>
        <v>0</v>
      </c>
      <c r="R180" s="22">
        <f t="shared" si="23"/>
        <v>0</v>
      </c>
      <c r="S180" s="22" t="str">
        <f t="shared" si="24"/>
        <v/>
      </c>
      <c r="T180" s="22">
        <f t="shared" si="25"/>
        <v>0</v>
      </c>
      <c r="U180" s="22" t="str">
        <f t="shared" si="28"/>
        <v>00</v>
      </c>
      <c r="V180" s="22">
        <f t="shared" si="26"/>
        <v>0</v>
      </c>
      <c r="W180" s="649">
        <f t="shared" si="27"/>
        <v>0</v>
      </c>
      <c r="X180" s="22">
        <f t="shared" si="29"/>
        <v>0</v>
      </c>
      <c r="Y180" s="22">
        <f t="shared" si="30"/>
        <v>0</v>
      </c>
      <c r="Z180" s="107">
        <f t="shared" si="31"/>
        <v>0</v>
      </c>
      <c r="AA180" s="107">
        <f t="shared" si="32"/>
        <v>0</v>
      </c>
      <c r="AB180" s="107">
        <f t="shared" si="33"/>
        <v>0</v>
      </c>
      <c r="AC180" s="22">
        <f t="shared" si="34"/>
        <v>0</v>
      </c>
    </row>
    <row r="181" spans="2:29" x14ac:dyDescent="0.25">
      <c r="B181">
        <f>'Outras emissões de processo'!B238</f>
        <v>0</v>
      </c>
      <c r="C181">
        <f>'Outras emissões de processo'!C238</f>
        <v>0</v>
      </c>
      <c r="D181">
        <f>'Outras emissões de processo'!D238</f>
        <v>0</v>
      </c>
      <c r="E181">
        <f>'Outras emissões de processo'!E238</f>
        <v>0</v>
      </c>
      <c r="F181">
        <f>'Outras emissões de processo'!F238</f>
        <v>0</v>
      </c>
      <c r="G181" t="str">
        <f>'Outras emissões de processo'!G238</f>
        <v/>
      </c>
      <c r="H181">
        <f>'Outras emissões de processo'!H238</f>
        <v>0</v>
      </c>
      <c r="I181">
        <f>'Outras emissões de processo'!I238</f>
        <v>0</v>
      </c>
      <c r="J181" t="str">
        <f>'Outras emissões de processo'!J238</f>
        <v/>
      </c>
      <c r="K181">
        <f>'Outras emissões de processo'!K238</f>
        <v>0</v>
      </c>
      <c r="L181">
        <f>'Outras emissões de processo'!L238</f>
        <v>0</v>
      </c>
      <c r="M181">
        <f>'Outras emissões de processo'!M238</f>
        <v>0</v>
      </c>
      <c r="N181">
        <f>'Outras emissões de processo'!N238</f>
        <v>0</v>
      </c>
      <c r="O181">
        <f>'Outras emissões de processo'!O238</f>
        <v>0</v>
      </c>
      <c r="Q181" s="649">
        <f t="shared" si="22"/>
        <v>0</v>
      </c>
      <c r="R181" s="22">
        <f t="shared" si="23"/>
        <v>0</v>
      </c>
      <c r="S181" s="22" t="str">
        <f t="shared" si="24"/>
        <v/>
      </c>
      <c r="T181" s="22">
        <f t="shared" si="25"/>
        <v>0</v>
      </c>
      <c r="U181" s="22" t="str">
        <f t="shared" si="28"/>
        <v>00</v>
      </c>
      <c r="V181" s="22">
        <f t="shared" si="26"/>
        <v>0</v>
      </c>
      <c r="W181" s="649">
        <f t="shared" si="27"/>
        <v>0</v>
      </c>
      <c r="X181" s="22">
        <f t="shared" si="29"/>
        <v>0</v>
      </c>
      <c r="Y181" s="22">
        <f t="shared" si="30"/>
        <v>0</v>
      </c>
      <c r="Z181" s="107">
        <f t="shared" si="31"/>
        <v>0</v>
      </c>
      <c r="AA181" s="107">
        <f t="shared" si="32"/>
        <v>0</v>
      </c>
      <c r="AB181" s="107">
        <f t="shared" si="33"/>
        <v>0</v>
      </c>
      <c r="AC181" s="22">
        <f t="shared" si="34"/>
        <v>0</v>
      </c>
    </row>
    <row r="182" spans="2:29" x14ac:dyDescent="0.25">
      <c r="B182">
        <f>'Outras emissões de processo'!B239</f>
        <v>0</v>
      </c>
      <c r="C182">
        <f>'Outras emissões de processo'!C239</f>
        <v>0</v>
      </c>
      <c r="D182">
        <f>'Outras emissões de processo'!D239</f>
        <v>0</v>
      </c>
      <c r="E182">
        <f>'Outras emissões de processo'!E239</f>
        <v>0</v>
      </c>
      <c r="F182">
        <f>'Outras emissões de processo'!F239</f>
        <v>0</v>
      </c>
      <c r="G182" t="str">
        <f>'Outras emissões de processo'!G239</f>
        <v/>
      </c>
      <c r="H182">
        <f>'Outras emissões de processo'!H239</f>
        <v>0</v>
      </c>
      <c r="I182">
        <f>'Outras emissões de processo'!I239</f>
        <v>0</v>
      </c>
      <c r="J182" t="str">
        <f>'Outras emissões de processo'!J239</f>
        <v/>
      </c>
      <c r="K182">
        <f>'Outras emissões de processo'!K239</f>
        <v>0</v>
      </c>
      <c r="L182">
        <f>'Outras emissões de processo'!L239</f>
        <v>0</v>
      </c>
      <c r="M182">
        <f>'Outras emissões de processo'!M239</f>
        <v>0</v>
      </c>
      <c r="N182">
        <f>'Outras emissões de processo'!N239</f>
        <v>0</v>
      </c>
      <c r="O182">
        <f>'Outras emissões de processo'!O239</f>
        <v>0</v>
      </c>
      <c r="Q182" s="649">
        <f t="shared" si="22"/>
        <v>0</v>
      </c>
      <c r="R182" s="22">
        <f t="shared" si="23"/>
        <v>0</v>
      </c>
      <c r="S182" s="22" t="str">
        <f t="shared" si="24"/>
        <v/>
      </c>
      <c r="T182" s="22">
        <f t="shared" si="25"/>
        <v>0</v>
      </c>
      <c r="U182" s="22" t="str">
        <f t="shared" si="28"/>
        <v>00</v>
      </c>
      <c r="V182" s="22">
        <f t="shared" si="26"/>
        <v>0</v>
      </c>
      <c r="W182" s="649">
        <f t="shared" si="27"/>
        <v>0</v>
      </c>
      <c r="X182" s="22">
        <f t="shared" si="29"/>
        <v>0</v>
      </c>
      <c r="Y182" s="22">
        <f t="shared" si="30"/>
        <v>0</v>
      </c>
      <c r="Z182" s="107">
        <f t="shared" si="31"/>
        <v>0</v>
      </c>
      <c r="AA182" s="107">
        <f t="shared" si="32"/>
        <v>0</v>
      </c>
      <c r="AB182" s="107">
        <f t="shared" si="33"/>
        <v>0</v>
      </c>
      <c r="AC182" s="22">
        <f t="shared" si="34"/>
        <v>0</v>
      </c>
    </row>
    <row r="183" spans="2:29" x14ac:dyDescent="0.25">
      <c r="B183">
        <f>'Outras emissões de processo'!B240</f>
        <v>0</v>
      </c>
      <c r="C183">
        <f>'Outras emissões de processo'!C240</f>
        <v>0</v>
      </c>
      <c r="D183">
        <f>'Outras emissões de processo'!D240</f>
        <v>0</v>
      </c>
      <c r="E183">
        <f>'Outras emissões de processo'!E240</f>
        <v>0</v>
      </c>
      <c r="F183">
        <f>'Outras emissões de processo'!F240</f>
        <v>0</v>
      </c>
      <c r="G183" t="str">
        <f>'Outras emissões de processo'!G240</f>
        <v/>
      </c>
      <c r="H183">
        <f>'Outras emissões de processo'!H240</f>
        <v>0</v>
      </c>
      <c r="I183">
        <f>'Outras emissões de processo'!I240</f>
        <v>0</v>
      </c>
      <c r="J183" t="str">
        <f>'Outras emissões de processo'!J240</f>
        <v/>
      </c>
      <c r="K183">
        <f>'Outras emissões de processo'!K240</f>
        <v>0</v>
      </c>
      <c r="L183">
        <f>'Outras emissões de processo'!L240</f>
        <v>0</v>
      </c>
      <c r="M183">
        <f>'Outras emissões de processo'!M240</f>
        <v>0</v>
      </c>
      <c r="N183">
        <f>'Outras emissões de processo'!N240</f>
        <v>0</v>
      </c>
      <c r="O183">
        <f>'Outras emissões de processo'!O240</f>
        <v>0</v>
      </c>
      <c r="Q183" s="649">
        <f t="shared" si="22"/>
        <v>0</v>
      </c>
      <c r="R183" s="22">
        <f t="shared" si="23"/>
        <v>0</v>
      </c>
      <c r="S183" s="22" t="str">
        <f t="shared" si="24"/>
        <v/>
      </c>
      <c r="T183" s="22">
        <f t="shared" si="25"/>
        <v>0</v>
      </c>
      <c r="U183" s="22" t="str">
        <f t="shared" si="28"/>
        <v>00</v>
      </c>
      <c r="V183" s="22">
        <f t="shared" si="26"/>
        <v>0</v>
      </c>
      <c r="W183" s="649">
        <f t="shared" si="27"/>
        <v>0</v>
      </c>
      <c r="X183" s="22">
        <f t="shared" si="29"/>
        <v>0</v>
      </c>
      <c r="Y183" s="22">
        <f t="shared" si="30"/>
        <v>0</v>
      </c>
      <c r="Z183" s="107">
        <f t="shared" si="31"/>
        <v>0</v>
      </c>
      <c r="AA183" s="107">
        <f t="shared" si="32"/>
        <v>0</v>
      </c>
      <c r="AB183" s="107">
        <f t="shared" si="33"/>
        <v>0</v>
      </c>
      <c r="AC183" s="22">
        <f t="shared" si="34"/>
        <v>0</v>
      </c>
    </row>
    <row r="184" spans="2:29" x14ac:dyDescent="0.25">
      <c r="B184">
        <f>'Outras emissões de processo'!B241</f>
        <v>0</v>
      </c>
      <c r="C184">
        <f>'Outras emissões de processo'!C241</f>
        <v>0</v>
      </c>
      <c r="D184">
        <f>'Outras emissões de processo'!D241</f>
        <v>0</v>
      </c>
      <c r="E184">
        <f>'Outras emissões de processo'!E241</f>
        <v>0</v>
      </c>
      <c r="F184">
        <f>'Outras emissões de processo'!F241</f>
        <v>0</v>
      </c>
      <c r="G184" t="str">
        <f>'Outras emissões de processo'!G241</f>
        <v/>
      </c>
      <c r="H184">
        <f>'Outras emissões de processo'!H241</f>
        <v>0</v>
      </c>
      <c r="I184">
        <f>'Outras emissões de processo'!I241</f>
        <v>0</v>
      </c>
      <c r="J184" t="str">
        <f>'Outras emissões de processo'!J241</f>
        <v/>
      </c>
      <c r="K184">
        <f>'Outras emissões de processo'!K241</f>
        <v>0</v>
      </c>
      <c r="L184">
        <f>'Outras emissões de processo'!L241</f>
        <v>0</v>
      </c>
      <c r="M184">
        <f>'Outras emissões de processo'!M241</f>
        <v>0</v>
      </c>
      <c r="N184">
        <f>'Outras emissões de processo'!N241</f>
        <v>0</v>
      </c>
      <c r="O184">
        <f>'Outras emissões de processo'!O241</f>
        <v>0</v>
      </c>
      <c r="Q184" s="649">
        <f t="shared" si="22"/>
        <v>0</v>
      </c>
      <c r="R184" s="22">
        <f t="shared" si="23"/>
        <v>0</v>
      </c>
      <c r="S184" s="22" t="str">
        <f t="shared" si="24"/>
        <v/>
      </c>
      <c r="T184" s="22">
        <f t="shared" si="25"/>
        <v>0</v>
      </c>
      <c r="U184" s="22" t="str">
        <f t="shared" si="28"/>
        <v>00</v>
      </c>
      <c r="V184" s="22">
        <f t="shared" si="26"/>
        <v>0</v>
      </c>
      <c r="W184" s="649">
        <f t="shared" si="27"/>
        <v>0</v>
      </c>
      <c r="X184" s="22">
        <f t="shared" si="29"/>
        <v>0</v>
      </c>
      <c r="Y184" s="22">
        <f t="shared" si="30"/>
        <v>0</v>
      </c>
      <c r="Z184" s="107">
        <f t="shared" si="31"/>
        <v>0</v>
      </c>
      <c r="AA184" s="107">
        <f t="shared" si="32"/>
        <v>0</v>
      </c>
      <c r="AB184" s="107">
        <f t="shared" si="33"/>
        <v>0</v>
      </c>
      <c r="AC184" s="22">
        <f t="shared" si="34"/>
        <v>0</v>
      </c>
    </row>
    <row r="185" spans="2:29" x14ac:dyDescent="0.25">
      <c r="B185">
        <f>'Outras emissões de processo'!B242</f>
        <v>0</v>
      </c>
      <c r="C185">
        <f>'Outras emissões de processo'!C242</f>
        <v>0</v>
      </c>
      <c r="D185">
        <f>'Outras emissões de processo'!D242</f>
        <v>0</v>
      </c>
      <c r="E185">
        <f>'Outras emissões de processo'!E242</f>
        <v>0</v>
      </c>
      <c r="F185">
        <f>'Outras emissões de processo'!F242</f>
        <v>0</v>
      </c>
      <c r="G185" t="str">
        <f>'Outras emissões de processo'!G242</f>
        <v/>
      </c>
      <c r="H185">
        <f>'Outras emissões de processo'!H242</f>
        <v>0</v>
      </c>
      <c r="I185">
        <f>'Outras emissões de processo'!I242</f>
        <v>0</v>
      </c>
      <c r="J185" t="str">
        <f>'Outras emissões de processo'!J242</f>
        <v/>
      </c>
      <c r="K185">
        <f>'Outras emissões de processo'!K242</f>
        <v>0</v>
      </c>
      <c r="L185">
        <f>'Outras emissões de processo'!L242</f>
        <v>0</v>
      </c>
      <c r="M185">
        <f>'Outras emissões de processo'!M242</f>
        <v>0</v>
      </c>
      <c r="N185">
        <f>'Outras emissões de processo'!N242</f>
        <v>0</v>
      </c>
      <c r="O185">
        <f>'Outras emissões de processo'!O242</f>
        <v>0</v>
      </c>
      <c r="Q185" s="649">
        <f t="shared" si="22"/>
        <v>0</v>
      </c>
      <c r="R185" s="22">
        <f t="shared" si="23"/>
        <v>0</v>
      </c>
      <c r="S185" s="22" t="str">
        <f t="shared" si="24"/>
        <v/>
      </c>
      <c r="T185" s="22">
        <f t="shared" si="25"/>
        <v>0</v>
      </c>
      <c r="U185" s="22" t="str">
        <f t="shared" si="28"/>
        <v>00</v>
      </c>
      <c r="V185" s="22">
        <f t="shared" si="26"/>
        <v>0</v>
      </c>
      <c r="W185" s="649">
        <f t="shared" si="27"/>
        <v>0</v>
      </c>
      <c r="X185" s="22">
        <f t="shared" si="29"/>
        <v>0</v>
      </c>
      <c r="Y185" s="22">
        <f t="shared" si="30"/>
        <v>0</v>
      </c>
      <c r="Z185" s="107">
        <f t="shared" si="31"/>
        <v>0</v>
      </c>
      <c r="AA185" s="107">
        <f t="shared" si="32"/>
        <v>0</v>
      </c>
      <c r="AB185" s="107">
        <f t="shared" si="33"/>
        <v>0</v>
      </c>
      <c r="AC185" s="22">
        <f t="shared" si="34"/>
        <v>0</v>
      </c>
    </row>
    <row r="186" spans="2:29" x14ac:dyDescent="0.25">
      <c r="B186">
        <f>'Outras emissões de processo'!B243</f>
        <v>0</v>
      </c>
      <c r="C186">
        <f>'Outras emissões de processo'!C243</f>
        <v>0</v>
      </c>
      <c r="D186">
        <f>'Outras emissões de processo'!D243</f>
        <v>0</v>
      </c>
      <c r="E186">
        <f>'Outras emissões de processo'!E243</f>
        <v>0</v>
      </c>
      <c r="F186">
        <f>'Outras emissões de processo'!F243</f>
        <v>0</v>
      </c>
      <c r="G186" t="str">
        <f>'Outras emissões de processo'!G243</f>
        <v/>
      </c>
      <c r="H186">
        <f>'Outras emissões de processo'!H243</f>
        <v>0</v>
      </c>
      <c r="I186">
        <f>'Outras emissões de processo'!I243</f>
        <v>0</v>
      </c>
      <c r="J186" t="str">
        <f>'Outras emissões de processo'!J243</f>
        <v/>
      </c>
      <c r="K186">
        <f>'Outras emissões de processo'!K243</f>
        <v>0</v>
      </c>
      <c r="L186">
        <f>'Outras emissões de processo'!L243</f>
        <v>0</v>
      </c>
      <c r="M186">
        <f>'Outras emissões de processo'!M243</f>
        <v>0</v>
      </c>
      <c r="N186">
        <f>'Outras emissões de processo'!N243</f>
        <v>0</v>
      </c>
      <c r="O186">
        <f>'Outras emissões de processo'!O243</f>
        <v>0</v>
      </c>
      <c r="Q186" s="649">
        <f t="shared" si="22"/>
        <v>0</v>
      </c>
      <c r="R186" s="22">
        <f t="shared" si="23"/>
        <v>0</v>
      </c>
      <c r="S186" s="22" t="str">
        <f t="shared" si="24"/>
        <v/>
      </c>
      <c r="T186" s="22">
        <f t="shared" si="25"/>
        <v>0</v>
      </c>
      <c r="U186" s="22" t="str">
        <f t="shared" si="28"/>
        <v>00</v>
      </c>
      <c r="V186" s="22">
        <f t="shared" si="26"/>
        <v>0</v>
      </c>
      <c r="W186" s="649">
        <f t="shared" si="27"/>
        <v>0</v>
      </c>
      <c r="X186" s="22">
        <f t="shared" si="29"/>
        <v>0</v>
      </c>
      <c r="Y186" s="22">
        <f t="shared" si="30"/>
        <v>0</v>
      </c>
      <c r="Z186" s="107">
        <f t="shared" si="31"/>
        <v>0</v>
      </c>
      <c r="AA186" s="107">
        <f t="shared" si="32"/>
        <v>0</v>
      </c>
      <c r="AB186" s="107">
        <f t="shared" si="33"/>
        <v>0</v>
      </c>
      <c r="AC186" s="22">
        <f t="shared" si="34"/>
        <v>0</v>
      </c>
    </row>
    <row r="187" spans="2:29" x14ac:dyDescent="0.25">
      <c r="B187">
        <f>'Outras emissões de processo'!B244</f>
        <v>0</v>
      </c>
      <c r="C187">
        <f>'Outras emissões de processo'!C244</f>
        <v>0</v>
      </c>
      <c r="D187">
        <f>'Outras emissões de processo'!D244</f>
        <v>0</v>
      </c>
      <c r="E187">
        <f>'Outras emissões de processo'!E244</f>
        <v>0</v>
      </c>
      <c r="F187">
        <f>'Outras emissões de processo'!F244</f>
        <v>0</v>
      </c>
      <c r="G187" t="str">
        <f>'Outras emissões de processo'!G244</f>
        <v/>
      </c>
      <c r="H187">
        <f>'Outras emissões de processo'!H244</f>
        <v>0</v>
      </c>
      <c r="I187">
        <f>'Outras emissões de processo'!I244</f>
        <v>0</v>
      </c>
      <c r="J187" t="str">
        <f>'Outras emissões de processo'!J244</f>
        <v/>
      </c>
      <c r="K187">
        <f>'Outras emissões de processo'!K244</f>
        <v>0</v>
      </c>
      <c r="L187">
        <f>'Outras emissões de processo'!L244</f>
        <v>0</v>
      </c>
      <c r="M187">
        <f>'Outras emissões de processo'!M244</f>
        <v>0</v>
      </c>
      <c r="N187">
        <f>'Outras emissões de processo'!N244</f>
        <v>0</v>
      </c>
      <c r="O187">
        <f>'Outras emissões de processo'!O244</f>
        <v>0</v>
      </c>
      <c r="Q187" s="649">
        <f t="shared" si="22"/>
        <v>0</v>
      </c>
      <c r="R187" s="22">
        <f t="shared" si="23"/>
        <v>0</v>
      </c>
      <c r="S187" s="22" t="str">
        <f t="shared" si="24"/>
        <v/>
      </c>
      <c r="T187" s="22">
        <f t="shared" si="25"/>
        <v>0</v>
      </c>
      <c r="U187" s="22" t="str">
        <f t="shared" si="28"/>
        <v>00</v>
      </c>
      <c r="V187" s="22">
        <f t="shared" si="26"/>
        <v>0</v>
      </c>
      <c r="W187" s="649">
        <f t="shared" si="27"/>
        <v>0</v>
      </c>
      <c r="X187" s="22">
        <f t="shared" si="29"/>
        <v>0</v>
      </c>
      <c r="Y187" s="22">
        <f t="shared" si="30"/>
        <v>0</v>
      </c>
      <c r="Z187" s="107">
        <f t="shared" si="31"/>
        <v>0</v>
      </c>
      <c r="AA187" s="107">
        <f t="shared" si="32"/>
        <v>0</v>
      </c>
      <c r="AB187" s="107">
        <f t="shared" si="33"/>
        <v>0</v>
      </c>
      <c r="AC187" s="22">
        <f t="shared" si="34"/>
        <v>0</v>
      </c>
    </row>
    <row r="188" spans="2:29" x14ac:dyDescent="0.25">
      <c r="B188">
        <f>'Outras emissões de processo'!B245</f>
        <v>0</v>
      </c>
      <c r="C188">
        <f>'Outras emissões de processo'!C245</f>
        <v>0</v>
      </c>
      <c r="D188">
        <f>'Outras emissões de processo'!D245</f>
        <v>0</v>
      </c>
      <c r="E188">
        <f>'Outras emissões de processo'!E245</f>
        <v>0</v>
      </c>
      <c r="F188">
        <f>'Outras emissões de processo'!F245</f>
        <v>0</v>
      </c>
      <c r="G188" t="str">
        <f>'Outras emissões de processo'!G245</f>
        <v/>
      </c>
      <c r="H188">
        <f>'Outras emissões de processo'!H245</f>
        <v>0</v>
      </c>
      <c r="I188">
        <f>'Outras emissões de processo'!I245</f>
        <v>0</v>
      </c>
      <c r="J188" t="str">
        <f>'Outras emissões de processo'!J245</f>
        <v/>
      </c>
      <c r="K188">
        <f>'Outras emissões de processo'!K245</f>
        <v>0</v>
      </c>
      <c r="L188">
        <f>'Outras emissões de processo'!L245</f>
        <v>0</v>
      </c>
      <c r="M188">
        <f>'Outras emissões de processo'!M245</f>
        <v>0</v>
      </c>
      <c r="N188">
        <f>'Outras emissões de processo'!N245</f>
        <v>0</v>
      </c>
      <c r="O188">
        <f>'Outras emissões de processo'!O245</f>
        <v>0</v>
      </c>
      <c r="Q188" s="649">
        <f t="shared" si="22"/>
        <v>0</v>
      </c>
      <c r="R188" s="22">
        <f t="shared" si="23"/>
        <v>0</v>
      </c>
      <c r="S188" s="22" t="str">
        <f t="shared" si="24"/>
        <v/>
      </c>
      <c r="T188" s="22">
        <f t="shared" si="25"/>
        <v>0</v>
      </c>
      <c r="U188" s="22" t="str">
        <f t="shared" si="28"/>
        <v>00</v>
      </c>
      <c r="V188" s="22">
        <f t="shared" si="26"/>
        <v>0</v>
      </c>
      <c r="W188" s="649">
        <f t="shared" si="27"/>
        <v>0</v>
      </c>
      <c r="X188" s="22">
        <f t="shared" si="29"/>
        <v>0</v>
      </c>
      <c r="Y188" s="22">
        <f t="shared" si="30"/>
        <v>0</v>
      </c>
      <c r="Z188" s="107">
        <f t="shared" si="31"/>
        <v>0</v>
      </c>
      <c r="AA188" s="107">
        <f t="shared" si="32"/>
        <v>0</v>
      </c>
      <c r="AB188" s="107">
        <f t="shared" si="33"/>
        <v>0</v>
      </c>
      <c r="AC188" s="22">
        <f t="shared" si="34"/>
        <v>0</v>
      </c>
    </row>
    <row r="189" spans="2:29" x14ac:dyDescent="0.25">
      <c r="B189">
        <f>'Outras emissões de processo'!B246</f>
        <v>0</v>
      </c>
      <c r="C189">
        <f>'Outras emissões de processo'!C246</f>
        <v>0</v>
      </c>
      <c r="D189">
        <f>'Outras emissões de processo'!D246</f>
        <v>0</v>
      </c>
      <c r="E189">
        <f>'Outras emissões de processo'!E246</f>
        <v>0</v>
      </c>
      <c r="F189">
        <f>'Outras emissões de processo'!F246</f>
        <v>0</v>
      </c>
      <c r="G189" t="str">
        <f>'Outras emissões de processo'!G246</f>
        <v/>
      </c>
      <c r="H189">
        <f>'Outras emissões de processo'!H246</f>
        <v>0</v>
      </c>
      <c r="I189">
        <f>'Outras emissões de processo'!I246</f>
        <v>0</v>
      </c>
      <c r="J189" t="str">
        <f>'Outras emissões de processo'!J246</f>
        <v/>
      </c>
      <c r="K189">
        <f>'Outras emissões de processo'!K246</f>
        <v>0</v>
      </c>
      <c r="L189">
        <f>'Outras emissões de processo'!L246</f>
        <v>0</v>
      </c>
      <c r="M189">
        <f>'Outras emissões de processo'!M246</f>
        <v>0</v>
      </c>
      <c r="N189">
        <f>'Outras emissões de processo'!N246</f>
        <v>0</v>
      </c>
      <c r="O189">
        <f>'Outras emissões de processo'!O246</f>
        <v>0</v>
      </c>
      <c r="Q189" s="649">
        <f t="shared" si="22"/>
        <v>0</v>
      </c>
      <c r="R189" s="22">
        <f t="shared" si="23"/>
        <v>0</v>
      </c>
      <c r="S189" s="22" t="str">
        <f t="shared" si="24"/>
        <v/>
      </c>
      <c r="T189" s="22">
        <f t="shared" si="25"/>
        <v>0</v>
      </c>
      <c r="U189" s="22" t="str">
        <f t="shared" si="28"/>
        <v>00</v>
      </c>
      <c r="V189" s="22">
        <f t="shared" si="26"/>
        <v>0</v>
      </c>
      <c r="W189" s="649">
        <f t="shared" si="27"/>
        <v>0</v>
      </c>
      <c r="X189" s="22">
        <f t="shared" si="29"/>
        <v>0</v>
      </c>
      <c r="Y189" s="22">
        <f t="shared" si="30"/>
        <v>0</v>
      </c>
      <c r="Z189" s="107">
        <f t="shared" si="31"/>
        <v>0</v>
      </c>
      <c r="AA189" s="107">
        <f t="shared" si="32"/>
        <v>0</v>
      </c>
      <c r="AB189" s="107">
        <f t="shared" si="33"/>
        <v>0</v>
      </c>
      <c r="AC189" s="22">
        <f t="shared" si="34"/>
        <v>0</v>
      </c>
    </row>
    <row r="190" spans="2:29" x14ac:dyDescent="0.25">
      <c r="B190">
        <f>'Outras emissões de processo'!B247</f>
        <v>0</v>
      </c>
      <c r="C190">
        <f>'Outras emissões de processo'!C247</f>
        <v>0</v>
      </c>
      <c r="D190">
        <f>'Outras emissões de processo'!D247</f>
        <v>0</v>
      </c>
      <c r="E190">
        <f>'Outras emissões de processo'!E247</f>
        <v>0</v>
      </c>
      <c r="F190">
        <f>'Outras emissões de processo'!F247</f>
        <v>0</v>
      </c>
      <c r="G190" t="str">
        <f>'Outras emissões de processo'!G247</f>
        <v/>
      </c>
      <c r="H190">
        <f>'Outras emissões de processo'!H247</f>
        <v>0</v>
      </c>
      <c r="I190">
        <f>'Outras emissões de processo'!I247</f>
        <v>0</v>
      </c>
      <c r="J190" t="str">
        <f>'Outras emissões de processo'!J247</f>
        <v/>
      </c>
      <c r="K190">
        <f>'Outras emissões de processo'!K247</f>
        <v>0</v>
      </c>
      <c r="L190">
        <f>'Outras emissões de processo'!L247</f>
        <v>0</v>
      </c>
      <c r="M190">
        <f>'Outras emissões de processo'!M247</f>
        <v>0</v>
      </c>
      <c r="N190">
        <f>'Outras emissões de processo'!N247</f>
        <v>0</v>
      </c>
      <c r="O190">
        <f>'Outras emissões de processo'!O247</f>
        <v>0</v>
      </c>
      <c r="Q190" s="649">
        <f t="shared" si="22"/>
        <v>0</v>
      </c>
      <c r="R190" s="22">
        <f t="shared" si="23"/>
        <v>0</v>
      </c>
      <c r="S190" s="22" t="str">
        <f t="shared" si="24"/>
        <v/>
      </c>
      <c r="T190" s="22">
        <f t="shared" si="25"/>
        <v>0</v>
      </c>
      <c r="U190" s="22" t="str">
        <f t="shared" si="28"/>
        <v>00</v>
      </c>
      <c r="V190" s="22">
        <f t="shared" si="26"/>
        <v>0</v>
      </c>
      <c r="W190" s="649">
        <f t="shared" si="27"/>
        <v>0</v>
      </c>
      <c r="X190" s="22">
        <f t="shared" si="29"/>
        <v>0</v>
      </c>
      <c r="Y190" s="22">
        <f t="shared" si="30"/>
        <v>0</v>
      </c>
      <c r="Z190" s="107">
        <f t="shared" si="31"/>
        <v>0</v>
      </c>
      <c r="AA190" s="107">
        <f t="shared" si="32"/>
        <v>0</v>
      </c>
      <c r="AB190" s="107">
        <f t="shared" si="33"/>
        <v>0</v>
      </c>
      <c r="AC190" s="22">
        <f t="shared" si="34"/>
        <v>0</v>
      </c>
    </row>
    <row r="191" spans="2:29" x14ac:dyDescent="0.25">
      <c r="B191">
        <f>'Outras emissões de processo'!B248</f>
        <v>0</v>
      </c>
      <c r="C191">
        <f>'Outras emissões de processo'!C248</f>
        <v>0</v>
      </c>
      <c r="D191">
        <f>'Outras emissões de processo'!D248</f>
        <v>0</v>
      </c>
      <c r="E191">
        <f>'Outras emissões de processo'!E248</f>
        <v>0</v>
      </c>
      <c r="F191">
        <f>'Outras emissões de processo'!F248</f>
        <v>0</v>
      </c>
      <c r="G191" t="str">
        <f>'Outras emissões de processo'!G248</f>
        <v/>
      </c>
      <c r="H191">
        <f>'Outras emissões de processo'!H248</f>
        <v>0</v>
      </c>
      <c r="I191">
        <f>'Outras emissões de processo'!I248</f>
        <v>0</v>
      </c>
      <c r="J191" t="str">
        <f>'Outras emissões de processo'!J248</f>
        <v/>
      </c>
      <c r="K191">
        <f>'Outras emissões de processo'!K248</f>
        <v>0</v>
      </c>
      <c r="L191">
        <f>'Outras emissões de processo'!L248</f>
        <v>0</v>
      </c>
      <c r="M191">
        <f>'Outras emissões de processo'!M248</f>
        <v>0</v>
      </c>
      <c r="N191">
        <f>'Outras emissões de processo'!N248</f>
        <v>0</v>
      </c>
      <c r="O191">
        <f>'Outras emissões de processo'!O248</f>
        <v>0</v>
      </c>
      <c r="Q191" s="649">
        <f t="shared" si="22"/>
        <v>0</v>
      </c>
      <c r="R191" s="22">
        <f t="shared" si="23"/>
        <v>0</v>
      </c>
      <c r="S191" s="22" t="str">
        <f t="shared" si="24"/>
        <v/>
      </c>
      <c r="T191" s="22">
        <f t="shared" si="25"/>
        <v>0</v>
      </c>
      <c r="U191" s="22" t="str">
        <f t="shared" si="28"/>
        <v>00</v>
      </c>
      <c r="V191" s="22">
        <f t="shared" si="26"/>
        <v>0</v>
      </c>
      <c r="W191" s="649">
        <f t="shared" si="27"/>
        <v>0</v>
      </c>
      <c r="X191" s="22">
        <f t="shared" si="29"/>
        <v>0</v>
      </c>
      <c r="Y191" s="22">
        <f t="shared" si="30"/>
        <v>0</v>
      </c>
      <c r="Z191" s="107">
        <f t="shared" si="31"/>
        <v>0</v>
      </c>
      <c r="AA191" s="107">
        <f t="shared" si="32"/>
        <v>0</v>
      </c>
      <c r="AB191" s="107">
        <f t="shared" si="33"/>
        <v>0</v>
      </c>
      <c r="AC191" s="22">
        <f t="shared" si="34"/>
        <v>0</v>
      </c>
    </row>
    <row r="192" spans="2:29" x14ac:dyDescent="0.25">
      <c r="B192">
        <f>'Outras emissões de processo'!B249</f>
        <v>0</v>
      </c>
      <c r="C192">
        <f>'Outras emissões de processo'!C249</f>
        <v>0</v>
      </c>
      <c r="D192">
        <f>'Outras emissões de processo'!D249</f>
        <v>0</v>
      </c>
      <c r="E192">
        <f>'Outras emissões de processo'!E249</f>
        <v>0</v>
      </c>
      <c r="F192">
        <f>'Outras emissões de processo'!F249</f>
        <v>0</v>
      </c>
      <c r="G192" t="str">
        <f>'Outras emissões de processo'!G249</f>
        <v/>
      </c>
      <c r="H192">
        <f>'Outras emissões de processo'!H249</f>
        <v>0</v>
      </c>
      <c r="I192">
        <f>'Outras emissões de processo'!I249</f>
        <v>0</v>
      </c>
      <c r="J192" t="str">
        <f>'Outras emissões de processo'!J249</f>
        <v/>
      </c>
      <c r="K192">
        <f>'Outras emissões de processo'!K249</f>
        <v>0</v>
      </c>
      <c r="L192">
        <f>'Outras emissões de processo'!L249</f>
        <v>0</v>
      </c>
      <c r="M192">
        <f>'Outras emissões de processo'!M249</f>
        <v>0</v>
      </c>
      <c r="N192">
        <f>'Outras emissões de processo'!N249</f>
        <v>0</v>
      </c>
      <c r="O192">
        <f>'Outras emissões de processo'!O249</f>
        <v>0</v>
      </c>
      <c r="Q192" s="649">
        <f t="shared" si="22"/>
        <v>0</v>
      </c>
      <c r="R192" s="22">
        <f t="shared" si="23"/>
        <v>0</v>
      </c>
      <c r="S192" s="22" t="str">
        <f t="shared" si="24"/>
        <v/>
      </c>
      <c r="T192" s="22">
        <f t="shared" si="25"/>
        <v>0</v>
      </c>
      <c r="U192" s="22" t="str">
        <f t="shared" si="28"/>
        <v>00</v>
      </c>
      <c r="V192" s="22">
        <f t="shared" si="26"/>
        <v>0</v>
      </c>
      <c r="W192" s="649">
        <f t="shared" si="27"/>
        <v>0</v>
      </c>
      <c r="X192" s="22">
        <f t="shared" si="29"/>
        <v>0</v>
      </c>
      <c r="Y192" s="22">
        <f t="shared" si="30"/>
        <v>0</v>
      </c>
      <c r="Z192" s="107">
        <f t="shared" si="31"/>
        <v>0</v>
      </c>
      <c r="AA192" s="107">
        <f t="shared" si="32"/>
        <v>0</v>
      </c>
      <c r="AB192" s="107">
        <f t="shared" si="33"/>
        <v>0</v>
      </c>
      <c r="AC192" s="22">
        <f t="shared" si="34"/>
        <v>0</v>
      </c>
    </row>
    <row r="193" spans="2:29" x14ac:dyDescent="0.25">
      <c r="B193">
        <f>'Outras emissões de processo'!B250</f>
        <v>0</v>
      </c>
      <c r="C193">
        <f>'Outras emissões de processo'!C250</f>
        <v>0</v>
      </c>
      <c r="D193">
        <f>'Outras emissões de processo'!D250</f>
        <v>0</v>
      </c>
      <c r="E193">
        <f>'Outras emissões de processo'!E250</f>
        <v>0</v>
      </c>
      <c r="F193">
        <f>'Outras emissões de processo'!F250</f>
        <v>0</v>
      </c>
      <c r="G193" t="str">
        <f>'Outras emissões de processo'!G250</f>
        <v/>
      </c>
      <c r="H193">
        <f>'Outras emissões de processo'!H250</f>
        <v>0</v>
      </c>
      <c r="I193">
        <f>'Outras emissões de processo'!I250</f>
        <v>0</v>
      </c>
      <c r="J193" t="str">
        <f>'Outras emissões de processo'!J250</f>
        <v/>
      </c>
      <c r="K193">
        <f>'Outras emissões de processo'!K250</f>
        <v>0</v>
      </c>
      <c r="L193">
        <f>'Outras emissões de processo'!L250</f>
        <v>0</v>
      </c>
      <c r="M193">
        <f>'Outras emissões de processo'!M250</f>
        <v>0</v>
      </c>
      <c r="N193">
        <f>'Outras emissões de processo'!N250</f>
        <v>0</v>
      </c>
      <c r="O193">
        <f>'Outras emissões de processo'!O250</f>
        <v>0</v>
      </c>
      <c r="Q193" s="649">
        <f t="shared" si="22"/>
        <v>0</v>
      </c>
      <c r="R193" s="22">
        <f t="shared" si="23"/>
        <v>0</v>
      </c>
      <c r="S193" s="22" t="str">
        <f t="shared" si="24"/>
        <v/>
      </c>
      <c r="T193" s="22">
        <f t="shared" si="25"/>
        <v>0</v>
      </c>
      <c r="U193" s="22" t="str">
        <f t="shared" si="28"/>
        <v>00</v>
      </c>
      <c r="V193" s="22">
        <f t="shared" si="26"/>
        <v>0</v>
      </c>
      <c r="W193" s="649">
        <f t="shared" si="27"/>
        <v>0</v>
      </c>
      <c r="X193" s="22">
        <f t="shared" si="29"/>
        <v>0</v>
      </c>
      <c r="Y193" s="22">
        <f t="shared" si="30"/>
        <v>0</v>
      </c>
      <c r="Z193" s="107">
        <f t="shared" si="31"/>
        <v>0</v>
      </c>
      <c r="AA193" s="107">
        <f t="shared" si="32"/>
        <v>0</v>
      </c>
      <c r="AB193" s="107">
        <f t="shared" si="33"/>
        <v>0</v>
      </c>
      <c r="AC193" s="22">
        <f t="shared" si="34"/>
        <v>0</v>
      </c>
    </row>
    <row r="194" spans="2:29" x14ac:dyDescent="0.25">
      <c r="B194">
        <f>'Outras emissões de processo'!B251</f>
        <v>0</v>
      </c>
      <c r="C194">
        <f>'Outras emissões de processo'!C251</f>
        <v>0</v>
      </c>
      <c r="D194">
        <f>'Outras emissões de processo'!D251</f>
        <v>0</v>
      </c>
      <c r="E194">
        <f>'Outras emissões de processo'!E251</f>
        <v>0</v>
      </c>
      <c r="F194">
        <f>'Outras emissões de processo'!F251</f>
        <v>0</v>
      </c>
      <c r="G194" t="str">
        <f>'Outras emissões de processo'!G251</f>
        <v/>
      </c>
      <c r="H194">
        <f>'Outras emissões de processo'!H251</f>
        <v>0</v>
      </c>
      <c r="I194">
        <f>'Outras emissões de processo'!I251</f>
        <v>0</v>
      </c>
      <c r="J194" t="str">
        <f>'Outras emissões de processo'!J251</f>
        <v/>
      </c>
      <c r="K194">
        <f>'Outras emissões de processo'!K251</f>
        <v>0</v>
      </c>
      <c r="L194">
        <f>'Outras emissões de processo'!L251</f>
        <v>0</v>
      </c>
      <c r="M194">
        <f>'Outras emissões de processo'!M251</f>
        <v>0</v>
      </c>
      <c r="N194">
        <f>'Outras emissões de processo'!N251</f>
        <v>0</v>
      </c>
      <c r="O194">
        <f>'Outras emissões de processo'!O251</f>
        <v>0</v>
      </c>
      <c r="Q194" s="649">
        <f t="shared" si="22"/>
        <v>0</v>
      </c>
      <c r="R194" s="22">
        <f t="shared" si="23"/>
        <v>0</v>
      </c>
      <c r="S194" s="22" t="str">
        <f t="shared" si="24"/>
        <v/>
      </c>
      <c r="T194" s="22">
        <f t="shared" si="25"/>
        <v>0</v>
      </c>
      <c r="U194" s="22" t="str">
        <f t="shared" si="28"/>
        <v>00</v>
      </c>
      <c r="V194" s="22">
        <f t="shared" si="26"/>
        <v>0</v>
      </c>
      <c r="W194" s="649">
        <f t="shared" si="27"/>
        <v>0</v>
      </c>
      <c r="X194" s="22">
        <f t="shared" si="29"/>
        <v>0</v>
      </c>
      <c r="Y194" s="22">
        <f t="shared" si="30"/>
        <v>0</v>
      </c>
      <c r="Z194" s="107">
        <f t="shared" si="31"/>
        <v>0</v>
      </c>
      <c r="AA194" s="107">
        <f t="shared" si="32"/>
        <v>0</v>
      </c>
      <c r="AB194" s="107">
        <f t="shared" si="33"/>
        <v>0</v>
      </c>
      <c r="AC194" s="22">
        <f t="shared" si="34"/>
        <v>0</v>
      </c>
    </row>
    <row r="195" spans="2:29" x14ac:dyDescent="0.25">
      <c r="B195">
        <f>'Outras emissões de processo'!B252</f>
        <v>0</v>
      </c>
      <c r="C195">
        <f>'Outras emissões de processo'!C252</f>
        <v>0</v>
      </c>
      <c r="D195">
        <f>'Outras emissões de processo'!D252</f>
        <v>0</v>
      </c>
      <c r="E195">
        <f>'Outras emissões de processo'!E252</f>
        <v>0</v>
      </c>
      <c r="F195">
        <f>'Outras emissões de processo'!F252</f>
        <v>0</v>
      </c>
      <c r="G195" t="str">
        <f>'Outras emissões de processo'!G252</f>
        <v/>
      </c>
      <c r="H195">
        <f>'Outras emissões de processo'!H252</f>
        <v>0</v>
      </c>
      <c r="I195">
        <f>'Outras emissões de processo'!I252</f>
        <v>0</v>
      </c>
      <c r="J195" t="str">
        <f>'Outras emissões de processo'!J252</f>
        <v/>
      </c>
      <c r="K195">
        <f>'Outras emissões de processo'!K252</f>
        <v>0</v>
      </c>
      <c r="L195">
        <f>'Outras emissões de processo'!L252</f>
        <v>0</v>
      </c>
      <c r="M195">
        <f>'Outras emissões de processo'!M252</f>
        <v>0</v>
      </c>
      <c r="N195">
        <f>'Outras emissões de processo'!N252</f>
        <v>0</v>
      </c>
      <c r="O195">
        <f>'Outras emissões de processo'!O252</f>
        <v>0</v>
      </c>
      <c r="Q195" s="649">
        <f t="shared" si="22"/>
        <v>0</v>
      </c>
      <c r="R195" s="22">
        <f t="shared" si="23"/>
        <v>0</v>
      </c>
      <c r="S195" s="22" t="str">
        <f t="shared" si="24"/>
        <v/>
      </c>
      <c r="T195" s="22">
        <f t="shared" si="25"/>
        <v>0</v>
      </c>
      <c r="U195" s="22" t="str">
        <f t="shared" si="28"/>
        <v>00</v>
      </c>
      <c r="V195" s="22">
        <f t="shared" si="26"/>
        <v>0</v>
      </c>
      <c r="W195" s="649">
        <f t="shared" si="27"/>
        <v>0</v>
      </c>
      <c r="X195" s="22">
        <f t="shared" si="29"/>
        <v>0</v>
      </c>
      <c r="Y195" s="22">
        <f t="shared" si="30"/>
        <v>0</v>
      </c>
      <c r="Z195" s="107">
        <f t="shared" si="31"/>
        <v>0</v>
      </c>
      <c r="AA195" s="107">
        <f t="shared" si="32"/>
        <v>0</v>
      </c>
      <c r="AB195" s="107">
        <f t="shared" si="33"/>
        <v>0</v>
      </c>
      <c r="AC195" s="22">
        <f t="shared" si="34"/>
        <v>0</v>
      </c>
    </row>
    <row r="196" spans="2:29" x14ac:dyDescent="0.25">
      <c r="B196">
        <f>'Outras emissões de processo'!B253</f>
        <v>0</v>
      </c>
      <c r="C196">
        <f>'Outras emissões de processo'!C253</f>
        <v>0</v>
      </c>
      <c r="D196">
        <f>'Outras emissões de processo'!D253</f>
        <v>0</v>
      </c>
      <c r="E196">
        <f>'Outras emissões de processo'!E253</f>
        <v>0</v>
      </c>
      <c r="F196">
        <f>'Outras emissões de processo'!F253</f>
        <v>0</v>
      </c>
      <c r="G196" t="str">
        <f>'Outras emissões de processo'!G253</f>
        <v/>
      </c>
      <c r="H196">
        <f>'Outras emissões de processo'!H253</f>
        <v>0</v>
      </c>
      <c r="I196">
        <f>'Outras emissões de processo'!I253</f>
        <v>0</v>
      </c>
      <c r="J196" t="str">
        <f>'Outras emissões de processo'!J253</f>
        <v/>
      </c>
      <c r="K196">
        <f>'Outras emissões de processo'!K253</f>
        <v>0</v>
      </c>
      <c r="L196">
        <f>'Outras emissões de processo'!L253</f>
        <v>0</v>
      </c>
      <c r="M196">
        <f>'Outras emissões de processo'!M253</f>
        <v>0</v>
      </c>
      <c r="N196">
        <f>'Outras emissões de processo'!N253</f>
        <v>0</v>
      </c>
      <c r="O196">
        <f>'Outras emissões de processo'!O253</f>
        <v>0</v>
      </c>
      <c r="Q196" s="649">
        <f t="shared" si="22"/>
        <v>0</v>
      </c>
      <c r="R196" s="22">
        <f t="shared" si="23"/>
        <v>0</v>
      </c>
      <c r="S196" s="22" t="str">
        <f t="shared" si="24"/>
        <v/>
      </c>
      <c r="T196" s="22">
        <f t="shared" si="25"/>
        <v>0</v>
      </c>
      <c r="U196" s="22" t="str">
        <f t="shared" si="28"/>
        <v>00</v>
      </c>
      <c r="V196" s="22">
        <f t="shared" si="26"/>
        <v>0</v>
      </c>
      <c r="W196" s="649">
        <f t="shared" si="27"/>
        <v>0</v>
      </c>
      <c r="X196" s="22">
        <f t="shared" si="29"/>
        <v>0</v>
      </c>
      <c r="Y196" s="22">
        <f t="shared" si="30"/>
        <v>0</v>
      </c>
      <c r="Z196" s="107">
        <f t="shared" si="31"/>
        <v>0</v>
      </c>
      <c r="AA196" s="107">
        <f t="shared" si="32"/>
        <v>0</v>
      </c>
      <c r="AB196" s="107">
        <f t="shared" si="33"/>
        <v>0</v>
      </c>
      <c r="AC196" s="22">
        <f t="shared" si="34"/>
        <v>0</v>
      </c>
    </row>
    <row r="197" spans="2:29" x14ac:dyDescent="0.25">
      <c r="B197">
        <f>'Outras emissões de processo'!B254</f>
        <v>0</v>
      </c>
      <c r="C197">
        <f>'Outras emissões de processo'!C254</f>
        <v>0</v>
      </c>
      <c r="D197">
        <f>'Outras emissões de processo'!D254</f>
        <v>0</v>
      </c>
      <c r="E197">
        <f>'Outras emissões de processo'!E254</f>
        <v>0</v>
      </c>
      <c r="F197">
        <f>'Outras emissões de processo'!F254</f>
        <v>0</v>
      </c>
      <c r="G197" t="str">
        <f>'Outras emissões de processo'!G254</f>
        <v/>
      </c>
      <c r="H197">
        <f>'Outras emissões de processo'!H254</f>
        <v>0</v>
      </c>
      <c r="I197">
        <f>'Outras emissões de processo'!I254</f>
        <v>0</v>
      </c>
      <c r="J197" t="str">
        <f>'Outras emissões de processo'!J254</f>
        <v/>
      </c>
      <c r="K197">
        <f>'Outras emissões de processo'!K254</f>
        <v>0</v>
      </c>
      <c r="L197">
        <f>'Outras emissões de processo'!L254</f>
        <v>0</v>
      </c>
      <c r="M197">
        <f>'Outras emissões de processo'!M254</f>
        <v>0</v>
      </c>
      <c r="N197">
        <f>'Outras emissões de processo'!N254</f>
        <v>0</v>
      </c>
      <c r="O197">
        <f>'Outras emissões de processo'!O254</f>
        <v>0</v>
      </c>
      <c r="Q197" s="649">
        <f t="shared" si="22"/>
        <v>0</v>
      </c>
      <c r="R197" s="22">
        <f t="shared" si="23"/>
        <v>0</v>
      </c>
      <c r="S197" s="22" t="str">
        <f t="shared" si="24"/>
        <v/>
      </c>
      <c r="T197" s="22">
        <f t="shared" si="25"/>
        <v>0</v>
      </c>
      <c r="U197" s="22" t="str">
        <f t="shared" si="28"/>
        <v>00</v>
      </c>
      <c r="V197" s="22">
        <f t="shared" si="26"/>
        <v>0</v>
      </c>
      <c r="W197" s="649">
        <f t="shared" si="27"/>
        <v>0</v>
      </c>
      <c r="X197" s="22">
        <f t="shared" si="29"/>
        <v>0</v>
      </c>
      <c r="Y197" s="22">
        <f t="shared" si="30"/>
        <v>0</v>
      </c>
      <c r="Z197" s="107">
        <f t="shared" si="31"/>
        <v>0</v>
      </c>
      <c r="AA197" s="107">
        <f t="shared" si="32"/>
        <v>0</v>
      </c>
      <c r="AB197" s="107">
        <f t="shared" si="33"/>
        <v>0</v>
      </c>
      <c r="AC197" s="22">
        <f t="shared" si="34"/>
        <v>0</v>
      </c>
    </row>
    <row r="198" spans="2:29" x14ac:dyDescent="0.25">
      <c r="B198">
        <f>'Outras emissões de processo'!B255</f>
        <v>0</v>
      </c>
      <c r="C198">
        <f>'Outras emissões de processo'!C255</f>
        <v>0</v>
      </c>
      <c r="D198">
        <f>'Outras emissões de processo'!D255</f>
        <v>0</v>
      </c>
      <c r="E198">
        <f>'Outras emissões de processo'!E255</f>
        <v>0</v>
      </c>
      <c r="F198">
        <f>'Outras emissões de processo'!F255</f>
        <v>0</v>
      </c>
      <c r="G198" t="str">
        <f>'Outras emissões de processo'!G255</f>
        <v/>
      </c>
      <c r="H198">
        <f>'Outras emissões de processo'!H255</f>
        <v>0</v>
      </c>
      <c r="I198">
        <f>'Outras emissões de processo'!I255</f>
        <v>0</v>
      </c>
      <c r="J198" t="str">
        <f>'Outras emissões de processo'!J255</f>
        <v/>
      </c>
      <c r="K198">
        <f>'Outras emissões de processo'!K255</f>
        <v>0</v>
      </c>
      <c r="L198">
        <f>'Outras emissões de processo'!L255</f>
        <v>0</v>
      </c>
      <c r="M198">
        <f>'Outras emissões de processo'!M255</f>
        <v>0</v>
      </c>
      <c r="N198">
        <f>'Outras emissões de processo'!N255</f>
        <v>0</v>
      </c>
      <c r="O198">
        <f>'Outras emissões de processo'!O255</f>
        <v>0</v>
      </c>
      <c r="Q198" s="649">
        <f t="shared" si="22"/>
        <v>0</v>
      </c>
      <c r="R198" s="22">
        <f t="shared" si="23"/>
        <v>0</v>
      </c>
      <c r="S198" s="22" t="str">
        <f t="shared" si="24"/>
        <v/>
      </c>
      <c r="T198" s="22">
        <f t="shared" si="25"/>
        <v>0</v>
      </c>
      <c r="U198" s="22" t="str">
        <f t="shared" si="28"/>
        <v>00</v>
      </c>
      <c r="V198" s="22">
        <f t="shared" si="26"/>
        <v>0</v>
      </c>
      <c r="W198" s="649">
        <f t="shared" si="27"/>
        <v>0</v>
      </c>
      <c r="X198" s="22">
        <f t="shared" si="29"/>
        <v>0</v>
      </c>
      <c r="Y198" s="22">
        <f t="shared" si="30"/>
        <v>0</v>
      </c>
      <c r="Z198" s="107">
        <f t="shared" si="31"/>
        <v>0</v>
      </c>
      <c r="AA198" s="107">
        <f t="shared" si="32"/>
        <v>0</v>
      </c>
      <c r="AB198" s="107">
        <f t="shared" si="33"/>
        <v>0</v>
      </c>
      <c r="AC198" s="22">
        <f t="shared" si="34"/>
        <v>0</v>
      </c>
    </row>
    <row r="199" spans="2:29" x14ac:dyDescent="0.25">
      <c r="B199">
        <f>'Outras emissões de processo'!B256</f>
        <v>0</v>
      </c>
      <c r="C199">
        <f>'Outras emissões de processo'!C256</f>
        <v>0</v>
      </c>
      <c r="D199">
        <f>'Outras emissões de processo'!D256</f>
        <v>0</v>
      </c>
      <c r="E199">
        <f>'Outras emissões de processo'!E256</f>
        <v>0</v>
      </c>
      <c r="F199">
        <f>'Outras emissões de processo'!F256</f>
        <v>0</v>
      </c>
      <c r="G199" t="str">
        <f>'Outras emissões de processo'!G256</f>
        <v/>
      </c>
      <c r="H199">
        <f>'Outras emissões de processo'!H256</f>
        <v>0</v>
      </c>
      <c r="I199">
        <f>'Outras emissões de processo'!I256</f>
        <v>0</v>
      </c>
      <c r="J199" t="str">
        <f>'Outras emissões de processo'!J256</f>
        <v/>
      </c>
      <c r="K199">
        <f>'Outras emissões de processo'!K256</f>
        <v>0</v>
      </c>
      <c r="L199">
        <f>'Outras emissões de processo'!L256</f>
        <v>0</v>
      </c>
      <c r="M199">
        <f>'Outras emissões de processo'!M256</f>
        <v>0</v>
      </c>
      <c r="N199">
        <f>'Outras emissões de processo'!N256</f>
        <v>0</v>
      </c>
      <c r="O199">
        <f>'Outras emissões de processo'!O256</f>
        <v>0</v>
      </c>
      <c r="Q199" s="649">
        <f t="shared" si="22"/>
        <v>0</v>
      </c>
      <c r="R199" s="22">
        <f t="shared" si="23"/>
        <v>0</v>
      </c>
      <c r="S199" s="22" t="str">
        <f t="shared" si="24"/>
        <v/>
      </c>
      <c r="T199" s="22">
        <f t="shared" si="25"/>
        <v>0</v>
      </c>
      <c r="U199" s="22" t="str">
        <f t="shared" si="28"/>
        <v>00</v>
      </c>
      <c r="V199" s="22">
        <f t="shared" si="26"/>
        <v>0</v>
      </c>
      <c r="W199" s="649">
        <f t="shared" si="27"/>
        <v>0</v>
      </c>
      <c r="X199" s="22">
        <f t="shared" si="29"/>
        <v>0</v>
      </c>
      <c r="Y199" s="22">
        <f t="shared" si="30"/>
        <v>0</v>
      </c>
      <c r="Z199" s="107">
        <f t="shared" si="31"/>
        <v>0</v>
      </c>
      <c r="AA199" s="107">
        <f t="shared" si="32"/>
        <v>0</v>
      </c>
      <c r="AB199" s="107">
        <f t="shared" si="33"/>
        <v>0</v>
      </c>
      <c r="AC199" s="22">
        <f t="shared" si="34"/>
        <v>0</v>
      </c>
    </row>
    <row r="200" spans="2:29" x14ac:dyDescent="0.25">
      <c r="B200">
        <f>'Outras emissões de processo'!B257</f>
        <v>0</v>
      </c>
      <c r="C200">
        <f>'Outras emissões de processo'!C257</f>
        <v>0</v>
      </c>
      <c r="D200">
        <f>'Outras emissões de processo'!D257</f>
        <v>0</v>
      </c>
      <c r="E200">
        <f>'Outras emissões de processo'!E257</f>
        <v>0</v>
      </c>
      <c r="F200">
        <f>'Outras emissões de processo'!F257</f>
        <v>0</v>
      </c>
      <c r="G200" t="str">
        <f>'Outras emissões de processo'!G257</f>
        <v/>
      </c>
      <c r="H200">
        <f>'Outras emissões de processo'!H257</f>
        <v>0</v>
      </c>
      <c r="I200">
        <f>'Outras emissões de processo'!I257</f>
        <v>0</v>
      </c>
      <c r="J200" t="str">
        <f>'Outras emissões de processo'!J257</f>
        <v/>
      </c>
      <c r="K200">
        <f>'Outras emissões de processo'!K257</f>
        <v>0</v>
      </c>
      <c r="L200">
        <f>'Outras emissões de processo'!L257</f>
        <v>0</v>
      </c>
      <c r="M200">
        <f>'Outras emissões de processo'!M257</f>
        <v>0</v>
      </c>
      <c r="N200">
        <f>'Outras emissões de processo'!N257</f>
        <v>0</v>
      </c>
      <c r="O200">
        <f>'Outras emissões de processo'!O257</f>
        <v>0</v>
      </c>
      <c r="Q200" s="649">
        <f t="shared" si="22"/>
        <v>0</v>
      </c>
      <c r="R200" s="22">
        <f t="shared" si="23"/>
        <v>0</v>
      </c>
      <c r="S200" s="22" t="str">
        <f t="shared" si="24"/>
        <v/>
      </c>
      <c r="T200" s="22">
        <f t="shared" si="25"/>
        <v>0</v>
      </c>
      <c r="U200" s="22" t="str">
        <f t="shared" si="28"/>
        <v>00</v>
      </c>
      <c r="V200" s="22">
        <f t="shared" si="26"/>
        <v>0</v>
      </c>
      <c r="W200" s="649">
        <f t="shared" si="27"/>
        <v>0</v>
      </c>
      <c r="X200" s="22">
        <f t="shared" si="29"/>
        <v>0</v>
      </c>
      <c r="Y200" s="22">
        <f t="shared" si="30"/>
        <v>0</v>
      </c>
      <c r="Z200" s="107">
        <f t="shared" si="31"/>
        <v>0</v>
      </c>
      <c r="AA200" s="107">
        <f t="shared" si="32"/>
        <v>0</v>
      </c>
      <c r="AB200" s="107">
        <f t="shared" si="33"/>
        <v>0</v>
      </c>
      <c r="AC200" s="22">
        <f t="shared" si="34"/>
        <v>0</v>
      </c>
    </row>
    <row r="201" spans="2:29" x14ac:dyDescent="0.25">
      <c r="B201">
        <f>'Outras emissões de processo'!B258</f>
        <v>0</v>
      </c>
      <c r="C201">
        <f>'Outras emissões de processo'!C258</f>
        <v>0</v>
      </c>
      <c r="D201">
        <f>'Outras emissões de processo'!D258</f>
        <v>0</v>
      </c>
      <c r="E201">
        <f>'Outras emissões de processo'!E258</f>
        <v>0</v>
      </c>
      <c r="F201">
        <f>'Outras emissões de processo'!F258</f>
        <v>0</v>
      </c>
      <c r="G201" t="str">
        <f>'Outras emissões de processo'!G258</f>
        <v/>
      </c>
      <c r="H201">
        <f>'Outras emissões de processo'!H258</f>
        <v>0</v>
      </c>
      <c r="I201">
        <f>'Outras emissões de processo'!I258</f>
        <v>0</v>
      </c>
      <c r="J201" t="str">
        <f>'Outras emissões de processo'!J258</f>
        <v/>
      </c>
      <c r="K201">
        <f>'Outras emissões de processo'!K258</f>
        <v>0</v>
      </c>
      <c r="L201">
        <f>'Outras emissões de processo'!L258</f>
        <v>0</v>
      </c>
      <c r="M201">
        <f>'Outras emissões de processo'!M258</f>
        <v>0</v>
      </c>
      <c r="N201">
        <f>'Outras emissões de processo'!N258</f>
        <v>0</v>
      </c>
      <c r="O201">
        <f>'Outras emissões de processo'!O258</f>
        <v>0</v>
      </c>
      <c r="Q201" s="649">
        <f t="shared" si="22"/>
        <v>0</v>
      </c>
      <c r="R201" s="22">
        <f t="shared" si="23"/>
        <v>0</v>
      </c>
      <c r="S201" s="22" t="str">
        <f t="shared" si="24"/>
        <v/>
      </c>
      <c r="T201" s="22">
        <f t="shared" si="25"/>
        <v>0</v>
      </c>
      <c r="U201" s="22" t="str">
        <f t="shared" si="28"/>
        <v>00</v>
      </c>
      <c r="V201" s="22">
        <f t="shared" si="26"/>
        <v>0</v>
      </c>
      <c r="W201" s="649">
        <f t="shared" si="27"/>
        <v>0</v>
      </c>
      <c r="X201" s="22">
        <f t="shared" si="29"/>
        <v>0</v>
      </c>
      <c r="Y201" s="22">
        <f t="shared" si="30"/>
        <v>0</v>
      </c>
      <c r="Z201" s="107">
        <f t="shared" si="31"/>
        <v>0</v>
      </c>
      <c r="AA201" s="107">
        <f t="shared" si="32"/>
        <v>0</v>
      </c>
      <c r="AB201" s="107">
        <f t="shared" si="33"/>
        <v>0</v>
      </c>
      <c r="AC201" s="22">
        <f t="shared" si="34"/>
        <v>0</v>
      </c>
    </row>
    <row r="202" spans="2:29" x14ac:dyDescent="0.25">
      <c r="B202">
        <f>'Outras emissões de processo'!B259</f>
        <v>0</v>
      </c>
      <c r="C202">
        <f>'Outras emissões de processo'!C259</f>
        <v>0</v>
      </c>
      <c r="D202">
        <f>'Outras emissões de processo'!D259</f>
        <v>0</v>
      </c>
      <c r="E202">
        <f>'Outras emissões de processo'!E259</f>
        <v>0</v>
      </c>
      <c r="F202">
        <f>'Outras emissões de processo'!F259</f>
        <v>0</v>
      </c>
      <c r="G202" t="str">
        <f>'Outras emissões de processo'!G259</f>
        <v/>
      </c>
      <c r="H202">
        <f>'Outras emissões de processo'!H259</f>
        <v>0</v>
      </c>
      <c r="I202">
        <f>'Outras emissões de processo'!I259</f>
        <v>0</v>
      </c>
      <c r="J202" t="str">
        <f>'Outras emissões de processo'!J259</f>
        <v/>
      </c>
      <c r="K202">
        <f>'Outras emissões de processo'!K259</f>
        <v>0</v>
      </c>
      <c r="L202">
        <f>'Outras emissões de processo'!L259</f>
        <v>0</v>
      </c>
      <c r="M202">
        <f>'Outras emissões de processo'!M259</f>
        <v>0</v>
      </c>
      <c r="N202">
        <f>'Outras emissões de processo'!N259</f>
        <v>0</v>
      </c>
      <c r="O202">
        <f>'Outras emissões de processo'!O259</f>
        <v>0</v>
      </c>
      <c r="Q202" s="649">
        <f t="shared" si="22"/>
        <v>0</v>
      </c>
      <c r="R202" s="22">
        <f t="shared" si="23"/>
        <v>0</v>
      </c>
      <c r="S202" s="22" t="str">
        <f t="shared" si="24"/>
        <v/>
      </c>
      <c r="T202" s="22">
        <f t="shared" si="25"/>
        <v>0</v>
      </c>
      <c r="U202" s="22" t="str">
        <f t="shared" si="28"/>
        <v>00</v>
      </c>
      <c r="V202" s="22">
        <f t="shared" si="26"/>
        <v>0</v>
      </c>
      <c r="W202" s="649">
        <f t="shared" si="27"/>
        <v>0</v>
      </c>
      <c r="X202" s="22">
        <f t="shared" si="29"/>
        <v>0</v>
      </c>
      <c r="Y202" s="22">
        <f t="shared" si="30"/>
        <v>0</v>
      </c>
      <c r="Z202" s="107">
        <f t="shared" si="31"/>
        <v>0</v>
      </c>
      <c r="AA202" s="107">
        <f t="shared" si="32"/>
        <v>0</v>
      </c>
      <c r="AB202" s="107">
        <f t="shared" si="33"/>
        <v>0</v>
      </c>
      <c r="AC202" s="22">
        <f t="shared" si="34"/>
        <v>0</v>
      </c>
    </row>
    <row r="203" spans="2:29" x14ac:dyDescent="0.25">
      <c r="B203">
        <f>'Outras emissões de processo'!B260</f>
        <v>0</v>
      </c>
      <c r="C203">
        <f>'Outras emissões de processo'!C260</f>
        <v>0</v>
      </c>
      <c r="D203">
        <f>'Outras emissões de processo'!D260</f>
        <v>0</v>
      </c>
      <c r="E203">
        <f>'Outras emissões de processo'!E260</f>
        <v>0</v>
      </c>
      <c r="F203">
        <f>'Outras emissões de processo'!F260</f>
        <v>0</v>
      </c>
      <c r="G203" t="str">
        <f>'Outras emissões de processo'!G260</f>
        <v/>
      </c>
      <c r="H203">
        <f>'Outras emissões de processo'!H260</f>
        <v>0</v>
      </c>
      <c r="I203">
        <f>'Outras emissões de processo'!I260</f>
        <v>0</v>
      </c>
      <c r="J203" t="str">
        <f>'Outras emissões de processo'!J260</f>
        <v/>
      </c>
      <c r="K203">
        <f>'Outras emissões de processo'!K260</f>
        <v>0</v>
      </c>
      <c r="L203">
        <f>'Outras emissões de processo'!L260</f>
        <v>0</v>
      </c>
      <c r="M203">
        <f>'Outras emissões de processo'!M260</f>
        <v>0</v>
      </c>
      <c r="N203">
        <f>'Outras emissões de processo'!N260</f>
        <v>0</v>
      </c>
      <c r="O203">
        <f>'Outras emissões de processo'!O260</f>
        <v>0</v>
      </c>
      <c r="Q203" s="649">
        <f t="shared" si="22"/>
        <v>0</v>
      </c>
      <c r="R203" s="22">
        <f t="shared" si="23"/>
        <v>0</v>
      </c>
      <c r="S203" s="22" t="str">
        <f t="shared" si="24"/>
        <v/>
      </c>
      <c r="T203" s="22">
        <f t="shared" si="25"/>
        <v>0</v>
      </c>
      <c r="U203" s="22" t="str">
        <f t="shared" si="28"/>
        <v>00</v>
      </c>
      <c r="V203" s="22">
        <f t="shared" si="26"/>
        <v>0</v>
      </c>
      <c r="W203" s="649">
        <f t="shared" si="27"/>
        <v>0</v>
      </c>
      <c r="X203" s="22">
        <f t="shared" si="29"/>
        <v>0</v>
      </c>
      <c r="Y203" s="22">
        <f t="shared" si="30"/>
        <v>0</v>
      </c>
      <c r="Z203" s="107">
        <f t="shared" si="31"/>
        <v>0</v>
      </c>
      <c r="AA203" s="107">
        <f t="shared" si="32"/>
        <v>0</v>
      </c>
      <c r="AB203" s="107">
        <f t="shared" si="33"/>
        <v>0</v>
      </c>
      <c r="AC203" s="22">
        <f t="shared" si="34"/>
        <v>0</v>
      </c>
    </row>
    <row r="204" spans="2:29" x14ac:dyDescent="0.25">
      <c r="B204">
        <f>'Outras emissões de processo'!B261</f>
        <v>0</v>
      </c>
      <c r="C204">
        <f>'Outras emissões de processo'!C261</f>
        <v>0</v>
      </c>
      <c r="D204">
        <f>'Outras emissões de processo'!D261</f>
        <v>0</v>
      </c>
      <c r="E204">
        <f>'Outras emissões de processo'!E261</f>
        <v>0</v>
      </c>
      <c r="F204">
        <f>'Outras emissões de processo'!F261</f>
        <v>0</v>
      </c>
      <c r="G204" t="str">
        <f>'Outras emissões de processo'!G261</f>
        <v/>
      </c>
      <c r="H204">
        <f>'Outras emissões de processo'!H261</f>
        <v>0</v>
      </c>
      <c r="I204">
        <f>'Outras emissões de processo'!I261</f>
        <v>0</v>
      </c>
      <c r="J204" t="str">
        <f>'Outras emissões de processo'!J261</f>
        <v/>
      </c>
      <c r="K204">
        <f>'Outras emissões de processo'!K261</f>
        <v>0</v>
      </c>
      <c r="L204">
        <f>'Outras emissões de processo'!L261</f>
        <v>0</v>
      </c>
      <c r="M204">
        <f>'Outras emissões de processo'!M261</f>
        <v>0</v>
      </c>
      <c r="N204">
        <f>'Outras emissões de processo'!N261</f>
        <v>0</v>
      </c>
      <c r="O204">
        <f>'Outras emissões de processo'!O261</f>
        <v>0</v>
      </c>
      <c r="Q204" s="649">
        <f t="shared" si="22"/>
        <v>0</v>
      </c>
      <c r="R204" s="22">
        <f t="shared" si="23"/>
        <v>0</v>
      </c>
      <c r="S204" s="22" t="str">
        <f t="shared" si="24"/>
        <v/>
      </c>
      <c r="T204" s="22">
        <f t="shared" ref="T204:T207" si="35">IF(AND(C204=$E$42,D204="Não"),S204*O204/245,0)</f>
        <v>0</v>
      </c>
      <c r="U204" s="22" t="str">
        <f t="shared" si="28"/>
        <v>00</v>
      </c>
      <c r="V204" s="22">
        <f t="shared" ref="V204:V207" si="36">IF(AND(C204=$E$42,D204="Não"),VLOOKUP(U204,$H$50:$I$97,2,FALSE),0)</f>
        <v>0</v>
      </c>
      <c r="W204" s="649">
        <f t="shared" ref="W204:W207" si="37">IF(AND(C204=$E$42,D204="Não"),(R204+T204+V204)*N204,0)</f>
        <v>0</v>
      </c>
      <c r="X204" s="22">
        <f t="shared" si="29"/>
        <v>0</v>
      </c>
      <c r="Y204" s="22">
        <f t="shared" si="30"/>
        <v>0</v>
      </c>
      <c r="Z204" s="107">
        <f t="shared" si="31"/>
        <v>0</v>
      </c>
      <c r="AA204" s="107">
        <f t="shared" si="32"/>
        <v>0</v>
      </c>
      <c r="AB204" s="107">
        <f t="shared" si="33"/>
        <v>0</v>
      </c>
      <c r="AC204" s="22">
        <f t="shared" si="34"/>
        <v>0</v>
      </c>
    </row>
    <row r="205" spans="2:29" x14ac:dyDescent="0.25">
      <c r="B205">
        <f>'Outras emissões de processo'!B262</f>
        <v>0</v>
      </c>
      <c r="C205">
        <f>'Outras emissões de processo'!C262</f>
        <v>0</v>
      </c>
      <c r="D205">
        <f>'Outras emissões de processo'!D262</f>
        <v>0</v>
      </c>
      <c r="E205">
        <f>'Outras emissões de processo'!E262</f>
        <v>0</v>
      </c>
      <c r="F205">
        <f>'Outras emissões de processo'!F262</f>
        <v>0</v>
      </c>
      <c r="G205" t="str">
        <f>'Outras emissões de processo'!G262</f>
        <v/>
      </c>
      <c r="H205">
        <f>'Outras emissões de processo'!H262</f>
        <v>0</v>
      </c>
      <c r="I205">
        <f>'Outras emissões de processo'!I262</f>
        <v>0</v>
      </c>
      <c r="J205" t="str">
        <f>'Outras emissões de processo'!J262</f>
        <v/>
      </c>
      <c r="K205">
        <f>'Outras emissões de processo'!K262</f>
        <v>0</v>
      </c>
      <c r="L205">
        <f>'Outras emissões de processo'!L262</f>
        <v>0</v>
      </c>
      <c r="M205">
        <f>'Outras emissões de processo'!M262</f>
        <v>0</v>
      </c>
      <c r="N205">
        <f>'Outras emissões de processo'!N262</f>
        <v>0</v>
      </c>
      <c r="O205">
        <f>'Outras emissões de processo'!O262</f>
        <v>0</v>
      </c>
      <c r="Q205" s="649">
        <f t="shared" si="22"/>
        <v>0</v>
      </c>
      <c r="R205" s="22">
        <f t="shared" si="23"/>
        <v>0</v>
      </c>
      <c r="S205" s="22" t="str">
        <f t="shared" si="24"/>
        <v/>
      </c>
      <c r="T205" s="22">
        <f t="shared" si="35"/>
        <v>0</v>
      </c>
      <c r="U205" s="22" t="str">
        <f t="shared" si="28"/>
        <v>00</v>
      </c>
      <c r="V205" s="22">
        <f t="shared" si="36"/>
        <v>0</v>
      </c>
      <c r="W205" s="649">
        <f t="shared" si="37"/>
        <v>0</v>
      </c>
      <c r="X205" s="22">
        <f t="shared" si="29"/>
        <v>0</v>
      </c>
      <c r="Y205" s="22">
        <f t="shared" si="30"/>
        <v>0</v>
      </c>
      <c r="Z205" s="107">
        <f t="shared" si="31"/>
        <v>0</v>
      </c>
      <c r="AA205" s="107">
        <f t="shared" si="32"/>
        <v>0</v>
      </c>
      <c r="AB205" s="107">
        <f t="shared" si="33"/>
        <v>0</v>
      </c>
      <c r="AC205" s="22">
        <f t="shared" si="34"/>
        <v>0</v>
      </c>
    </row>
    <row r="206" spans="2:29" x14ac:dyDescent="0.25">
      <c r="B206">
        <f>'Outras emissões de processo'!B263</f>
        <v>0</v>
      </c>
      <c r="C206">
        <f>'Outras emissões de processo'!C263</f>
        <v>0</v>
      </c>
      <c r="D206">
        <f>'Outras emissões de processo'!D263</f>
        <v>0</v>
      </c>
      <c r="E206">
        <f>'Outras emissões de processo'!E263</f>
        <v>0</v>
      </c>
      <c r="F206">
        <f>'Outras emissões de processo'!F263</f>
        <v>0</v>
      </c>
      <c r="G206" t="str">
        <f>'Outras emissões de processo'!G263</f>
        <v/>
      </c>
      <c r="H206">
        <f>'Outras emissões de processo'!H263</f>
        <v>0</v>
      </c>
      <c r="I206">
        <f>'Outras emissões de processo'!I263</f>
        <v>0</v>
      </c>
      <c r="J206" t="str">
        <f>'Outras emissões de processo'!J263</f>
        <v/>
      </c>
      <c r="K206">
        <f>'Outras emissões de processo'!K263</f>
        <v>0</v>
      </c>
      <c r="L206">
        <f>'Outras emissões de processo'!L263</f>
        <v>0</v>
      </c>
      <c r="M206">
        <f>'Outras emissões de processo'!M263</f>
        <v>0</v>
      </c>
      <c r="N206">
        <f>'Outras emissões de processo'!N263</f>
        <v>0</v>
      </c>
      <c r="O206">
        <f>'Outras emissões de processo'!O263</f>
        <v>0</v>
      </c>
      <c r="Q206" s="649">
        <f t="shared" si="22"/>
        <v>0</v>
      </c>
      <c r="R206" s="22">
        <f t="shared" si="23"/>
        <v>0</v>
      </c>
      <c r="S206" s="22" t="str">
        <f t="shared" si="24"/>
        <v/>
      </c>
      <c r="T206" s="22">
        <f t="shared" si="35"/>
        <v>0</v>
      </c>
      <c r="U206" s="22" t="str">
        <f t="shared" si="28"/>
        <v>00</v>
      </c>
      <c r="V206" s="22">
        <f t="shared" si="36"/>
        <v>0</v>
      </c>
      <c r="W206" s="649">
        <f t="shared" si="37"/>
        <v>0</v>
      </c>
      <c r="X206" s="22">
        <f t="shared" si="29"/>
        <v>0</v>
      </c>
      <c r="Y206" s="22">
        <f t="shared" si="30"/>
        <v>0</v>
      </c>
      <c r="Z206" s="107">
        <f t="shared" si="31"/>
        <v>0</v>
      </c>
      <c r="AA206" s="107">
        <f t="shared" si="32"/>
        <v>0</v>
      </c>
      <c r="AB206" s="107">
        <f t="shared" si="33"/>
        <v>0</v>
      </c>
      <c r="AC206" s="22">
        <f t="shared" si="34"/>
        <v>0</v>
      </c>
    </row>
    <row r="207" spans="2:29" x14ac:dyDescent="0.25">
      <c r="B207">
        <f>'Outras emissões de processo'!B264</f>
        <v>0</v>
      </c>
      <c r="C207">
        <f>'Outras emissões de processo'!C264</f>
        <v>0</v>
      </c>
      <c r="D207">
        <f>'Outras emissões de processo'!D264</f>
        <v>0</v>
      </c>
      <c r="E207">
        <f>'Outras emissões de processo'!E264</f>
        <v>0</v>
      </c>
      <c r="F207">
        <f>'Outras emissões de processo'!F264</f>
        <v>0</v>
      </c>
      <c r="G207" t="str">
        <f>'Outras emissões de processo'!G264</f>
        <v/>
      </c>
      <c r="H207">
        <f>'Outras emissões de processo'!H264</f>
        <v>0</v>
      </c>
      <c r="I207">
        <f>'Outras emissões de processo'!I264</f>
        <v>0</v>
      </c>
      <c r="J207" t="str">
        <f>'Outras emissões de processo'!J264</f>
        <v/>
      </c>
      <c r="K207">
        <f>'Outras emissões de processo'!K264</f>
        <v>0</v>
      </c>
      <c r="L207">
        <f>'Outras emissões de processo'!L264</f>
        <v>0</v>
      </c>
      <c r="M207">
        <f>'Outras emissões de processo'!M264</f>
        <v>0</v>
      </c>
      <c r="N207">
        <f>'Outras emissões de processo'!N264</f>
        <v>0</v>
      </c>
      <c r="O207">
        <f>'Outras emissões de processo'!O264</f>
        <v>0</v>
      </c>
      <c r="Q207" s="649">
        <f t="shared" si="22"/>
        <v>0</v>
      </c>
      <c r="R207" s="22">
        <f t="shared" si="23"/>
        <v>0</v>
      </c>
      <c r="S207" s="22" t="str">
        <f t="shared" si="24"/>
        <v/>
      </c>
      <c r="T207" s="22">
        <f t="shared" si="35"/>
        <v>0</v>
      </c>
      <c r="U207" s="22" t="str">
        <f t="shared" si="28"/>
        <v>00</v>
      </c>
      <c r="V207" s="22">
        <f t="shared" si="36"/>
        <v>0</v>
      </c>
      <c r="W207" s="649">
        <f t="shared" si="37"/>
        <v>0</v>
      </c>
      <c r="X207" s="22">
        <f t="shared" si="29"/>
        <v>0</v>
      </c>
      <c r="Y207" s="22">
        <f t="shared" si="30"/>
        <v>0</v>
      </c>
      <c r="Z207" s="107">
        <f t="shared" si="31"/>
        <v>0</v>
      </c>
      <c r="AA207" s="107">
        <f t="shared" si="32"/>
        <v>0</v>
      </c>
      <c r="AB207" s="107">
        <f t="shared" si="33"/>
        <v>0</v>
      </c>
      <c r="AC207" s="22">
        <f t="shared" si="34"/>
        <v>0</v>
      </c>
    </row>
    <row r="213" spans="2:18" s="676" customFormat="1" x14ac:dyDescent="0.25">
      <c r="B213" s="677" t="s">
        <v>1394</v>
      </c>
    </row>
    <row r="216" spans="2:18" x14ac:dyDescent="0.25">
      <c r="B216" s="679" t="s">
        <v>1396</v>
      </c>
      <c r="C216" s="1370" t="s">
        <v>1397</v>
      </c>
      <c r="D216" s="1371"/>
      <c r="E216" s="1372" t="s">
        <v>1405</v>
      </c>
      <c r="F216" s="1373"/>
      <c r="G216" s="679" t="s">
        <v>1416</v>
      </c>
      <c r="H216" s="679" t="s">
        <v>1417</v>
      </c>
      <c r="I216" s="679" t="s">
        <v>1418</v>
      </c>
      <c r="J216" s="679" t="s">
        <v>1421</v>
      </c>
      <c r="K216" s="679" t="s">
        <v>1423</v>
      </c>
      <c r="L216" s="679" t="s">
        <v>196</v>
      </c>
      <c r="M216" s="679" t="s">
        <v>1424</v>
      </c>
      <c r="P216" s="49" t="s">
        <v>1400</v>
      </c>
      <c r="Q216" s="678" t="s">
        <v>1398</v>
      </c>
      <c r="R216" s="678" t="s">
        <v>1422</v>
      </c>
    </row>
    <row r="217" spans="2:18" x14ac:dyDescent="0.25">
      <c r="B217" s="679" t="s">
        <v>1395</v>
      </c>
      <c r="C217" s="679" t="s">
        <v>1399</v>
      </c>
      <c r="D217" s="679" t="s">
        <v>1398</v>
      </c>
      <c r="E217" s="679" t="s">
        <v>1404</v>
      </c>
      <c r="F217" s="679" t="s">
        <v>1403</v>
      </c>
      <c r="G217" s="679"/>
      <c r="H217" s="679"/>
      <c r="I217" s="679" t="s">
        <v>1419</v>
      </c>
      <c r="J217" s="679" t="s">
        <v>1422</v>
      </c>
      <c r="K217" s="679"/>
      <c r="L217" s="679"/>
      <c r="M217" s="679"/>
      <c r="P217" t="s">
        <v>1509</v>
      </c>
      <c r="Q217">
        <v>1</v>
      </c>
      <c r="R217">
        <v>0.1</v>
      </c>
    </row>
    <row r="218" spans="2:18" x14ac:dyDescent="0.25">
      <c r="B218" s="680" t="s">
        <v>896</v>
      </c>
      <c r="C218" s="680"/>
      <c r="D218" s="680"/>
      <c r="E218" s="680"/>
      <c r="F218" s="680"/>
      <c r="G218" s="680"/>
      <c r="H218" s="680"/>
      <c r="I218" s="680" t="s">
        <v>1420</v>
      </c>
      <c r="J218" s="680"/>
      <c r="K218" s="680"/>
      <c r="L218" s="680" t="s">
        <v>896</v>
      </c>
      <c r="M218" s="680" t="s">
        <v>896</v>
      </c>
      <c r="P218" t="s">
        <v>1510</v>
      </c>
      <c r="Q218">
        <v>0.5</v>
      </c>
      <c r="R218">
        <v>0.1</v>
      </c>
    </row>
    <row r="219" spans="2:18" x14ac:dyDescent="0.25">
      <c r="B219" s="22">
        <f>'Outras emissões de processo'!C287</f>
        <v>0</v>
      </c>
      <c r="C219" s="22">
        <f>'Outras emissões de processo'!D287</f>
        <v>0</v>
      </c>
      <c r="D219" s="681" t="str">
        <f>IFERROR(VLOOKUP(C219,$P$217:$Q$221,2,FALSE),"")</f>
        <v/>
      </c>
      <c r="E219" s="22">
        <f>'Outras emissões de processo'!E287</f>
        <v>0</v>
      </c>
      <c r="F219" s="681" t="str">
        <f>IFERROR(VLOOKUP(E219,$P$224:$Q$233,2,FALSE),"")</f>
        <v/>
      </c>
      <c r="G219" s="681">
        <v>0.5</v>
      </c>
      <c r="H219" s="22">
        <f>'Outras emissões de processo'!F287</f>
        <v>0</v>
      </c>
      <c r="I219" s="22">
        <f>'Outras emissões de processo'!G287</f>
        <v>0</v>
      </c>
      <c r="J219" s="681" t="str">
        <f>IFERROR(VLOOKUP(C219,P217:R221,3,FALSE),"")</f>
        <v/>
      </c>
      <c r="K219" s="681" t="str">
        <f>IFERROR(D219*F219*G219*H219*(16/12),"")</f>
        <v/>
      </c>
      <c r="L219" s="681" t="str">
        <f>IFERROR((B219*K219-I219)*(1-J219),"")</f>
        <v/>
      </c>
      <c r="M219" s="681" t="str">
        <f>IFERROR(L219*'Fatores de Emissão'!$E$258,"")</f>
        <v/>
      </c>
      <c r="P219" t="s">
        <v>1401</v>
      </c>
      <c r="Q219">
        <v>0.8</v>
      </c>
      <c r="R219">
        <v>0</v>
      </c>
    </row>
    <row r="220" spans="2:18" x14ac:dyDescent="0.25">
      <c r="B220" s="22">
        <f>'Outras emissões de processo'!C288</f>
        <v>0</v>
      </c>
      <c r="C220" s="22">
        <f>'Outras emissões de processo'!D288</f>
        <v>0</v>
      </c>
      <c r="D220" s="681" t="str">
        <f t="shared" ref="D220:D239" si="38">IFERROR(VLOOKUP(C220,$P$217:$Q$221,2,FALSE),"")</f>
        <v/>
      </c>
      <c r="E220" s="22">
        <f>'Outras emissões de processo'!E288</f>
        <v>0</v>
      </c>
      <c r="F220" s="681" t="str">
        <f t="shared" ref="F220:F239" si="39">IFERROR(VLOOKUP(E220,$P$224:$Q$233,2,FALSE),"")</f>
        <v/>
      </c>
      <c r="G220" s="681">
        <f>G219</f>
        <v>0.5</v>
      </c>
      <c r="H220" s="22">
        <f>'Outras emissões de processo'!F288</f>
        <v>0</v>
      </c>
      <c r="I220" s="22">
        <f>'Outras emissões de processo'!G288</f>
        <v>0</v>
      </c>
      <c r="J220" s="681" t="str">
        <f t="shared" ref="J220:J239" si="40">IFERROR(VLOOKUP(C220,P218:R222,3,FALSE),"")</f>
        <v/>
      </c>
      <c r="K220" s="681" t="str">
        <f t="shared" ref="K220:K239" si="41">IFERROR(D220*F220*G220*H220*(16/12),"")</f>
        <v/>
      </c>
      <c r="L220" s="681" t="str">
        <f t="shared" ref="L220:L239" si="42">IFERROR((B220*K220-I220)*(1-J220),"")</f>
        <v/>
      </c>
      <c r="M220" s="681" t="str">
        <f>IFERROR(L220*'Fatores de Emissão'!$E$258,"")</f>
        <v/>
      </c>
      <c r="P220" t="s">
        <v>1402</v>
      </c>
      <c r="Q220">
        <v>0.4</v>
      </c>
      <c r="R220">
        <v>0</v>
      </c>
    </row>
    <row r="221" spans="2:18" x14ac:dyDescent="0.25">
      <c r="B221" s="22">
        <f>'Outras emissões de processo'!C289</f>
        <v>0</v>
      </c>
      <c r="C221" s="22">
        <f>'Outras emissões de processo'!D289</f>
        <v>0</v>
      </c>
      <c r="D221" s="681" t="str">
        <f t="shared" si="38"/>
        <v/>
      </c>
      <c r="E221" s="22">
        <f>'Outras emissões de processo'!E289</f>
        <v>0</v>
      </c>
      <c r="F221" s="681" t="str">
        <f t="shared" si="39"/>
        <v/>
      </c>
      <c r="G221" s="681">
        <f t="shared" ref="G221:G239" si="43">G220</f>
        <v>0.5</v>
      </c>
      <c r="H221" s="22">
        <f>'Outras emissões de processo'!F289</f>
        <v>0</v>
      </c>
      <c r="I221" s="22">
        <f>'Outras emissões de processo'!G289</f>
        <v>0</v>
      </c>
      <c r="J221" s="681" t="str">
        <f t="shared" si="40"/>
        <v/>
      </c>
      <c r="K221" s="681" t="str">
        <f t="shared" si="41"/>
        <v/>
      </c>
      <c r="L221" s="681" t="str">
        <f t="shared" si="42"/>
        <v/>
      </c>
      <c r="M221" s="681" t="str">
        <f>IFERROR(L221*'Fatores de Emissão'!$E$258,"")</f>
        <v/>
      </c>
      <c r="P221" t="s">
        <v>1511</v>
      </c>
      <c r="Q221">
        <v>0.6</v>
      </c>
      <c r="R221">
        <v>0</v>
      </c>
    </row>
    <row r="222" spans="2:18" x14ac:dyDescent="0.25">
      <c r="B222" s="22">
        <f>'Outras emissões de processo'!C290</f>
        <v>0</v>
      </c>
      <c r="C222" s="22">
        <f>'Outras emissões de processo'!D290</f>
        <v>0</v>
      </c>
      <c r="D222" s="681" t="str">
        <f t="shared" si="38"/>
        <v/>
      </c>
      <c r="E222" s="22">
        <f>'Outras emissões de processo'!E290</f>
        <v>0</v>
      </c>
      <c r="F222" s="681" t="str">
        <f t="shared" si="39"/>
        <v/>
      </c>
      <c r="G222" s="681">
        <f t="shared" si="43"/>
        <v>0.5</v>
      </c>
      <c r="H222" s="22">
        <f>'Outras emissões de processo'!F290</f>
        <v>0</v>
      </c>
      <c r="I222" s="22">
        <f>'Outras emissões de processo'!G290</f>
        <v>0</v>
      </c>
      <c r="J222" s="681" t="str">
        <f t="shared" si="40"/>
        <v/>
      </c>
      <c r="K222" s="681" t="str">
        <f t="shared" si="41"/>
        <v/>
      </c>
      <c r="L222" s="681" t="str">
        <f t="shared" si="42"/>
        <v/>
      </c>
      <c r="M222" s="681" t="str">
        <f>IFERROR(L222*'Fatores de Emissão'!$E$258,"")</f>
        <v/>
      </c>
    </row>
    <row r="223" spans="2:18" x14ac:dyDescent="0.25">
      <c r="B223" s="22">
        <f>'Outras emissões de processo'!C291</f>
        <v>0</v>
      </c>
      <c r="C223" s="22">
        <f>'Outras emissões de processo'!D291</f>
        <v>0</v>
      </c>
      <c r="D223" s="681" t="str">
        <f t="shared" si="38"/>
        <v/>
      </c>
      <c r="E223" s="22">
        <f>'Outras emissões de processo'!E291</f>
        <v>0</v>
      </c>
      <c r="F223" s="681" t="str">
        <f t="shared" si="39"/>
        <v/>
      </c>
      <c r="G223" s="681">
        <f t="shared" si="43"/>
        <v>0.5</v>
      </c>
      <c r="H223" s="22">
        <f>'Outras emissões de processo'!F291</f>
        <v>0</v>
      </c>
      <c r="I223" s="22">
        <f>'Outras emissões de processo'!G291</f>
        <v>0</v>
      </c>
      <c r="J223" s="681" t="str">
        <f t="shared" si="40"/>
        <v/>
      </c>
      <c r="K223" s="681" t="str">
        <f t="shared" si="41"/>
        <v/>
      </c>
      <c r="L223" s="681" t="str">
        <f t="shared" si="42"/>
        <v/>
      </c>
      <c r="M223" s="681" t="str">
        <f>IFERROR(L223*'Fatores de Emissão'!$E$258,"")</f>
        <v/>
      </c>
      <c r="P223" s="49" t="s">
        <v>1404</v>
      </c>
      <c r="Q223" s="678" t="s">
        <v>1403</v>
      </c>
    </row>
    <row r="224" spans="2:18" x14ac:dyDescent="0.25">
      <c r="B224" s="22">
        <f>'Outras emissões de processo'!C292</f>
        <v>0</v>
      </c>
      <c r="C224" s="22">
        <f>'Outras emissões de processo'!D292</f>
        <v>0</v>
      </c>
      <c r="D224" s="681" t="str">
        <f t="shared" si="38"/>
        <v/>
      </c>
      <c r="E224" s="22">
        <f>'Outras emissões de processo'!E292</f>
        <v>0</v>
      </c>
      <c r="F224" s="681" t="str">
        <f t="shared" si="39"/>
        <v/>
      </c>
      <c r="G224" s="681">
        <f t="shared" si="43"/>
        <v>0.5</v>
      </c>
      <c r="H224" s="22">
        <f>'Outras emissões de processo'!F292</f>
        <v>0</v>
      </c>
      <c r="I224" s="22">
        <f>'Outras emissões de processo'!G292</f>
        <v>0</v>
      </c>
      <c r="J224" s="681" t="str">
        <f t="shared" si="40"/>
        <v/>
      </c>
      <c r="K224" s="681" t="str">
        <f t="shared" si="41"/>
        <v/>
      </c>
      <c r="L224" s="681" t="str">
        <f t="shared" si="42"/>
        <v/>
      </c>
      <c r="M224" s="681" t="str">
        <f>IFERROR(L224*'Fatores de Emissão'!$E$258,"")</f>
        <v/>
      </c>
      <c r="P224" t="s">
        <v>1406</v>
      </c>
      <c r="Q224">
        <v>0.15</v>
      </c>
    </row>
    <row r="225" spans="2:17" x14ac:dyDescent="0.25">
      <c r="B225" s="22">
        <f>'Outras emissões de processo'!C293</f>
        <v>0</v>
      </c>
      <c r="C225" s="22">
        <f>'Outras emissões de processo'!D293</f>
        <v>0</v>
      </c>
      <c r="D225" s="681" t="str">
        <f t="shared" si="38"/>
        <v/>
      </c>
      <c r="E225" s="22">
        <f>'Outras emissões de processo'!E293</f>
        <v>0</v>
      </c>
      <c r="F225" s="681" t="str">
        <f t="shared" si="39"/>
        <v/>
      </c>
      <c r="G225" s="681">
        <f t="shared" si="43"/>
        <v>0.5</v>
      </c>
      <c r="H225" s="22">
        <f>'Outras emissões de processo'!F293</f>
        <v>0</v>
      </c>
      <c r="I225" s="22">
        <f>'Outras emissões de processo'!G293</f>
        <v>0</v>
      </c>
      <c r="J225" s="681" t="str">
        <f t="shared" si="40"/>
        <v/>
      </c>
      <c r="K225" s="681" t="str">
        <f t="shared" si="41"/>
        <v/>
      </c>
      <c r="L225" s="681" t="str">
        <f t="shared" si="42"/>
        <v/>
      </c>
      <c r="M225" s="681" t="str">
        <f>IFERROR(L225*'Fatores de Emissão'!$E$258,"")</f>
        <v/>
      </c>
      <c r="P225" t="s">
        <v>1407</v>
      </c>
      <c r="Q225">
        <v>0.2</v>
      </c>
    </row>
    <row r="226" spans="2:17" x14ac:dyDescent="0.25">
      <c r="B226" s="22">
        <f>'Outras emissões de processo'!C294</f>
        <v>0</v>
      </c>
      <c r="C226" s="22">
        <f>'Outras emissões de processo'!D294</f>
        <v>0</v>
      </c>
      <c r="D226" s="681" t="str">
        <f t="shared" si="38"/>
        <v/>
      </c>
      <c r="E226" s="22">
        <f>'Outras emissões de processo'!E294</f>
        <v>0</v>
      </c>
      <c r="F226" s="681" t="str">
        <f t="shared" si="39"/>
        <v/>
      </c>
      <c r="G226" s="681">
        <f t="shared" si="43"/>
        <v>0.5</v>
      </c>
      <c r="H226" s="22">
        <f>'Outras emissões de processo'!F294</f>
        <v>0</v>
      </c>
      <c r="I226" s="22">
        <f>'Outras emissões de processo'!G294</f>
        <v>0</v>
      </c>
      <c r="J226" s="681" t="str">
        <f t="shared" si="40"/>
        <v/>
      </c>
      <c r="K226" s="681" t="str">
        <f t="shared" si="41"/>
        <v/>
      </c>
      <c r="L226" s="681" t="str">
        <f t="shared" si="42"/>
        <v/>
      </c>
      <c r="M226" s="681" t="str">
        <f>IFERROR(L226*'Fatores de Emissão'!$E$258,"")</f>
        <v/>
      </c>
      <c r="P226" t="s">
        <v>1408</v>
      </c>
      <c r="Q226">
        <v>0.4</v>
      </c>
    </row>
    <row r="227" spans="2:17" x14ac:dyDescent="0.25">
      <c r="B227" s="22">
        <f>'Outras emissões de processo'!C295</f>
        <v>0</v>
      </c>
      <c r="C227" s="22">
        <f>'Outras emissões de processo'!D295</f>
        <v>0</v>
      </c>
      <c r="D227" s="681" t="str">
        <f t="shared" si="38"/>
        <v/>
      </c>
      <c r="E227" s="22">
        <f>'Outras emissões de processo'!E295</f>
        <v>0</v>
      </c>
      <c r="F227" s="681" t="str">
        <f t="shared" si="39"/>
        <v/>
      </c>
      <c r="G227" s="681">
        <f t="shared" si="43"/>
        <v>0.5</v>
      </c>
      <c r="H227" s="22">
        <f>'Outras emissões de processo'!F295</f>
        <v>0</v>
      </c>
      <c r="I227" s="22">
        <f>'Outras emissões de processo'!G295</f>
        <v>0</v>
      </c>
      <c r="J227" s="681" t="str">
        <f t="shared" si="40"/>
        <v/>
      </c>
      <c r="K227" s="681" t="str">
        <f t="shared" si="41"/>
        <v/>
      </c>
      <c r="L227" s="681" t="str">
        <f t="shared" si="42"/>
        <v/>
      </c>
      <c r="M227" s="681" t="str">
        <f>IFERROR(L227*'Fatores de Emissão'!$E$258,"")</f>
        <v/>
      </c>
      <c r="P227" t="s">
        <v>1409</v>
      </c>
      <c r="Q227">
        <v>0.43</v>
      </c>
    </row>
    <row r="228" spans="2:17" x14ac:dyDescent="0.25">
      <c r="B228" s="22">
        <f>'Outras emissões de processo'!C296</f>
        <v>0</v>
      </c>
      <c r="C228" s="22">
        <f>'Outras emissões de processo'!D296</f>
        <v>0</v>
      </c>
      <c r="D228" s="681" t="str">
        <f t="shared" si="38"/>
        <v/>
      </c>
      <c r="E228" s="22">
        <f>'Outras emissões de processo'!E296</f>
        <v>0</v>
      </c>
      <c r="F228" s="681" t="str">
        <f t="shared" si="39"/>
        <v/>
      </c>
      <c r="G228" s="681">
        <f t="shared" si="43"/>
        <v>0.5</v>
      </c>
      <c r="H228" s="22">
        <f>'Outras emissões de processo'!F296</f>
        <v>0</v>
      </c>
      <c r="I228" s="22">
        <f>'Outras emissões de processo'!G296</f>
        <v>0</v>
      </c>
      <c r="J228" s="681" t="str">
        <f t="shared" si="40"/>
        <v/>
      </c>
      <c r="K228" s="681" t="str">
        <f t="shared" si="41"/>
        <v/>
      </c>
      <c r="L228" s="681" t="str">
        <f t="shared" si="42"/>
        <v/>
      </c>
      <c r="M228" s="681" t="str">
        <f>IFERROR(L228*'Fatores de Emissão'!$E$258,"")</f>
        <v/>
      </c>
      <c r="P228" t="s">
        <v>1410</v>
      </c>
      <c r="Q228">
        <v>0.24</v>
      </c>
    </row>
    <row r="229" spans="2:17" x14ac:dyDescent="0.25">
      <c r="B229" s="22">
        <f>'Outras emissões de processo'!C297</f>
        <v>0</v>
      </c>
      <c r="C229" s="22">
        <f>'Outras emissões de processo'!D297</f>
        <v>0</v>
      </c>
      <c r="D229" s="681" t="str">
        <f t="shared" si="38"/>
        <v/>
      </c>
      <c r="E229" s="22">
        <f>'Outras emissões de processo'!E297</f>
        <v>0</v>
      </c>
      <c r="F229" s="681" t="str">
        <f t="shared" si="39"/>
        <v/>
      </c>
      <c r="G229" s="681">
        <f t="shared" si="43"/>
        <v>0.5</v>
      </c>
      <c r="H229" s="22">
        <f>'Outras emissões de processo'!F297</f>
        <v>0</v>
      </c>
      <c r="I229" s="22">
        <f>'Outras emissões de processo'!G297</f>
        <v>0</v>
      </c>
      <c r="J229" s="681" t="str">
        <f t="shared" si="40"/>
        <v/>
      </c>
      <c r="K229" s="681" t="str">
        <f t="shared" si="41"/>
        <v/>
      </c>
      <c r="L229" s="681" t="str">
        <f t="shared" si="42"/>
        <v/>
      </c>
      <c r="M229" s="681" t="str">
        <f>IFERROR(L229*'Fatores de Emissão'!$E$258,"")</f>
        <v/>
      </c>
      <c r="P229" t="s">
        <v>1411</v>
      </c>
      <c r="Q229">
        <v>0.24</v>
      </c>
    </row>
    <row r="230" spans="2:17" x14ac:dyDescent="0.25">
      <c r="B230" s="22">
        <f>'Outras emissões de processo'!C298</f>
        <v>0</v>
      </c>
      <c r="C230" s="22">
        <f>'Outras emissões de processo'!D298</f>
        <v>0</v>
      </c>
      <c r="D230" s="681" t="str">
        <f t="shared" si="38"/>
        <v/>
      </c>
      <c r="E230" s="22">
        <f>'Outras emissões de processo'!E298</f>
        <v>0</v>
      </c>
      <c r="F230" s="681" t="str">
        <f t="shared" si="39"/>
        <v/>
      </c>
      <c r="G230" s="681">
        <f t="shared" si="43"/>
        <v>0.5</v>
      </c>
      <c r="H230" s="22">
        <f>'Outras emissões de processo'!F298</f>
        <v>0</v>
      </c>
      <c r="I230" s="22">
        <f>'Outras emissões de processo'!G298</f>
        <v>0</v>
      </c>
      <c r="J230" s="681" t="str">
        <f t="shared" si="40"/>
        <v/>
      </c>
      <c r="K230" s="681" t="str">
        <f t="shared" si="41"/>
        <v/>
      </c>
      <c r="L230" s="681" t="str">
        <f t="shared" si="42"/>
        <v/>
      </c>
      <c r="M230" s="681" t="str">
        <f>IFERROR(L230*'Fatores de Emissão'!$E$258,"")</f>
        <v/>
      </c>
      <c r="P230" t="s">
        <v>1412</v>
      </c>
      <c r="Q230">
        <v>0.05</v>
      </c>
    </row>
    <row r="231" spans="2:17" x14ac:dyDescent="0.25">
      <c r="B231" s="22">
        <f>'Outras emissões de processo'!C299</f>
        <v>0</v>
      </c>
      <c r="C231" s="22">
        <f>'Outras emissões de processo'!D299</f>
        <v>0</v>
      </c>
      <c r="D231" s="681" t="str">
        <f t="shared" si="38"/>
        <v/>
      </c>
      <c r="E231" s="22">
        <f>'Outras emissões de processo'!E299</f>
        <v>0</v>
      </c>
      <c r="F231" s="681" t="str">
        <f t="shared" si="39"/>
        <v/>
      </c>
      <c r="G231" s="681">
        <f t="shared" si="43"/>
        <v>0.5</v>
      </c>
      <c r="H231" s="22">
        <f>'Outras emissões de processo'!F299</f>
        <v>0</v>
      </c>
      <c r="I231" s="22">
        <f>'Outras emissões de processo'!G299</f>
        <v>0</v>
      </c>
      <c r="J231" s="681" t="str">
        <f t="shared" si="40"/>
        <v/>
      </c>
      <c r="K231" s="681" t="str">
        <f t="shared" si="41"/>
        <v/>
      </c>
      <c r="L231" s="681" t="str">
        <f t="shared" si="42"/>
        <v/>
      </c>
      <c r="M231" s="681" t="str">
        <f>IFERROR(L231*'Fatores de Emissão'!$E$258,"")</f>
        <v/>
      </c>
      <c r="P231" t="s">
        <v>1413</v>
      </c>
      <c r="Q231">
        <v>0.39</v>
      </c>
    </row>
    <row r="232" spans="2:17" x14ac:dyDescent="0.25">
      <c r="B232" s="22">
        <f>'Outras emissões de processo'!C300</f>
        <v>0</v>
      </c>
      <c r="C232" s="22">
        <f>'Outras emissões de processo'!D300</f>
        <v>0</v>
      </c>
      <c r="D232" s="681" t="str">
        <f t="shared" si="38"/>
        <v/>
      </c>
      <c r="E232" s="22">
        <f>'Outras emissões de processo'!E300</f>
        <v>0</v>
      </c>
      <c r="F232" s="681" t="str">
        <f t="shared" si="39"/>
        <v/>
      </c>
      <c r="G232" s="681">
        <f t="shared" si="43"/>
        <v>0.5</v>
      </c>
      <c r="H232" s="22">
        <f>'Outras emissões de processo'!F300</f>
        <v>0</v>
      </c>
      <c r="I232" s="22">
        <f>'Outras emissões de processo'!G300</f>
        <v>0</v>
      </c>
      <c r="J232" s="681" t="str">
        <f t="shared" si="40"/>
        <v/>
      </c>
      <c r="K232" s="681" t="str">
        <f t="shared" si="41"/>
        <v/>
      </c>
      <c r="L232" s="681" t="str">
        <f t="shared" si="42"/>
        <v/>
      </c>
      <c r="M232" s="681" t="str">
        <f>IFERROR(L232*'Fatores de Emissão'!$E$258,"")</f>
        <v/>
      </c>
      <c r="P232" t="s">
        <v>1414</v>
      </c>
      <c r="Q232">
        <v>0.18</v>
      </c>
    </row>
    <row r="233" spans="2:17" x14ac:dyDescent="0.25">
      <c r="B233" s="22">
        <f>'Outras emissões de processo'!C301</f>
        <v>0</v>
      </c>
      <c r="C233" s="22">
        <f>'Outras emissões de processo'!D301</f>
        <v>0</v>
      </c>
      <c r="D233" s="681" t="str">
        <f t="shared" si="38"/>
        <v/>
      </c>
      <c r="E233" s="22">
        <f>'Outras emissões de processo'!E301</f>
        <v>0</v>
      </c>
      <c r="F233" s="681" t="str">
        <f t="shared" si="39"/>
        <v/>
      </c>
      <c r="G233" s="681">
        <f t="shared" si="43"/>
        <v>0.5</v>
      </c>
      <c r="H233" s="22">
        <f>'Outras emissões de processo'!F301</f>
        <v>0</v>
      </c>
      <c r="I233" s="22">
        <f>'Outras emissões de processo'!G301</f>
        <v>0</v>
      </c>
      <c r="J233" s="681" t="str">
        <f t="shared" si="40"/>
        <v/>
      </c>
      <c r="K233" s="681" t="str">
        <f t="shared" si="41"/>
        <v/>
      </c>
      <c r="L233" s="681" t="str">
        <f t="shared" si="42"/>
        <v/>
      </c>
      <c r="M233" s="681" t="str">
        <f>IFERROR(L233*'Fatores de Emissão'!$E$258,"")</f>
        <v/>
      </c>
      <c r="P233" t="s">
        <v>1415</v>
      </c>
      <c r="Q233">
        <v>0.15</v>
      </c>
    </row>
    <row r="234" spans="2:17" x14ac:dyDescent="0.25">
      <c r="B234" s="22">
        <f>'Outras emissões de processo'!C302</f>
        <v>0</v>
      </c>
      <c r="C234" s="22">
        <f>'Outras emissões de processo'!D302</f>
        <v>0</v>
      </c>
      <c r="D234" s="681" t="str">
        <f t="shared" si="38"/>
        <v/>
      </c>
      <c r="E234" s="22">
        <f>'Outras emissões de processo'!E302</f>
        <v>0</v>
      </c>
      <c r="F234" s="681" t="str">
        <f t="shared" si="39"/>
        <v/>
      </c>
      <c r="G234" s="681">
        <f t="shared" si="43"/>
        <v>0.5</v>
      </c>
      <c r="H234" s="22">
        <f>'Outras emissões de processo'!F302</f>
        <v>0</v>
      </c>
      <c r="I234" s="22">
        <f>'Outras emissões de processo'!G302</f>
        <v>0</v>
      </c>
      <c r="J234" s="681" t="str">
        <f t="shared" si="40"/>
        <v/>
      </c>
      <c r="K234" s="681" t="str">
        <f t="shared" si="41"/>
        <v/>
      </c>
      <c r="L234" s="681" t="str">
        <f t="shared" si="42"/>
        <v/>
      </c>
      <c r="M234" s="681" t="str">
        <f>IFERROR(L234*'Fatores de Emissão'!$E$258,"")</f>
        <v/>
      </c>
    </row>
    <row r="235" spans="2:17" x14ac:dyDescent="0.25">
      <c r="B235" s="22">
        <f>'Outras emissões de processo'!C303</f>
        <v>0</v>
      </c>
      <c r="C235" s="22">
        <f>'Outras emissões de processo'!D303</f>
        <v>0</v>
      </c>
      <c r="D235" s="681" t="str">
        <f t="shared" si="38"/>
        <v/>
      </c>
      <c r="E235" s="22">
        <f>'Outras emissões de processo'!E303</f>
        <v>0</v>
      </c>
      <c r="F235" s="681" t="str">
        <f t="shared" si="39"/>
        <v/>
      </c>
      <c r="G235" s="681">
        <f t="shared" si="43"/>
        <v>0.5</v>
      </c>
      <c r="H235" s="22">
        <f>'Outras emissões de processo'!F303</f>
        <v>0</v>
      </c>
      <c r="I235" s="22">
        <f>'Outras emissões de processo'!G303</f>
        <v>0</v>
      </c>
      <c r="J235" s="681" t="str">
        <f t="shared" si="40"/>
        <v/>
      </c>
      <c r="K235" s="681" t="str">
        <f t="shared" si="41"/>
        <v/>
      </c>
      <c r="L235" s="681" t="str">
        <f t="shared" si="42"/>
        <v/>
      </c>
      <c r="M235" s="681" t="str">
        <f>IFERROR(L235*'Fatores de Emissão'!$E$258,"")</f>
        <v/>
      </c>
    </row>
    <row r="236" spans="2:17" x14ac:dyDescent="0.25">
      <c r="B236" s="22">
        <f>'Outras emissões de processo'!C304</f>
        <v>0</v>
      </c>
      <c r="C236" s="22">
        <f>'Outras emissões de processo'!D304</f>
        <v>0</v>
      </c>
      <c r="D236" s="681" t="str">
        <f t="shared" si="38"/>
        <v/>
      </c>
      <c r="E236" s="22">
        <f>'Outras emissões de processo'!E304</f>
        <v>0</v>
      </c>
      <c r="F236" s="681" t="str">
        <f t="shared" si="39"/>
        <v/>
      </c>
      <c r="G236" s="681">
        <f t="shared" si="43"/>
        <v>0.5</v>
      </c>
      <c r="H236" s="22">
        <f>'Outras emissões de processo'!F304</f>
        <v>0</v>
      </c>
      <c r="I236" s="22">
        <f>'Outras emissões de processo'!G304</f>
        <v>0</v>
      </c>
      <c r="J236" s="681" t="str">
        <f t="shared" si="40"/>
        <v/>
      </c>
      <c r="K236" s="681" t="str">
        <f t="shared" si="41"/>
        <v/>
      </c>
      <c r="L236" s="681" t="str">
        <f t="shared" si="42"/>
        <v/>
      </c>
      <c r="M236" s="681" t="str">
        <f>IFERROR(L236*'Fatores de Emissão'!$E$258,"")</f>
        <v/>
      </c>
    </row>
    <row r="237" spans="2:17" x14ac:dyDescent="0.25">
      <c r="B237" s="22">
        <f>'Outras emissões de processo'!C305</f>
        <v>0</v>
      </c>
      <c r="C237" s="22">
        <f>'Outras emissões de processo'!D305</f>
        <v>0</v>
      </c>
      <c r="D237" s="681" t="str">
        <f t="shared" si="38"/>
        <v/>
      </c>
      <c r="E237" s="22">
        <f>'Outras emissões de processo'!E305</f>
        <v>0</v>
      </c>
      <c r="F237" s="681" t="str">
        <f t="shared" si="39"/>
        <v/>
      </c>
      <c r="G237" s="681">
        <f t="shared" si="43"/>
        <v>0.5</v>
      </c>
      <c r="H237" s="22">
        <f>'Outras emissões de processo'!F305</f>
        <v>0</v>
      </c>
      <c r="I237" s="22">
        <f>'Outras emissões de processo'!G305</f>
        <v>0</v>
      </c>
      <c r="J237" s="681" t="str">
        <f t="shared" si="40"/>
        <v/>
      </c>
      <c r="K237" s="681" t="str">
        <f t="shared" si="41"/>
        <v/>
      </c>
      <c r="L237" s="681" t="str">
        <f t="shared" si="42"/>
        <v/>
      </c>
      <c r="M237" s="681" t="str">
        <f>IFERROR(L237*'Fatores de Emissão'!$E$258,"")</f>
        <v/>
      </c>
    </row>
    <row r="238" spans="2:17" x14ac:dyDescent="0.25">
      <c r="B238" s="22">
        <f>'Outras emissões de processo'!C306</f>
        <v>0</v>
      </c>
      <c r="C238" s="22">
        <f>'Outras emissões de processo'!D306</f>
        <v>0</v>
      </c>
      <c r="D238" s="681" t="str">
        <f t="shared" si="38"/>
        <v/>
      </c>
      <c r="E238" s="22">
        <f>'Outras emissões de processo'!E306</f>
        <v>0</v>
      </c>
      <c r="F238" s="681" t="str">
        <f t="shared" si="39"/>
        <v/>
      </c>
      <c r="G238" s="681">
        <f t="shared" si="43"/>
        <v>0.5</v>
      </c>
      <c r="H238" s="22">
        <f>'Outras emissões de processo'!F306</f>
        <v>0</v>
      </c>
      <c r="I238" s="22">
        <f>'Outras emissões de processo'!G306</f>
        <v>0</v>
      </c>
      <c r="J238" s="681" t="str">
        <f t="shared" si="40"/>
        <v/>
      </c>
      <c r="K238" s="681" t="str">
        <f t="shared" si="41"/>
        <v/>
      </c>
      <c r="L238" s="681" t="str">
        <f t="shared" si="42"/>
        <v/>
      </c>
      <c r="M238" s="681" t="str">
        <f>IFERROR(L238*'Fatores de Emissão'!$E$258,"")</f>
        <v/>
      </c>
    </row>
    <row r="239" spans="2:17" x14ac:dyDescent="0.25">
      <c r="B239" s="22">
        <f>'Outras emissões de processo'!C307</f>
        <v>0</v>
      </c>
      <c r="C239" s="22">
        <f>'Outras emissões de processo'!D307</f>
        <v>0</v>
      </c>
      <c r="D239" s="681" t="str">
        <f t="shared" si="38"/>
        <v/>
      </c>
      <c r="E239" s="22">
        <f>'Outras emissões de processo'!E307</f>
        <v>0</v>
      </c>
      <c r="F239" s="681" t="str">
        <f t="shared" si="39"/>
        <v/>
      </c>
      <c r="G239" s="681">
        <f t="shared" si="43"/>
        <v>0.5</v>
      </c>
      <c r="H239" s="22">
        <f>'Outras emissões de processo'!F307</f>
        <v>0</v>
      </c>
      <c r="I239" s="22">
        <f>'Outras emissões de processo'!G307</f>
        <v>0</v>
      </c>
      <c r="J239" s="681" t="str">
        <f t="shared" si="40"/>
        <v/>
      </c>
      <c r="K239" s="681" t="str">
        <f t="shared" si="41"/>
        <v/>
      </c>
      <c r="L239" s="681" t="str">
        <f t="shared" si="42"/>
        <v/>
      </c>
      <c r="M239" s="681" t="str">
        <f>IFERROR(L239*'Fatores de Emissão'!$E$258,"")</f>
        <v/>
      </c>
    </row>
  </sheetData>
  <mergeCells count="21">
    <mergeCell ref="M106:M107"/>
    <mergeCell ref="N106:N107"/>
    <mergeCell ref="O106:O107"/>
    <mergeCell ref="C216:D216"/>
    <mergeCell ref="E216:F216"/>
    <mergeCell ref="AC105:AC107"/>
    <mergeCell ref="X105:AA105"/>
    <mergeCell ref="X106:Z106"/>
    <mergeCell ref="AB105:AB107"/>
    <mergeCell ref="B105:B107"/>
    <mergeCell ref="C105:C107"/>
    <mergeCell ref="D105:D107"/>
    <mergeCell ref="F105:K105"/>
    <mergeCell ref="Q106:Q107"/>
    <mergeCell ref="Q105:W105"/>
    <mergeCell ref="R106:W106"/>
    <mergeCell ref="E105:E107"/>
    <mergeCell ref="F106:H106"/>
    <mergeCell ref="I106:K106"/>
    <mergeCell ref="L105:O105"/>
    <mergeCell ref="L106:L107"/>
  </mergeCells>
  <phoneticPr fontId="24" type="noConversion"/>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433E-7DC4-47CE-940A-6B13C2DE0319}">
  <dimension ref="A9:AB144"/>
  <sheetViews>
    <sheetView showGridLines="0" zoomScale="79" zoomScaleNormal="55" workbookViewId="0">
      <selection activeCell="B15" sqref="B15"/>
    </sheetView>
  </sheetViews>
  <sheetFormatPr defaultRowHeight="15" x14ac:dyDescent="0.25"/>
  <cols>
    <col min="1" max="1" width="18.625" customWidth="1"/>
    <col min="2" max="2" width="28.25" customWidth="1"/>
    <col min="3" max="3" width="52.25" customWidth="1"/>
    <col min="4" max="4" width="14.25" customWidth="1"/>
    <col min="5" max="5" width="22.75" customWidth="1"/>
    <col min="6" max="6" width="28.625" customWidth="1"/>
    <col min="7" max="9" width="11.5" customWidth="1"/>
    <col min="10" max="10" width="13.25" customWidth="1"/>
    <col min="11" max="12" width="26.625" customWidth="1"/>
    <col min="14" max="14" width="23.25" customWidth="1"/>
    <col min="15" max="15" width="15.25" customWidth="1"/>
    <col min="17" max="17" width="13.625" customWidth="1"/>
    <col min="18" max="18" width="14.75" customWidth="1"/>
  </cols>
  <sheetData>
    <row r="9" spans="2:4" s="11" customFormat="1" ht="19.5" x14ac:dyDescent="0.55000000000000004">
      <c r="B9" s="12" t="s">
        <v>856</v>
      </c>
    </row>
    <row r="11" spans="2:4" x14ac:dyDescent="0.25">
      <c r="B11" s="49" t="s">
        <v>857</v>
      </c>
    </row>
    <row r="13" spans="2:4" x14ac:dyDescent="0.25">
      <c r="B13" s="229" t="s">
        <v>926</v>
      </c>
      <c r="C13" s="118" t="s">
        <v>858</v>
      </c>
      <c r="D13" s="118" t="s">
        <v>861</v>
      </c>
    </row>
    <row r="14" spans="2:4" x14ac:dyDescent="0.25">
      <c r="B14" s="229" t="s">
        <v>1241</v>
      </c>
      <c r="C14" s="118" t="s">
        <v>859</v>
      </c>
      <c r="D14" s="118" t="s">
        <v>862</v>
      </c>
    </row>
    <row r="15" spans="2:4" x14ac:dyDescent="0.25">
      <c r="B15" s="229" t="s">
        <v>1242</v>
      </c>
      <c r="C15" s="22" t="s">
        <v>860</v>
      </c>
      <c r="D15" s="118" t="s">
        <v>863</v>
      </c>
    </row>
    <row r="28" spans="1:28" s="11" customFormat="1" ht="19.5" x14ac:dyDescent="0.55000000000000004">
      <c r="B28" s="12" t="s">
        <v>347</v>
      </c>
    </row>
    <row r="29" spans="1:28" x14ac:dyDescent="0.25">
      <c r="F29" s="227" t="s">
        <v>910</v>
      </c>
      <c r="N29" s="227" t="s">
        <v>828</v>
      </c>
    </row>
    <row r="30" spans="1:28" ht="21" x14ac:dyDescent="0.35">
      <c r="A30" s="49" t="s">
        <v>311</v>
      </c>
      <c r="F30" s="571" t="s">
        <v>920</v>
      </c>
      <c r="G30" s="572"/>
      <c r="H30" s="572"/>
      <c r="I30" s="572"/>
      <c r="J30" s="572"/>
      <c r="K30" s="572"/>
      <c r="L30" s="572"/>
      <c r="N30" s="573" t="s">
        <v>327</v>
      </c>
      <c r="O30" s="579"/>
    </row>
    <row r="31" spans="1:28" x14ac:dyDescent="0.25">
      <c r="A31" s="1396" t="s">
        <v>309</v>
      </c>
      <c r="B31" s="1396" t="s">
        <v>401</v>
      </c>
      <c r="C31" s="1396" t="s">
        <v>193</v>
      </c>
      <c r="D31" s="17"/>
      <c r="F31" s="3" t="s">
        <v>317</v>
      </c>
      <c r="G31" s="3" t="s">
        <v>318</v>
      </c>
      <c r="H31" s="3" t="s">
        <v>319</v>
      </c>
      <c r="I31" s="3" t="s">
        <v>320</v>
      </c>
      <c r="J31" s="3" t="s">
        <v>322</v>
      </c>
      <c r="K31" s="3" t="s">
        <v>324</v>
      </c>
      <c r="L31" s="3" t="s">
        <v>326</v>
      </c>
      <c r="N31" s="1313" t="s">
        <v>308</v>
      </c>
      <c r="O31" s="1313" t="s">
        <v>328</v>
      </c>
      <c r="W31" s="1374" t="s">
        <v>908</v>
      </c>
      <c r="X31" s="1374"/>
      <c r="Y31" s="1374"/>
      <c r="Z31" s="1374"/>
      <c r="AA31" s="1374"/>
      <c r="AB31" s="1374"/>
    </row>
    <row r="32" spans="1:28" x14ac:dyDescent="0.25">
      <c r="A32" s="1397"/>
      <c r="B32" s="1397"/>
      <c r="C32" s="1397"/>
      <c r="D32" s="17"/>
      <c r="F32" s="226" t="s">
        <v>529</v>
      </c>
      <c r="G32" s="226" t="s">
        <v>529</v>
      </c>
      <c r="H32" s="226" t="s">
        <v>911</v>
      </c>
      <c r="I32" s="226" t="s">
        <v>321</v>
      </c>
      <c r="J32" s="3" t="s">
        <v>323</v>
      </c>
      <c r="K32" s="3" t="s">
        <v>325</v>
      </c>
      <c r="L32" s="3" t="s">
        <v>325</v>
      </c>
      <c r="N32" s="1315"/>
      <c r="O32" s="1315"/>
      <c r="W32" s="222"/>
      <c r="X32" s="223" t="s">
        <v>909</v>
      </c>
      <c r="Y32" s="223"/>
      <c r="Z32" s="223"/>
      <c r="AA32" s="223"/>
      <c r="AB32" s="143"/>
    </row>
    <row r="33" spans="1:28" x14ac:dyDescent="0.25">
      <c r="A33" s="1378" t="s">
        <v>395</v>
      </c>
      <c r="B33" s="5" t="str">
        <f>Q63</f>
        <v>Pinheiro-bravo</v>
      </c>
      <c r="C33" s="4" t="s">
        <v>366</v>
      </c>
      <c r="D33" s="1"/>
      <c r="F33" s="186">
        <v>30.86</v>
      </c>
      <c r="G33" s="186">
        <v>8.5100000000000051</v>
      </c>
      <c r="H33" s="186">
        <v>58.36</v>
      </c>
      <c r="I33" s="184">
        <v>0.52878684030157641</v>
      </c>
      <c r="J33" s="184">
        <v>0.27576150356448492</v>
      </c>
      <c r="K33" s="580">
        <v>0.51</v>
      </c>
      <c r="L33" s="10">
        <v>0.37</v>
      </c>
      <c r="N33" s="5" t="str">
        <f>B33</f>
        <v>Pinheiro-bravo</v>
      </c>
      <c r="O33" s="191">
        <v>5.5</v>
      </c>
      <c r="Q33" s="8"/>
      <c r="W33" s="224" t="s">
        <v>910</v>
      </c>
      <c r="X33" s="221" t="s">
        <v>317</v>
      </c>
      <c r="Y33" s="221" t="s">
        <v>318</v>
      </c>
      <c r="Z33" s="221" t="s">
        <v>319</v>
      </c>
      <c r="AA33" s="221" t="s">
        <v>320</v>
      </c>
      <c r="AB33" s="221" t="s">
        <v>322</v>
      </c>
    </row>
    <row r="34" spans="1:28" x14ac:dyDescent="0.25">
      <c r="A34" s="1379"/>
      <c r="B34" s="5" t="str">
        <f>Q65</f>
        <v>Sobreiro</v>
      </c>
      <c r="C34" s="4" t="s">
        <v>367</v>
      </c>
      <c r="D34" s="1"/>
      <c r="F34" s="186">
        <v>26.17</v>
      </c>
      <c r="G34" s="186">
        <v>3.639999999999997</v>
      </c>
      <c r="H34" s="186">
        <v>21.93</v>
      </c>
      <c r="I34" s="184">
        <v>1.193342453260374</v>
      </c>
      <c r="J34" s="184">
        <v>0.13909056171188372</v>
      </c>
      <c r="K34" s="580">
        <v>0.48</v>
      </c>
      <c r="L34" s="10">
        <v>0.37</v>
      </c>
      <c r="N34" s="5" t="str">
        <f t="shared" ref="N34:N40" si="0">B34</f>
        <v>Sobreiro</v>
      </c>
      <c r="O34" s="191">
        <v>0.5</v>
      </c>
      <c r="Q34" s="8"/>
      <c r="W34" s="224"/>
      <c r="X34" s="221" t="s">
        <v>529</v>
      </c>
      <c r="Y34" s="221" t="s">
        <v>529</v>
      </c>
      <c r="Z34" s="221" t="s">
        <v>911</v>
      </c>
      <c r="AA34" s="221" t="s">
        <v>321</v>
      </c>
      <c r="AB34" s="221"/>
    </row>
    <row r="35" spans="1:28" x14ac:dyDescent="0.25">
      <c r="A35" s="1379"/>
      <c r="B35" s="5" t="str">
        <f>Q64</f>
        <v>Eucalipto</v>
      </c>
      <c r="C35" s="4" t="s">
        <v>368</v>
      </c>
      <c r="D35" s="1"/>
      <c r="F35" s="186">
        <v>24.98</v>
      </c>
      <c r="G35" s="186">
        <v>6.2100000000000009</v>
      </c>
      <c r="H35" s="186">
        <v>39.18</v>
      </c>
      <c r="I35" s="184">
        <v>0.63757018887187344</v>
      </c>
      <c r="J35" s="184">
        <v>0.24859887910328266</v>
      </c>
      <c r="K35" s="580">
        <v>0.48</v>
      </c>
      <c r="L35" s="10">
        <v>0.37</v>
      </c>
      <c r="N35" s="5" t="str">
        <f t="shared" si="0"/>
        <v>Eucalipto</v>
      </c>
      <c r="O35" s="191">
        <v>15</v>
      </c>
      <c r="Q35" s="17"/>
      <c r="W35" s="223" t="s">
        <v>912</v>
      </c>
      <c r="X35" s="225">
        <v>30.86</v>
      </c>
      <c r="Y35" s="225">
        <v>8.5100000000000051</v>
      </c>
      <c r="Z35" s="225">
        <v>58.36</v>
      </c>
      <c r="AA35" s="225">
        <v>0.52878684030157641</v>
      </c>
      <c r="AB35" s="225">
        <v>0.27576150356448492</v>
      </c>
    </row>
    <row r="36" spans="1:28" x14ac:dyDescent="0.25">
      <c r="A36" s="1379"/>
      <c r="B36" s="5" t="str">
        <f>Q66</f>
        <v>Azinheira</v>
      </c>
      <c r="C36" s="4" t="s">
        <v>369</v>
      </c>
      <c r="D36" s="1"/>
      <c r="F36" s="186">
        <v>4.93</v>
      </c>
      <c r="G36" s="186">
        <v>3.7300000000000004</v>
      </c>
      <c r="H36" s="186">
        <v>6.25</v>
      </c>
      <c r="I36" s="184">
        <v>0.78879999999999995</v>
      </c>
      <c r="J36" s="184">
        <v>0.75659229208924961</v>
      </c>
      <c r="K36" s="580">
        <v>0.48</v>
      </c>
      <c r="L36" s="10">
        <v>0.37</v>
      </c>
      <c r="N36" s="5" t="str">
        <f t="shared" si="0"/>
        <v>Azinheira</v>
      </c>
      <c r="O36" s="191">
        <v>0.5</v>
      </c>
      <c r="Q36" s="8"/>
      <c r="W36" s="223" t="s">
        <v>913</v>
      </c>
      <c r="X36" s="225">
        <v>26.17</v>
      </c>
      <c r="Y36" s="225">
        <v>3.639999999999997</v>
      </c>
      <c r="Z36" s="225">
        <v>21.93</v>
      </c>
      <c r="AA36" s="225">
        <v>1.193342453260374</v>
      </c>
      <c r="AB36" s="225">
        <v>0.13909056171188372</v>
      </c>
    </row>
    <row r="37" spans="1:28" x14ac:dyDescent="0.25">
      <c r="A37" s="1379"/>
      <c r="B37" s="5" t="str">
        <f>Q67</f>
        <v>Carvalhos</v>
      </c>
      <c r="C37" s="4" t="s">
        <v>370</v>
      </c>
      <c r="D37" s="1"/>
      <c r="F37" s="186">
        <v>3.3000000000000003</v>
      </c>
      <c r="G37" s="186">
        <v>0.94</v>
      </c>
      <c r="H37" s="186">
        <v>3.3800000000000003</v>
      </c>
      <c r="I37" s="184">
        <v>0.97633136094674555</v>
      </c>
      <c r="J37" s="184">
        <v>0.2848484848484848</v>
      </c>
      <c r="K37" s="580">
        <v>0.48</v>
      </c>
      <c r="L37" s="10">
        <v>0.37</v>
      </c>
      <c r="N37" s="5" t="str">
        <f t="shared" si="0"/>
        <v>Carvalhos</v>
      </c>
      <c r="O37" s="191">
        <v>2</v>
      </c>
      <c r="Q37" s="228"/>
      <c r="W37" s="223" t="s">
        <v>914</v>
      </c>
      <c r="X37" s="225">
        <v>24.98</v>
      </c>
      <c r="Y37" s="225">
        <v>6.2100000000000009</v>
      </c>
      <c r="Z37" s="225">
        <v>39.18</v>
      </c>
      <c r="AA37" s="225">
        <v>0.63757018887187344</v>
      </c>
      <c r="AB37" s="225">
        <v>0.24859887910328266</v>
      </c>
    </row>
    <row r="38" spans="1:28" x14ac:dyDescent="0.25">
      <c r="A38" s="1379"/>
      <c r="B38" s="5" t="str">
        <f>Q72</f>
        <v>Outras folhosas</v>
      </c>
      <c r="C38" s="4" t="s">
        <v>371</v>
      </c>
      <c r="D38" s="1"/>
      <c r="F38" s="186">
        <v>8.76</v>
      </c>
      <c r="G38" s="186">
        <v>6.740000000000002</v>
      </c>
      <c r="H38" s="186">
        <v>9.3999999999999986</v>
      </c>
      <c r="I38" s="184">
        <v>0.9319148936170214</v>
      </c>
      <c r="J38" s="184">
        <v>0.76940639269406419</v>
      </c>
      <c r="K38" s="580">
        <v>0.48</v>
      </c>
      <c r="L38" s="10">
        <v>0.37</v>
      </c>
      <c r="N38" s="5" t="str">
        <f t="shared" si="0"/>
        <v>Outras folhosas</v>
      </c>
      <c r="O38" s="191">
        <v>4</v>
      </c>
      <c r="Q38" s="17"/>
      <c r="W38" s="223" t="s">
        <v>915</v>
      </c>
      <c r="X38" s="225">
        <v>4.93</v>
      </c>
      <c r="Y38" s="225">
        <v>3.7300000000000004</v>
      </c>
      <c r="Z38" s="225">
        <v>6.25</v>
      </c>
      <c r="AA38" s="225">
        <v>0.78879999999999995</v>
      </c>
      <c r="AB38" s="225">
        <v>0.75659229208924961</v>
      </c>
    </row>
    <row r="39" spans="1:28" x14ac:dyDescent="0.25">
      <c r="A39" s="1379"/>
      <c r="B39" s="5" t="str">
        <f>Q68</f>
        <v>Pinheiro-manso</v>
      </c>
      <c r="C39" s="4" t="s">
        <v>372</v>
      </c>
      <c r="D39" s="1"/>
      <c r="F39" s="186">
        <v>7.46</v>
      </c>
      <c r="G39" s="186">
        <v>0.28000000000000025</v>
      </c>
      <c r="H39" s="186">
        <v>4.3</v>
      </c>
      <c r="I39" s="184">
        <v>1.7348837209302326</v>
      </c>
      <c r="J39" s="184">
        <v>3.7533512064343195E-2</v>
      </c>
      <c r="K39" s="580">
        <v>0.51</v>
      </c>
      <c r="L39" s="10">
        <v>0.37</v>
      </c>
      <c r="N39" s="5" t="str">
        <f t="shared" si="0"/>
        <v>Pinheiro-manso</v>
      </c>
      <c r="O39" s="191">
        <v>5.5</v>
      </c>
      <c r="Q39" s="8"/>
      <c r="W39" s="223" t="s">
        <v>916</v>
      </c>
      <c r="X39" s="225">
        <v>3.3000000000000003</v>
      </c>
      <c r="Y39" s="225">
        <v>0.94</v>
      </c>
      <c r="Z39" s="225">
        <v>3.3800000000000003</v>
      </c>
      <c r="AA39" s="225">
        <v>0.97633136094674555</v>
      </c>
      <c r="AB39" s="225">
        <v>0.2848484848484848</v>
      </c>
    </row>
    <row r="40" spans="1:28" x14ac:dyDescent="0.25">
      <c r="A40" s="1380"/>
      <c r="B40" s="5" t="s">
        <v>403</v>
      </c>
      <c r="C40" s="4" t="s">
        <v>373</v>
      </c>
      <c r="D40" s="1"/>
      <c r="F40" s="186">
        <v>2.2000000000000002</v>
      </c>
      <c r="G40" s="186">
        <v>0.60999999999999988</v>
      </c>
      <c r="H40" s="186">
        <v>4.1500000000000004</v>
      </c>
      <c r="I40" s="184">
        <v>0.53012048192771088</v>
      </c>
      <c r="J40" s="184">
        <v>0.27727272727272717</v>
      </c>
      <c r="K40" s="580">
        <v>0.51</v>
      </c>
      <c r="L40" s="10">
        <v>0.37</v>
      </c>
      <c r="N40" s="5" t="str">
        <f t="shared" si="0"/>
        <v>Outras coníferas</v>
      </c>
      <c r="O40" s="191">
        <v>17</v>
      </c>
      <c r="Q40" s="17"/>
      <c r="W40" s="223" t="s">
        <v>917</v>
      </c>
      <c r="X40" s="225">
        <v>8.76</v>
      </c>
      <c r="Y40" s="225">
        <v>6.740000000000002</v>
      </c>
      <c r="Z40" s="225">
        <v>9.3999999999999986</v>
      </c>
      <c r="AA40" s="225">
        <v>0.9319148936170214</v>
      </c>
      <c r="AB40" s="225">
        <v>0.76940639269406419</v>
      </c>
    </row>
    <row r="41" spans="1:28" ht="30" x14ac:dyDescent="0.25">
      <c r="A41" s="1378" t="s">
        <v>396</v>
      </c>
      <c r="B41" s="5" t="s">
        <v>382</v>
      </c>
      <c r="C41" s="4" t="s">
        <v>384</v>
      </c>
      <c r="D41" s="9"/>
      <c r="F41" s="5"/>
      <c r="G41" s="5"/>
      <c r="H41" s="5"/>
      <c r="I41" s="5"/>
      <c r="J41" s="5">
        <v>1</v>
      </c>
      <c r="K41" s="580">
        <v>0.51</v>
      </c>
      <c r="L41" s="10">
        <v>0.37</v>
      </c>
      <c r="W41" s="223" t="s">
        <v>918</v>
      </c>
      <c r="X41" s="225">
        <v>7.46</v>
      </c>
      <c r="Y41" s="225">
        <v>0.28000000000000025</v>
      </c>
      <c r="Z41" s="225">
        <v>4.3</v>
      </c>
      <c r="AA41" s="225">
        <v>1.7348837209302326</v>
      </c>
      <c r="AB41" s="225">
        <v>3.7533512064343195E-2</v>
      </c>
    </row>
    <row r="42" spans="1:28" ht="30" x14ac:dyDescent="0.35">
      <c r="A42" s="1379"/>
      <c r="B42" s="5" t="s">
        <v>383</v>
      </c>
      <c r="C42" s="4" t="s">
        <v>374</v>
      </c>
      <c r="D42" s="9"/>
      <c r="F42" s="5"/>
      <c r="G42" s="5"/>
      <c r="H42" s="5"/>
      <c r="I42" s="5"/>
      <c r="J42" s="5">
        <v>1</v>
      </c>
      <c r="K42" s="580">
        <v>0.47</v>
      </c>
      <c r="L42" s="10">
        <v>0.37</v>
      </c>
      <c r="N42" s="573" t="s">
        <v>336</v>
      </c>
      <c r="O42" s="579"/>
      <c r="P42" s="579"/>
      <c r="Q42" s="579"/>
      <c r="R42" s="579"/>
      <c r="W42" s="223" t="s">
        <v>919</v>
      </c>
      <c r="X42" s="225">
        <v>2.2000000000000002</v>
      </c>
      <c r="Y42" s="225">
        <v>0.60999999999999988</v>
      </c>
      <c r="Z42" s="225">
        <v>4.1500000000000004</v>
      </c>
      <c r="AA42" s="225">
        <v>0.53012048192771088</v>
      </c>
      <c r="AB42" s="225">
        <v>0.27727272727272717</v>
      </c>
    </row>
    <row r="43" spans="1:28" ht="30" x14ac:dyDescent="0.25">
      <c r="A43" s="1379"/>
      <c r="B43" s="5" t="s">
        <v>385</v>
      </c>
      <c r="C43" s="4" t="s">
        <v>386</v>
      </c>
      <c r="D43" s="1"/>
      <c r="F43" s="5"/>
      <c r="G43" s="5"/>
      <c r="H43" s="5"/>
      <c r="I43" s="5"/>
      <c r="J43" s="5">
        <v>1</v>
      </c>
      <c r="K43" s="580">
        <v>0.47</v>
      </c>
      <c r="L43" s="10">
        <v>0.37</v>
      </c>
      <c r="N43" s="192" t="s">
        <v>337</v>
      </c>
      <c r="O43" s="193" t="s">
        <v>338</v>
      </c>
      <c r="P43" s="193" t="s">
        <v>339</v>
      </c>
      <c r="Q43" s="192" t="s">
        <v>343</v>
      </c>
      <c r="R43" s="117" t="s">
        <v>344</v>
      </c>
    </row>
    <row r="44" spans="1:28" ht="30" x14ac:dyDescent="0.25">
      <c r="A44" s="1379"/>
      <c r="B44" s="5" t="s">
        <v>387</v>
      </c>
      <c r="C44" s="4" t="s">
        <v>375</v>
      </c>
      <c r="D44" s="9"/>
      <c r="F44" s="5">
        <v>7.117</v>
      </c>
      <c r="G44" s="5">
        <v>6.1130000000000004</v>
      </c>
      <c r="H44" s="5"/>
      <c r="I44" s="5"/>
      <c r="J44" s="5">
        <v>0.85899999999999999</v>
      </c>
      <c r="K44" s="580">
        <v>0.47</v>
      </c>
      <c r="L44" s="10">
        <v>0.37</v>
      </c>
      <c r="N44" s="5" t="str">
        <f>B41</f>
        <v>Culturas anuais de sequeiro</v>
      </c>
      <c r="O44" s="141">
        <v>0.31</v>
      </c>
      <c r="P44" s="141">
        <v>0.31</v>
      </c>
      <c r="Q44" s="141">
        <v>1</v>
      </c>
      <c r="R44" s="3">
        <f>(O44+P44)</f>
        <v>0.62</v>
      </c>
    </row>
    <row r="45" spans="1:28" x14ac:dyDescent="0.25">
      <c r="A45" s="1379"/>
      <c r="B45" s="5" t="s">
        <v>388</v>
      </c>
      <c r="C45" s="4" t="s">
        <v>376</v>
      </c>
      <c r="D45" s="1"/>
      <c r="F45" s="5">
        <v>16.706</v>
      </c>
      <c r="G45" s="5">
        <v>2.4380000000000002</v>
      </c>
      <c r="H45" s="5"/>
      <c r="I45" s="5"/>
      <c r="J45" s="5">
        <v>0.14599999999999999</v>
      </c>
      <c r="K45" s="580">
        <v>0.47</v>
      </c>
      <c r="L45" s="10">
        <v>0.37</v>
      </c>
      <c r="N45" s="5" t="str">
        <f t="shared" ref="N45:N54" si="1">B42</f>
        <v>Culturas anuais irrigadas</v>
      </c>
      <c r="O45" s="141">
        <v>0.31</v>
      </c>
      <c r="P45" s="141">
        <v>0.31</v>
      </c>
      <c r="Q45" s="141">
        <v>1</v>
      </c>
      <c r="R45" s="3">
        <f t="shared" ref="R45:R51" si="2">(O45+P45)</f>
        <v>0.62</v>
      </c>
    </row>
    <row r="46" spans="1:28" ht="45.4" customHeight="1" x14ac:dyDescent="0.25">
      <c r="A46" s="1380"/>
      <c r="B46" s="5" t="s">
        <v>389</v>
      </c>
      <c r="C46" s="4" t="s">
        <v>377</v>
      </c>
      <c r="D46" s="9"/>
      <c r="F46" s="5">
        <v>18.003</v>
      </c>
      <c r="G46" s="5">
        <v>3.15</v>
      </c>
      <c r="H46" s="5"/>
      <c r="I46" s="5"/>
      <c r="J46" s="5">
        <v>0.17499999999999999</v>
      </c>
      <c r="K46" s="580">
        <v>0.47</v>
      </c>
      <c r="L46" s="10">
        <v>0.37</v>
      </c>
      <c r="N46" s="5" t="str">
        <f t="shared" si="1"/>
        <v>Arrozais</v>
      </c>
      <c r="O46" s="141">
        <v>0.31</v>
      </c>
      <c r="P46" s="141">
        <v>0.31</v>
      </c>
      <c r="Q46" s="141">
        <v>1</v>
      </c>
      <c r="R46" s="3">
        <f t="shared" si="2"/>
        <v>0.62</v>
      </c>
    </row>
    <row r="47" spans="1:28" ht="30" x14ac:dyDescent="0.25">
      <c r="A47" s="5" t="s">
        <v>397</v>
      </c>
      <c r="B47" s="5" t="s">
        <v>390</v>
      </c>
      <c r="C47" s="4" t="s">
        <v>378</v>
      </c>
      <c r="D47" s="1"/>
      <c r="F47" s="5"/>
      <c r="G47" s="5"/>
      <c r="H47" s="5"/>
      <c r="I47" s="5"/>
      <c r="J47" s="5">
        <v>1.778</v>
      </c>
      <c r="K47" s="580">
        <v>0.47</v>
      </c>
      <c r="L47" s="10">
        <v>0.37</v>
      </c>
      <c r="N47" s="5" t="str">
        <f t="shared" si="1"/>
        <v>Vinhas</v>
      </c>
      <c r="O47" s="141">
        <v>0.17</v>
      </c>
      <c r="P47" s="141">
        <v>0.14000000000000001</v>
      </c>
      <c r="Q47" s="141">
        <v>20</v>
      </c>
      <c r="R47" s="3">
        <f t="shared" si="2"/>
        <v>0.31000000000000005</v>
      </c>
    </row>
    <row r="48" spans="1:28" ht="45" x14ac:dyDescent="0.25">
      <c r="A48" s="5" t="s">
        <v>391</v>
      </c>
      <c r="B48" s="5" t="s">
        <v>391</v>
      </c>
      <c r="C48" s="4" t="s">
        <v>379</v>
      </c>
      <c r="D48" s="9"/>
      <c r="F48" s="5"/>
      <c r="G48" s="5"/>
      <c r="H48" s="5"/>
      <c r="I48" s="5"/>
      <c r="J48" s="5"/>
      <c r="K48" s="580">
        <v>0.47</v>
      </c>
      <c r="L48" s="10">
        <v>0.37</v>
      </c>
      <c r="N48" s="5" t="str">
        <f t="shared" si="1"/>
        <v>Olivais</v>
      </c>
      <c r="O48" s="141">
        <v>0.39</v>
      </c>
      <c r="P48" s="141">
        <v>0.06</v>
      </c>
      <c r="Q48" s="141">
        <v>20</v>
      </c>
      <c r="R48" s="3">
        <f t="shared" si="2"/>
        <v>0.45</v>
      </c>
    </row>
    <row r="49" spans="1:20" ht="30" x14ac:dyDescent="0.25">
      <c r="A49" s="139" t="s">
        <v>394</v>
      </c>
      <c r="B49" s="5" t="s">
        <v>393</v>
      </c>
      <c r="C49" s="4" t="s">
        <v>402</v>
      </c>
      <c r="D49" s="9"/>
      <c r="F49" s="5"/>
      <c r="G49" s="5"/>
      <c r="H49" s="5"/>
      <c r="I49" s="5"/>
      <c r="J49" s="5">
        <v>0.56299999999999994</v>
      </c>
      <c r="K49" s="580">
        <v>0.47</v>
      </c>
      <c r="L49" s="10">
        <v>0.37</v>
      </c>
      <c r="N49" s="5" t="str">
        <f t="shared" si="1"/>
        <v>Outras culturas permanentes</v>
      </c>
      <c r="O49" s="141">
        <v>0.42</v>
      </c>
      <c r="P49" s="141">
        <v>7.0000000000000007E-2</v>
      </c>
      <c r="Q49" s="141">
        <v>20</v>
      </c>
      <c r="R49" s="3">
        <f t="shared" si="2"/>
        <v>0.49</v>
      </c>
    </row>
    <row r="50" spans="1:20" ht="45" x14ac:dyDescent="0.25">
      <c r="A50" s="16"/>
      <c r="B50" s="5" t="s">
        <v>394</v>
      </c>
      <c r="C50" s="4" t="s">
        <v>381</v>
      </c>
      <c r="D50" s="9"/>
      <c r="F50" s="5"/>
      <c r="G50" s="5"/>
      <c r="H50" s="5"/>
      <c r="I50" s="5"/>
      <c r="J50" s="5">
        <v>0.56299999999999994</v>
      </c>
      <c r="K50" s="580">
        <v>0.47</v>
      </c>
      <c r="L50" s="10">
        <v>0.37</v>
      </c>
      <c r="N50" s="5" t="str">
        <f t="shared" si="1"/>
        <v>Todos os prados/pastagens</v>
      </c>
      <c r="O50" s="141">
        <v>0.53</v>
      </c>
      <c r="P50" s="141">
        <v>0.94</v>
      </c>
      <c r="Q50" s="141">
        <v>1</v>
      </c>
      <c r="R50" s="3">
        <f t="shared" si="2"/>
        <v>1.47</v>
      </c>
    </row>
    <row r="51" spans="1:20" ht="45" x14ac:dyDescent="0.25">
      <c r="A51" s="5" t="s">
        <v>392</v>
      </c>
      <c r="B51" s="5" t="s">
        <v>392</v>
      </c>
      <c r="C51" s="4" t="s">
        <v>380</v>
      </c>
      <c r="F51" s="5"/>
      <c r="G51" s="5"/>
      <c r="H51" s="5"/>
      <c r="I51" s="5"/>
      <c r="J51" s="5"/>
      <c r="K51" s="580">
        <v>0.47</v>
      </c>
      <c r="L51" s="10">
        <v>0.37</v>
      </c>
      <c r="N51" s="5" t="str">
        <f t="shared" si="1"/>
        <v>Zonas húmidas</v>
      </c>
      <c r="O51" s="141">
        <v>0</v>
      </c>
      <c r="P51" s="141">
        <v>0</v>
      </c>
      <c r="Q51" s="141">
        <v>1</v>
      </c>
      <c r="R51" s="3">
        <f t="shared" si="2"/>
        <v>0</v>
      </c>
    </row>
    <row r="52" spans="1:20" x14ac:dyDescent="0.25">
      <c r="N52" s="5" t="str">
        <f t="shared" si="1"/>
        <v>Arbustos</v>
      </c>
      <c r="O52" s="141">
        <v>0.44</v>
      </c>
      <c r="P52" s="141">
        <v>0.25</v>
      </c>
      <c r="Q52" s="141">
        <v>20</v>
      </c>
      <c r="R52" s="3">
        <f>(O52+P52)</f>
        <v>0.69</v>
      </c>
    </row>
    <row r="53" spans="1:20" x14ac:dyDescent="0.25">
      <c r="N53" s="5" t="str">
        <f t="shared" si="1"/>
        <v>Outros terrenos</v>
      </c>
      <c r="O53" s="141">
        <v>0.05</v>
      </c>
      <c r="P53" s="141">
        <v>0.03</v>
      </c>
      <c r="Q53" s="141">
        <v>20</v>
      </c>
      <c r="R53" s="3">
        <f>(O53+P53)</f>
        <v>0.08</v>
      </c>
    </row>
    <row r="54" spans="1:20" x14ac:dyDescent="0.25">
      <c r="N54" s="5" t="str">
        <f t="shared" si="1"/>
        <v>Áreas urbanizadas</v>
      </c>
      <c r="O54" s="141">
        <v>0</v>
      </c>
      <c r="P54" s="141">
        <v>0</v>
      </c>
      <c r="Q54" s="141">
        <v>1</v>
      </c>
      <c r="R54" s="3">
        <f>(O54+P54)</f>
        <v>0</v>
      </c>
    </row>
    <row r="57" spans="1:20" x14ac:dyDescent="0.25">
      <c r="N57" s="183" t="s">
        <v>341</v>
      </c>
      <c r="O57" s="141">
        <v>44.01</v>
      </c>
    </row>
    <row r="58" spans="1:20" x14ac:dyDescent="0.25">
      <c r="N58" s="183" t="s">
        <v>342</v>
      </c>
      <c r="O58" s="141">
        <v>12.01</v>
      </c>
    </row>
    <row r="61" spans="1:20" ht="21" x14ac:dyDescent="0.35">
      <c r="B61" s="573" t="s">
        <v>1154</v>
      </c>
      <c r="C61" s="570"/>
      <c r="D61" s="570"/>
      <c r="E61" s="570"/>
      <c r="F61" s="570"/>
      <c r="G61" s="570"/>
      <c r="H61" s="570"/>
      <c r="I61" s="570"/>
      <c r="J61" s="570"/>
    </row>
    <row r="62" spans="1:20" ht="38.25" x14ac:dyDescent="0.25">
      <c r="B62" s="574" t="s">
        <v>329</v>
      </c>
      <c r="C62" s="189" t="s">
        <v>345</v>
      </c>
      <c r="D62" s="189" t="s">
        <v>346</v>
      </c>
      <c r="E62" s="190" t="s">
        <v>340</v>
      </c>
      <c r="F62" s="189" t="s">
        <v>331</v>
      </c>
      <c r="G62" s="189" t="s">
        <v>332</v>
      </c>
      <c r="H62" s="189" t="s">
        <v>333</v>
      </c>
      <c r="I62" s="190" t="s">
        <v>334</v>
      </c>
      <c r="J62" s="190" t="s">
        <v>335</v>
      </c>
      <c r="K62" s="582"/>
      <c r="L62" s="586"/>
      <c r="N62" s="3" t="s">
        <v>34</v>
      </c>
      <c r="Q62" s="51" t="s">
        <v>474</v>
      </c>
      <c r="R62" s="594" t="s">
        <v>484</v>
      </c>
      <c r="S62" s="582"/>
      <c r="T62" s="586"/>
    </row>
    <row r="63" spans="1:20" ht="19.5" x14ac:dyDescent="0.25">
      <c r="A63" s="1395"/>
      <c r="B63" s="575" t="str">
        <f>B33</f>
        <v>Pinheiro-bravo</v>
      </c>
      <c r="C63" s="33">
        <f>O33</f>
        <v>5.5</v>
      </c>
      <c r="D63" s="22"/>
      <c r="E63" s="578">
        <f>I33</f>
        <v>0.52878684030157641</v>
      </c>
      <c r="F63" s="577">
        <f>J33</f>
        <v>0.27576150356448492</v>
      </c>
      <c r="G63" s="577">
        <f>F63+1</f>
        <v>1.2757615035644849</v>
      </c>
      <c r="H63" s="50">
        <f>K33</f>
        <v>0.51</v>
      </c>
      <c r="I63" s="34">
        <f>C63*E63*G63*H63</f>
        <v>1.8922695339273476</v>
      </c>
      <c r="J63" s="593">
        <f>I63*($O$57/$O$58)</f>
        <v>6.9341200822766504</v>
      </c>
      <c r="K63" s="583"/>
      <c r="L63" s="1"/>
      <c r="N63" s="141" t="s">
        <v>898</v>
      </c>
      <c r="Q63" s="52" t="s">
        <v>475</v>
      </c>
      <c r="R63" s="585">
        <f>'Fatores de Emissão'!I344</f>
        <v>0</v>
      </c>
      <c r="S63" s="583"/>
      <c r="T63" s="1"/>
    </row>
    <row r="64" spans="1:20" ht="19.5" x14ac:dyDescent="0.25">
      <c r="A64" s="1395"/>
      <c r="B64" s="575" t="str">
        <f t="shared" ref="B64:B80" si="3">B34</f>
        <v>Sobreiro</v>
      </c>
      <c r="C64" s="33">
        <f t="shared" ref="C64:C70" si="4">O34</f>
        <v>0.5</v>
      </c>
      <c r="D64" s="22"/>
      <c r="E64" s="578">
        <f t="shared" ref="E64:F70" si="5">I34</f>
        <v>1.193342453260374</v>
      </c>
      <c r="F64" s="577">
        <f t="shared" si="5"/>
        <v>0.13909056171188372</v>
      </c>
      <c r="G64" s="577">
        <f t="shared" ref="G64:G78" si="6">F64+1</f>
        <v>1.1390905617118836</v>
      </c>
      <c r="H64" s="50">
        <f t="shared" ref="H64:H78" si="7">K34</f>
        <v>0.48</v>
      </c>
      <c r="I64" s="34">
        <f t="shared" ref="I64:I70" si="8">C64*E64*G64*H64</f>
        <v>0.32623803009575919</v>
      </c>
      <c r="J64" s="593">
        <f t="shared" ref="J64:J78" si="9">I64*($O$57/$O$58)</f>
        <v>1.1954817405923699</v>
      </c>
      <c r="K64" s="583"/>
      <c r="L64" s="1"/>
      <c r="N64" s="141" t="s">
        <v>33</v>
      </c>
      <c r="Q64" s="52" t="s">
        <v>1151</v>
      </c>
      <c r="R64" s="585">
        <f>'Fatores de Emissão'!I345</f>
        <v>0</v>
      </c>
      <c r="S64" s="583"/>
      <c r="T64" s="1"/>
    </row>
    <row r="65" spans="1:20" ht="19.5" x14ac:dyDescent="0.25">
      <c r="A65" s="1395"/>
      <c r="B65" s="575" t="str">
        <f t="shared" si="3"/>
        <v>Eucalipto</v>
      </c>
      <c r="C65" s="33">
        <f t="shared" si="4"/>
        <v>15</v>
      </c>
      <c r="D65" s="22"/>
      <c r="E65" s="578">
        <f t="shared" si="5"/>
        <v>0.63757018887187344</v>
      </c>
      <c r="F65" s="577">
        <f t="shared" si="5"/>
        <v>0.24859887910328266</v>
      </c>
      <c r="G65" s="577">
        <f t="shared" si="6"/>
        <v>1.2485988791032827</v>
      </c>
      <c r="H65" s="50">
        <f t="shared" si="7"/>
        <v>0.48</v>
      </c>
      <c r="I65" s="34">
        <f t="shared" si="8"/>
        <v>5.7316998468606437</v>
      </c>
      <c r="J65" s="593">
        <f t="shared" si="9"/>
        <v>21.003506266472684</v>
      </c>
      <c r="K65" s="583"/>
      <c r="L65" s="1"/>
      <c r="N65" s="141" t="s">
        <v>246</v>
      </c>
      <c r="Q65" s="52" t="s">
        <v>476</v>
      </c>
      <c r="R65" s="585">
        <f>'Fatores de Emissão'!I346</f>
        <v>0</v>
      </c>
      <c r="S65" s="583"/>
      <c r="T65" s="1"/>
    </row>
    <row r="66" spans="1:20" ht="19.5" x14ac:dyDescent="0.25">
      <c r="A66" s="1395"/>
      <c r="B66" s="575" t="str">
        <f t="shared" si="3"/>
        <v>Azinheira</v>
      </c>
      <c r="C66" s="33">
        <f t="shared" si="4"/>
        <v>0.5</v>
      </c>
      <c r="D66" s="22"/>
      <c r="E66" s="578">
        <f t="shared" si="5"/>
        <v>0.78879999999999995</v>
      </c>
      <c r="F66" s="577">
        <f t="shared" si="5"/>
        <v>0.75659229208924961</v>
      </c>
      <c r="G66" s="577">
        <f t="shared" si="6"/>
        <v>1.7565922920892496</v>
      </c>
      <c r="H66" s="50">
        <f t="shared" si="7"/>
        <v>0.48</v>
      </c>
      <c r="I66" s="34">
        <f t="shared" si="8"/>
        <v>0.33254399999999995</v>
      </c>
      <c r="J66" s="593">
        <f t="shared" si="9"/>
        <v>1.2185896286427975</v>
      </c>
      <c r="K66" s="583"/>
      <c r="L66" s="1"/>
      <c r="Q66" s="52" t="s">
        <v>477</v>
      </c>
      <c r="R66" s="585">
        <f>'Fatores de Emissão'!I347</f>
        <v>0</v>
      </c>
      <c r="S66" s="583"/>
      <c r="T66" s="1"/>
    </row>
    <row r="67" spans="1:20" ht="19.5" x14ac:dyDescent="0.25">
      <c r="A67" s="1395"/>
      <c r="B67" s="575" t="str">
        <f t="shared" si="3"/>
        <v>Carvalhos</v>
      </c>
      <c r="C67" s="33">
        <f t="shared" si="4"/>
        <v>2</v>
      </c>
      <c r="D67" s="22"/>
      <c r="E67" s="578">
        <f t="shared" si="5"/>
        <v>0.97633136094674555</v>
      </c>
      <c r="F67" s="577">
        <f t="shared" si="5"/>
        <v>0.2848484848484848</v>
      </c>
      <c r="G67" s="577">
        <f t="shared" si="6"/>
        <v>1.2848484848484847</v>
      </c>
      <c r="H67" s="50">
        <f t="shared" si="7"/>
        <v>0.48</v>
      </c>
      <c r="I67" s="34">
        <f t="shared" si="8"/>
        <v>1.2042603550295856</v>
      </c>
      <c r="J67" s="593">
        <f t="shared" si="9"/>
        <v>4.4129473959077492</v>
      </c>
      <c r="K67" s="583"/>
      <c r="L67" s="1"/>
      <c r="Q67" s="52" t="s">
        <v>478</v>
      </c>
      <c r="R67" s="585">
        <f>'Fatores de Emissão'!I348</f>
        <v>0</v>
      </c>
      <c r="S67" s="583"/>
      <c r="T67" s="1"/>
    </row>
    <row r="68" spans="1:20" ht="39" x14ac:dyDescent="0.25">
      <c r="A68" s="1395"/>
      <c r="B68" s="575" t="str">
        <f t="shared" si="3"/>
        <v>Outras folhosas</v>
      </c>
      <c r="C68" s="33">
        <f t="shared" si="4"/>
        <v>4</v>
      </c>
      <c r="D68" s="22"/>
      <c r="E68" s="578">
        <f t="shared" si="5"/>
        <v>0.9319148936170214</v>
      </c>
      <c r="F68" s="577">
        <f t="shared" si="5"/>
        <v>0.76940639269406419</v>
      </c>
      <c r="G68" s="577">
        <f t="shared" si="6"/>
        <v>1.7694063926940642</v>
      </c>
      <c r="H68" s="50">
        <f t="shared" si="7"/>
        <v>0.48</v>
      </c>
      <c r="I68" s="34">
        <f t="shared" si="8"/>
        <v>3.1659574468085117</v>
      </c>
      <c r="J68" s="593">
        <f t="shared" si="9"/>
        <v>11.60148103530746</v>
      </c>
      <c r="K68" s="583"/>
      <c r="L68" s="1"/>
      <c r="Q68" s="52" t="s">
        <v>479</v>
      </c>
      <c r="R68" s="585">
        <f>'Fatores de Emissão'!I349</f>
        <v>0</v>
      </c>
      <c r="S68" s="583"/>
      <c r="T68" s="1"/>
    </row>
    <row r="69" spans="1:20" ht="19.5" x14ac:dyDescent="0.25">
      <c r="A69" s="1395"/>
      <c r="B69" s="575" t="str">
        <f t="shared" si="3"/>
        <v>Pinheiro-manso</v>
      </c>
      <c r="C69" s="33">
        <f t="shared" si="4"/>
        <v>5.5</v>
      </c>
      <c r="D69" s="22"/>
      <c r="E69" s="578">
        <f t="shared" si="5"/>
        <v>1.7348837209302326</v>
      </c>
      <c r="F69" s="577">
        <f t="shared" si="5"/>
        <v>3.7533512064343195E-2</v>
      </c>
      <c r="G69" s="577">
        <f t="shared" si="6"/>
        <v>1.0375335120643432</v>
      </c>
      <c r="H69" s="50">
        <f t="shared" si="7"/>
        <v>0.51</v>
      </c>
      <c r="I69" s="34">
        <f t="shared" si="8"/>
        <v>5.0490000000000004</v>
      </c>
      <c r="J69" s="593">
        <f t="shared" si="9"/>
        <v>18.501789342214824</v>
      </c>
      <c r="K69" s="583"/>
      <c r="L69" s="1"/>
      <c r="Q69" s="52" t="s">
        <v>480</v>
      </c>
      <c r="R69" s="585">
        <f>'Fatores de Emissão'!I350</f>
        <v>0</v>
      </c>
      <c r="S69" s="583"/>
      <c r="T69" s="1"/>
    </row>
    <row r="70" spans="1:20" ht="19.5" x14ac:dyDescent="0.25">
      <c r="A70" s="1395"/>
      <c r="B70" s="575" t="str">
        <f t="shared" si="3"/>
        <v>Outras coníferas</v>
      </c>
      <c r="C70" s="33">
        <f t="shared" si="4"/>
        <v>17</v>
      </c>
      <c r="D70" s="22"/>
      <c r="E70" s="578">
        <f t="shared" si="5"/>
        <v>0.53012048192771088</v>
      </c>
      <c r="F70" s="577">
        <f t="shared" si="5"/>
        <v>0.27727272727272717</v>
      </c>
      <c r="G70" s="577">
        <f t="shared" si="6"/>
        <v>1.2772727272727271</v>
      </c>
      <c r="H70" s="50">
        <f t="shared" si="7"/>
        <v>0.51</v>
      </c>
      <c r="I70" s="34">
        <f t="shared" si="8"/>
        <v>5.8705301204819271</v>
      </c>
      <c r="J70" s="593">
        <f t="shared" si="9"/>
        <v>21.51224234824393</v>
      </c>
      <c r="K70" s="583"/>
      <c r="L70" s="1"/>
      <c r="Q70" s="52" t="s">
        <v>481</v>
      </c>
      <c r="R70" s="585">
        <f>'Fatores de Emissão'!I351</f>
        <v>0</v>
      </c>
      <c r="S70" s="583"/>
      <c r="T70" s="1"/>
    </row>
    <row r="71" spans="1:20" ht="19.5" x14ac:dyDescent="0.25">
      <c r="A71" s="1395"/>
      <c r="B71" s="575" t="str">
        <f t="shared" si="3"/>
        <v>Culturas anuais de sequeiro</v>
      </c>
      <c r="C71" s="33"/>
      <c r="D71" s="33">
        <f>R44</f>
        <v>0.62</v>
      </c>
      <c r="E71" s="578"/>
      <c r="F71" s="577">
        <f t="shared" ref="F71:F78" si="10">J41</f>
        <v>1</v>
      </c>
      <c r="G71" s="577">
        <f t="shared" si="6"/>
        <v>2</v>
      </c>
      <c r="H71" s="50">
        <f t="shared" si="7"/>
        <v>0.51</v>
      </c>
      <c r="I71" s="34">
        <f>D71*G71*H71</f>
        <v>0.63239999999999996</v>
      </c>
      <c r="J71" s="593">
        <f>I71*($O$57/$O$58)</f>
        <v>2.3173958368026644</v>
      </c>
      <c r="K71" s="583"/>
      <c r="L71" s="1"/>
      <c r="Q71" s="52" t="s">
        <v>482</v>
      </c>
      <c r="R71" s="585">
        <f>'Fatores de Emissão'!I352</f>
        <v>0</v>
      </c>
      <c r="S71" s="583"/>
      <c r="T71" s="1"/>
    </row>
    <row r="72" spans="1:20" ht="19.5" x14ac:dyDescent="0.25">
      <c r="A72" s="1395"/>
      <c r="B72" s="575" t="str">
        <f t="shared" si="3"/>
        <v>Culturas anuais irrigadas</v>
      </c>
      <c r="C72" s="33"/>
      <c r="D72" s="33">
        <f t="shared" ref="D72:D78" si="11">R45</f>
        <v>0.62</v>
      </c>
      <c r="E72" s="578"/>
      <c r="F72" s="577">
        <f t="shared" si="10"/>
        <v>1</v>
      </c>
      <c r="G72" s="577">
        <f t="shared" si="6"/>
        <v>2</v>
      </c>
      <c r="H72" s="50">
        <f t="shared" si="7"/>
        <v>0.47</v>
      </c>
      <c r="I72" s="34">
        <f t="shared" ref="I72:I78" si="12">D72*G72*H72</f>
        <v>0.58279999999999998</v>
      </c>
      <c r="J72" s="593">
        <f t="shared" si="9"/>
        <v>2.1356393005828478</v>
      </c>
      <c r="K72" s="583"/>
      <c r="L72" s="1"/>
      <c r="Q72" s="52" t="s">
        <v>404</v>
      </c>
      <c r="R72" s="585">
        <f>'Fatores de Emissão'!I353</f>
        <v>0</v>
      </c>
      <c r="S72" s="583"/>
      <c r="T72" s="1"/>
    </row>
    <row r="73" spans="1:20" ht="39" x14ac:dyDescent="0.25">
      <c r="A73" s="1395"/>
      <c r="B73" s="575" t="str">
        <f t="shared" si="3"/>
        <v>Arrozais</v>
      </c>
      <c r="C73" s="33"/>
      <c r="D73" s="33">
        <f t="shared" si="11"/>
        <v>0.62</v>
      </c>
      <c r="E73" s="578"/>
      <c r="F73" s="577">
        <f>J43</f>
        <v>1</v>
      </c>
      <c r="G73" s="577">
        <f>F73+1</f>
        <v>2</v>
      </c>
      <c r="H73" s="50">
        <f t="shared" si="7"/>
        <v>0.47</v>
      </c>
      <c r="I73" s="34">
        <f t="shared" si="12"/>
        <v>0.58279999999999998</v>
      </c>
      <c r="J73" s="593">
        <f t="shared" si="9"/>
        <v>2.1356393005828478</v>
      </c>
      <c r="K73" s="583"/>
      <c r="L73" s="1"/>
      <c r="Q73" s="52" t="s">
        <v>483</v>
      </c>
      <c r="R73" s="585">
        <f>'Fatores de Emissão'!I354</f>
        <v>0</v>
      </c>
      <c r="S73" s="583"/>
      <c r="T73" s="1"/>
    </row>
    <row r="74" spans="1:20" x14ac:dyDescent="0.25">
      <c r="A74" s="1395"/>
      <c r="B74" s="575" t="str">
        <f t="shared" si="3"/>
        <v>Vinhas</v>
      </c>
      <c r="C74" s="33"/>
      <c r="D74" s="33">
        <f t="shared" si="11"/>
        <v>0.31000000000000005</v>
      </c>
      <c r="E74" s="578"/>
      <c r="F74" s="577">
        <f t="shared" si="10"/>
        <v>0.85899999999999999</v>
      </c>
      <c r="G74" s="577">
        <f t="shared" si="6"/>
        <v>1.859</v>
      </c>
      <c r="H74" s="50">
        <f t="shared" si="7"/>
        <v>0.47</v>
      </c>
      <c r="I74" s="34">
        <f t="shared" si="12"/>
        <v>0.27085630000000005</v>
      </c>
      <c r="J74" s="593">
        <f t="shared" si="9"/>
        <v>0.99253836494587866</v>
      </c>
      <c r="K74" s="583"/>
      <c r="L74" s="1"/>
    </row>
    <row r="75" spans="1:20" x14ac:dyDescent="0.25">
      <c r="A75" s="1395"/>
      <c r="B75" s="575" t="str">
        <f t="shared" si="3"/>
        <v>Olivais</v>
      </c>
      <c r="C75" s="33"/>
      <c r="D75" s="33">
        <f t="shared" si="11"/>
        <v>0.45</v>
      </c>
      <c r="E75" s="578"/>
      <c r="F75" s="577">
        <f t="shared" si="10"/>
        <v>0.14599999999999999</v>
      </c>
      <c r="G75" s="577">
        <f t="shared" si="6"/>
        <v>1.1459999999999999</v>
      </c>
      <c r="H75" s="50">
        <f t="shared" si="7"/>
        <v>0.47</v>
      </c>
      <c r="I75" s="34">
        <f t="shared" si="12"/>
        <v>0.24237899999999996</v>
      </c>
      <c r="J75" s="593">
        <f t="shared" si="9"/>
        <v>0.88818482847626967</v>
      </c>
      <c r="K75" s="583"/>
      <c r="L75" s="1"/>
    </row>
    <row r="76" spans="1:20" x14ac:dyDescent="0.25">
      <c r="A76" s="1395"/>
      <c r="B76" s="575" t="str">
        <f t="shared" si="3"/>
        <v>Outras culturas permanentes</v>
      </c>
      <c r="C76" s="33"/>
      <c r="D76" s="33">
        <f t="shared" si="11"/>
        <v>0.49</v>
      </c>
      <c r="E76" s="578"/>
      <c r="F76" s="577">
        <f t="shared" si="10"/>
        <v>0.17499999999999999</v>
      </c>
      <c r="G76" s="577">
        <f t="shared" si="6"/>
        <v>1.175</v>
      </c>
      <c r="H76" s="50">
        <f t="shared" si="7"/>
        <v>0.47</v>
      </c>
      <c r="I76" s="34">
        <f t="shared" si="12"/>
        <v>0.27060249999999997</v>
      </c>
      <c r="J76" s="593">
        <f t="shared" si="9"/>
        <v>0.99160832847626967</v>
      </c>
      <c r="K76" s="583"/>
      <c r="L76" s="1"/>
    </row>
    <row r="77" spans="1:20" x14ac:dyDescent="0.25">
      <c r="A77" s="576"/>
      <c r="B77" s="575" t="str">
        <f t="shared" si="3"/>
        <v>Todos os prados/pastagens</v>
      </c>
      <c r="C77" s="33"/>
      <c r="D77" s="33">
        <f t="shared" si="11"/>
        <v>1.47</v>
      </c>
      <c r="E77" s="578"/>
      <c r="F77" s="577">
        <f t="shared" si="10"/>
        <v>1.778</v>
      </c>
      <c r="G77" s="577">
        <f t="shared" si="6"/>
        <v>2.778</v>
      </c>
      <c r="H77" s="50">
        <f t="shared" si="7"/>
        <v>0.47</v>
      </c>
      <c r="I77" s="34">
        <f t="shared" si="12"/>
        <v>1.9193202</v>
      </c>
      <c r="J77" s="593">
        <f t="shared" si="9"/>
        <v>7.0332457953372192</v>
      </c>
      <c r="K77" s="583"/>
      <c r="L77" s="1"/>
    </row>
    <row r="78" spans="1:20" x14ac:dyDescent="0.25">
      <c r="A78" s="576"/>
      <c r="B78" s="575" t="str">
        <f t="shared" si="3"/>
        <v>Zonas húmidas</v>
      </c>
      <c r="C78" s="33"/>
      <c r="D78" s="33">
        <f t="shared" si="11"/>
        <v>0</v>
      </c>
      <c r="E78" s="578"/>
      <c r="F78" s="577">
        <f t="shared" si="10"/>
        <v>0</v>
      </c>
      <c r="G78" s="577">
        <f t="shared" si="6"/>
        <v>1</v>
      </c>
      <c r="H78" s="50">
        <f t="shared" si="7"/>
        <v>0.47</v>
      </c>
      <c r="I78" s="34">
        <f t="shared" si="12"/>
        <v>0</v>
      </c>
      <c r="J78" s="593">
        <f t="shared" si="9"/>
        <v>0</v>
      </c>
      <c r="K78" s="583"/>
      <c r="L78" s="1"/>
    </row>
    <row r="79" spans="1:20" x14ac:dyDescent="0.25">
      <c r="A79" s="576"/>
      <c r="B79" s="575" t="str">
        <f t="shared" si="3"/>
        <v>Arbustos</v>
      </c>
      <c r="C79" s="33"/>
      <c r="D79" s="33">
        <f>R52</f>
        <v>0.69</v>
      </c>
      <c r="E79" s="578"/>
      <c r="F79" s="577">
        <f>J49</f>
        <v>0.56299999999999994</v>
      </c>
      <c r="G79" s="577">
        <f>F79+1</f>
        <v>1.5629999999999999</v>
      </c>
      <c r="H79" s="50">
        <f>K49</f>
        <v>0.47</v>
      </c>
      <c r="I79" s="34">
        <f>D79*G79*H79</f>
        <v>0.50688089999999986</v>
      </c>
      <c r="J79" s="593">
        <f>I79*($O$57/$O$58)</f>
        <v>1.8574378358867605</v>
      </c>
      <c r="K79" s="583"/>
      <c r="L79" s="1"/>
    </row>
    <row r="80" spans="1:20" x14ac:dyDescent="0.25">
      <c r="A80" s="576"/>
      <c r="B80" s="575" t="str">
        <f t="shared" si="3"/>
        <v>Outros terrenos</v>
      </c>
      <c r="C80" s="33"/>
      <c r="D80" s="33">
        <f>R53</f>
        <v>0.08</v>
      </c>
      <c r="E80" s="578"/>
      <c r="F80" s="577">
        <f>J50</f>
        <v>0.56299999999999994</v>
      </c>
      <c r="G80" s="577">
        <f>F80+1</f>
        <v>1.5629999999999999</v>
      </c>
      <c r="H80" s="50">
        <f>K50</f>
        <v>0.47</v>
      </c>
      <c r="I80" s="34">
        <f>D80*G80*H80</f>
        <v>5.8768799999999989E-2</v>
      </c>
      <c r="J80" s="593">
        <f>I80*($O$57/$O$58)</f>
        <v>0.21535511140716065</v>
      </c>
      <c r="K80" s="583"/>
      <c r="L80" s="1"/>
    </row>
    <row r="81" spans="1:12" x14ac:dyDescent="0.25">
      <c r="A81" s="576"/>
      <c r="B81" s="575" t="s">
        <v>899</v>
      </c>
      <c r="C81" s="33"/>
      <c r="D81" s="33"/>
      <c r="E81" s="578"/>
      <c r="F81" s="577"/>
      <c r="G81" s="577"/>
      <c r="H81" s="50"/>
      <c r="I81" s="34"/>
      <c r="J81" s="593"/>
      <c r="K81" s="583"/>
      <c r="L81" s="1"/>
    </row>
    <row r="82" spans="1:12" x14ac:dyDescent="0.25">
      <c r="A82" s="576"/>
      <c r="B82" s="575" t="str">
        <f>B51</f>
        <v>Áreas urbanizadas</v>
      </c>
      <c r="C82" s="33"/>
      <c r="D82" s="33">
        <f>R54</f>
        <v>0</v>
      </c>
      <c r="E82" s="578"/>
      <c r="F82" s="577">
        <f>J51</f>
        <v>0</v>
      </c>
      <c r="G82" s="577">
        <f>F82+1</f>
        <v>1</v>
      </c>
      <c r="H82" s="50">
        <f>K51</f>
        <v>0.47</v>
      </c>
      <c r="I82" s="34">
        <f>D82*G82*H82</f>
        <v>0</v>
      </c>
      <c r="J82" s="593">
        <f>I82*($O$57/$O$58)</f>
        <v>0</v>
      </c>
      <c r="K82" s="583"/>
      <c r="L82" s="1"/>
    </row>
    <row r="85" spans="1:12" s="11" customFormat="1" ht="19.5" x14ac:dyDescent="0.55000000000000004">
      <c r="B85" s="12" t="s">
        <v>351</v>
      </c>
    </row>
    <row r="88" spans="1:12" ht="18.75" x14ac:dyDescent="0.3">
      <c r="A88" s="571" t="s">
        <v>350</v>
      </c>
      <c r="B88" s="572"/>
      <c r="C88" s="572"/>
      <c r="D88" s="572"/>
      <c r="E88" s="572"/>
      <c r="F88" s="572"/>
      <c r="G88" s="572"/>
      <c r="H88" s="572"/>
      <c r="I88" s="572"/>
    </row>
    <row r="89" spans="1:12" x14ac:dyDescent="0.25">
      <c r="A89" s="1385" t="s">
        <v>329</v>
      </c>
      <c r="B89" s="1386"/>
      <c r="C89" s="1382" t="s">
        <v>352</v>
      </c>
      <c r="D89" s="1383"/>
      <c r="E89" s="1384"/>
      <c r="F89" s="1382" t="s">
        <v>354</v>
      </c>
      <c r="G89" s="1383"/>
      <c r="H89" s="1384"/>
      <c r="I89" s="183" t="s">
        <v>356</v>
      </c>
    </row>
    <row r="90" spans="1:12" x14ac:dyDescent="0.25">
      <c r="A90" s="1387"/>
      <c r="B90" s="1388"/>
      <c r="C90" s="183">
        <v>1995</v>
      </c>
      <c r="D90" s="183">
        <v>2005</v>
      </c>
      <c r="E90" s="183">
        <v>2010</v>
      </c>
      <c r="F90" s="183">
        <v>1995</v>
      </c>
      <c r="G90" s="183">
        <v>2005</v>
      </c>
      <c r="H90" s="183">
        <v>2010</v>
      </c>
      <c r="I90" s="183" t="s">
        <v>355</v>
      </c>
    </row>
    <row r="91" spans="1:12" x14ac:dyDescent="0.25">
      <c r="A91" s="1389"/>
      <c r="B91" s="1390"/>
      <c r="C91" s="183" t="s">
        <v>353</v>
      </c>
      <c r="D91" s="183" t="s">
        <v>353</v>
      </c>
      <c r="E91" s="183" t="s">
        <v>353</v>
      </c>
      <c r="F91" s="183" t="s">
        <v>353</v>
      </c>
      <c r="G91" s="183" t="s">
        <v>353</v>
      </c>
      <c r="H91" s="183" t="s">
        <v>353</v>
      </c>
      <c r="I91" s="183" t="s">
        <v>353</v>
      </c>
    </row>
    <row r="92" spans="1:12" x14ac:dyDescent="0.25">
      <c r="A92" s="1375" t="s">
        <v>310</v>
      </c>
      <c r="B92" s="187" t="str">
        <f>B63</f>
        <v>Pinheiro-bravo</v>
      </c>
      <c r="C92" s="187">
        <v>28.29</v>
      </c>
      <c r="D92" s="187">
        <v>26.74</v>
      </c>
      <c r="E92" s="187">
        <v>26.74</v>
      </c>
      <c r="F92" s="187">
        <v>3.33</v>
      </c>
      <c r="G92" s="187">
        <v>3.14</v>
      </c>
      <c r="H92" s="187">
        <v>3.14</v>
      </c>
      <c r="I92" s="187">
        <v>2.96</v>
      </c>
    </row>
    <row r="93" spans="1:12" x14ac:dyDescent="0.25">
      <c r="A93" s="1376"/>
      <c r="B93" s="187" t="str">
        <f t="shared" ref="B93:B99" si="13">B64</f>
        <v>Sobreiro</v>
      </c>
      <c r="C93" s="187">
        <v>20.67</v>
      </c>
      <c r="D93" s="187">
        <v>20.04</v>
      </c>
      <c r="E93" s="187">
        <v>20.04</v>
      </c>
      <c r="F93" s="187">
        <v>3.03</v>
      </c>
      <c r="G93" s="187">
        <v>2.94</v>
      </c>
      <c r="H93" s="187">
        <v>2.94</v>
      </c>
      <c r="I93" s="187">
        <v>2.04</v>
      </c>
    </row>
    <row r="94" spans="1:12" x14ac:dyDescent="0.25">
      <c r="A94" s="1376"/>
      <c r="B94" s="187" t="str">
        <f t="shared" si="13"/>
        <v>Eucalipto</v>
      </c>
      <c r="C94" s="187">
        <v>16.72</v>
      </c>
      <c r="D94" s="187">
        <v>17.97</v>
      </c>
      <c r="E94" s="187">
        <v>17.97</v>
      </c>
      <c r="F94" s="187">
        <v>3.88</v>
      </c>
      <c r="G94" s="187">
        <v>4.2</v>
      </c>
      <c r="H94" s="187">
        <v>4.2</v>
      </c>
      <c r="I94" s="187">
        <v>1.85</v>
      </c>
    </row>
    <row r="95" spans="1:12" x14ac:dyDescent="0.25">
      <c r="A95" s="1376"/>
      <c r="B95" s="187" t="str">
        <f t="shared" si="13"/>
        <v>Azinheira</v>
      </c>
      <c r="C95" s="187">
        <v>9.4700000000000006</v>
      </c>
      <c r="D95" s="187">
        <v>8.3699999999999992</v>
      </c>
      <c r="E95" s="187">
        <v>8.3699999999999992</v>
      </c>
      <c r="F95" s="187">
        <v>5.03</v>
      </c>
      <c r="G95" s="187">
        <v>4.92</v>
      </c>
      <c r="H95" s="187">
        <v>4.92</v>
      </c>
      <c r="I95" s="187">
        <v>2.04</v>
      </c>
    </row>
    <row r="96" spans="1:12" x14ac:dyDescent="0.25">
      <c r="A96" s="1376"/>
      <c r="B96" s="187" t="str">
        <f t="shared" si="13"/>
        <v>Carvalhos</v>
      </c>
      <c r="C96" s="187">
        <v>15.45</v>
      </c>
      <c r="D96" s="187">
        <v>15.87</v>
      </c>
      <c r="E96" s="187">
        <v>15.87</v>
      </c>
      <c r="F96" s="187">
        <v>4.83</v>
      </c>
      <c r="G96" s="187">
        <v>4.6900000000000004</v>
      </c>
      <c r="H96" s="187">
        <v>4.6900000000000004</v>
      </c>
      <c r="I96" s="187">
        <v>1.85</v>
      </c>
    </row>
    <row r="97" spans="1:14" x14ac:dyDescent="0.25">
      <c r="A97" s="1376"/>
      <c r="B97" s="187" t="str">
        <f t="shared" si="13"/>
        <v>Outras folhosas</v>
      </c>
      <c r="C97" s="187">
        <v>20.399999999999999</v>
      </c>
      <c r="D97" s="187">
        <v>30.79</v>
      </c>
      <c r="E97" s="187">
        <v>30.79</v>
      </c>
      <c r="F97" s="187">
        <v>7.67</v>
      </c>
      <c r="G97" s="187">
        <v>13.34</v>
      </c>
      <c r="H97" s="187">
        <v>13.34</v>
      </c>
      <c r="I97" s="187">
        <v>1.85</v>
      </c>
    </row>
    <row r="98" spans="1:14" x14ac:dyDescent="0.25">
      <c r="A98" s="1376"/>
      <c r="B98" s="187" t="str">
        <f t="shared" si="13"/>
        <v>Pinheiro-manso</v>
      </c>
      <c r="C98" s="187">
        <v>25.4</v>
      </c>
      <c r="D98" s="187">
        <v>18.79</v>
      </c>
      <c r="E98" s="187">
        <v>18.79</v>
      </c>
      <c r="F98" s="187">
        <v>1.96</v>
      </c>
      <c r="G98" s="187">
        <v>1.46</v>
      </c>
      <c r="H98" s="187">
        <v>1.46</v>
      </c>
      <c r="I98" s="187">
        <v>2.41</v>
      </c>
    </row>
    <row r="99" spans="1:14" x14ac:dyDescent="0.25">
      <c r="A99" s="1377"/>
      <c r="B99" s="187" t="str">
        <f t="shared" si="13"/>
        <v>Outras coníferas</v>
      </c>
      <c r="C99" s="187">
        <v>8.6999999999999993</v>
      </c>
      <c r="D99" s="187">
        <v>14.51</v>
      </c>
      <c r="E99" s="187">
        <v>14.51</v>
      </c>
      <c r="F99" s="187">
        <v>1.62</v>
      </c>
      <c r="G99" s="187">
        <v>1.76</v>
      </c>
      <c r="H99" s="187">
        <v>1.76</v>
      </c>
      <c r="I99" s="187">
        <v>2.96</v>
      </c>
    </row>
    <row r="100" spans="1:14" x14ac:dyDescent="0.25">
      <c r="A100" s="1378" t="s">
        <v>312</v>
      </c>
      <c r="B100" s="5" t="str">
        <f>B71</f>
        <v>Culturas anuais de sequeiro</v>
      </c>
      <c r="C100" s="141">
        <v>0.31</v>
      </c>
      <c r="D100" s="141">
        <v>0.31</v>
      </c>
      <c r="E100" s="141">
        <v>0.31</v>
      </c>
      <c r="F100" s="141">
        <v>0.31</v>
      </c>
      <c r="G100" s="141">
        <v>0.31</v>
      </c>
      <c r="H100" s="141">
        <v>0.31</v>
      </c>
      <c r="I100" s="141">
        <v>0.33</v>
      </c>
    </row>
    <row r="101" spans="1:14" x14ac:dyDescent="0.25">
      <c r="A101" s="1379"/>
      <c r="B101" s="5" t="str">
        <f t="shared" ref="B101:B109" si="14">B72</f>
        <v>Culturas anuais irrigadas</v>
      </c>
      <c r="C101" s="141">
        <v>0.31</v>
      </c>
      <c r="D101" s="141">
        <v>0.31</v>
      </c>
      <c r="E101" s="141">
        <v>0.31</v>
      </c>
      <c r="F101" s="141">
        <v>0.31</v>
      </c>
      <c r="G101" s="141">
        <v>0.31</v>
      </c>
      <c r="H101" s="141">
        <v>0.31</v>
      </c>
      <c r="I101" s="141">
        <v>0.33</v>
      </c>
    </row>
    <row r="102" spans="1:14" x14ac:dyDescent="0.25">
      <c r="A102" s="1379"/>
      <c r="B102" s="5" t="str">
        <f t="shared" si="14"/>
        <v>Arrozais</v>
      </c>
      <c r="C102" s="141">
        <v>0.31</v>
      </c>
      <c r="D102" s="141">
        <v>0.31</v>
      </c>
      <c r="E102" s="141">
        <v>0.31</v>
      </c>
      <c r="F102" s="141">
        <v>0.31</v>
      </c>
      <c r="G102" s="141">
        <v>0.31</v>
      </c>
      <c r="H102" s="141">
        <v>0.31</v>
      </c>
      <c r="I102" s="141">
        <v>0.33</v>
      </c>
    </row>
    <row r="103" spans="1:14" x14ac:dyDescent="0.25">
      <c r="A103" s="1379"/>
      <c r="B103" s="5" t="str">
        <f t="shared" si="14"/>
        <v>Vinhas</v>
      </c>
      <c r="C103" s="141">
        <v>3.34</v>
      </c>
      <c r="D103" s="141">
        <v>3.34</v>
      </c>
      <c r="E103" s="141">
        <v>3.34</v>
      </c>
      <c r="F103" s="141">
        <v>2.87</v>
      </c>
      <c r="G103" s="141">
        <v>2.87</v>
      </c>
      <c r="H103" s="141">
        <v>2.87</v>
      </c>
      <c r="I103" s="141">
        <v>0.33</v>
      </c>
    </row>
    <row r="104" spans="1:14" x14ac:dyDescent="0.25">
      <c r="A104" s="1379"/>
      <c r="B104" s="5" t="str">
        <f t="shared" si="14"/>
        <v>Olivais</v>
      </c>
      <c r="C104" s="141">
        <v>7.85</v>
      </c>
      <c r="D104" s="141">
        <v>7.85</v>
      </c>
      <c r="E104" s="141">
        <v>7.85</v>
      </c>
      <c r="F104" s="141">
        <v>1.1499999999999999</v>
      </c>
      <c r="G104" s="141">
        <v>1.1499999999999999</v>
      </c>
      <c r="H104" s="141">
        <v>1.1499999999999999</v>
      </c>
      <c r="I104" s="141">
        <v>0.33</v>
      </c>
    </row>
    <row r="105" spans="1:14" x14ac:dyDescent="0.25">
      <c r="A105" s="1380"/>
      <c r="B105" s="5" t="str">
        <f t="shared" si="14"/>
        <v>Outras culturas permanentes</v>
      </c>
      <c r="C105" s="141">
        <v>8.4600000000000009</v>
      </c>
      <c r="D105" s="141">
        <v>8.4600000000000009</v>
      </c>
      <c r="E105" s="141">
        <v>8.4600000000000009</v>
      </c>
      <c r="F105" s="141">
        <v>1.48</v>
      </c>
      <c r="G105" s="141">
        <v>1.48</v>
      </c>
      <c r="H105" s="141">
        <v>1.48</v>
      </c>
      <c r="I105" s="141">
        <v>0.33</v>
      </c>
    </row>
    <row r="106" spans="1:14" x14ac:dyDescent="0.25">
      <c r="A106" s="5" t="s">
        <v>313</v>
      </c>
      <c r="B106" s="5" t="str">
        <f t="shared" si="14"/>
        <v>Todos os prados/pastagens</v>
      </c>
      <c r="C106" s="141">
        <v>0.53</v>
      </c>
      <c r="D106" s="141">
        <v>0.53</v>
      </c>
      <c r="E106" s="141">
        <v>0.53</v>
      </c>
      <c r="F106" s="141">
        <v>0.94</v>
      </c>
      <c r="G106" s="141">
        <v>0.94</v>
      </c>
      <c r="H106" s="141">
        <v>0.94</v>
      </c>
      <c r="I106" s="141">
        <v>0.41</v>
      </c>
    </row>
    <row r="107" spans="1:14" x14ac:dyDescent="0.25">
      <c r="A107" s="5" t="s">
        <v>314</v>
      </c>
      <c r="B107" s="5" t="str">
        <f t="shared" si="14"/>
        <v>Zonas húmidas</v>
      </c>
      <c r="C107" s="184">
        <v>0</v>
      </c>
      <c r="D107" s="184">
        <v>0</v>
      </c>
      <c r="E107" s="184">
        <v>0</v>
      </c>
      <c r="F107" s="184">
        <v>0</v>
      </c>
      <c r="G107" s="184">
        <v>0</v>
      </c>
      <c r="H107" s="184">
        <v>0</v>
      </c>
      <c r="I107" s="184">
        <v>0</v>
      </c>
    </row>
    <row r="108" spans="1:14" x14ac:dyDescent="0.25">
      <c r="A108" s="139" t="s">
        <v>316</v>
      </c>
      <c r="B108" s="5" t="str">
        <f t="shared" si="14"/>
        <v>Arbustos</v>
      </c>
      <c r="C108" s="141">
        <v>8.7799999999999994</v>
      </c>
      <c r="D108" s="141">
        <v>8.7799999999999994</v>
      </c>
      <c r="E108" s="141">
        <v>8.7799999999999994</v>
      </c>
      <c r="F108" s="141">
        <v>4.9400000000000004</v>
      </c>
      <c r="G108" s="141">
        <v>4.9400000000000004</v>
      </c>
      <c r="H108" s="141">
        <v>4.9400000000000004</v>
      </c>
      <c r="I108" s="141">
        <v>4.96</v>
      </c>
    </row>
    <row r="109" spans="1:14" x14ac:dyDescent="0.25">
      <c r="A109" s="16"/>
      <c r="B109" s="5" t="str">
        <f t="shared" si="14"/>
        <v>Outros terrenos</v>
      </c>
      <c r="C109" s="141">
        <v>1.05</v>
      </c>
      <c r="D109" s="141">
        <v>1.05</v>
      </c>
      <c r="E109" s="141">
        <v>1.05</v>
      </c>
      <c r="F109" s="141">
        <v>0.59</v>
      </c>
      <c r="G109" s="141">
        <v>0.59</v>
      </c>
      <c r="H109" s="141">
        <v>0.59</v>
      </c>
      <c r="I109" s="141">
        <v>2.0699999999999998</v>
      </c>
    </row>
    <row r="110" spans="1:14" x14ac:dyDescent="0.25">
      <c r="A110" s="5" t="s">
        <v>315</v>
      </c>
      <c r="B110" s="5" t="str">
        <f>B82</f>
        <v>Áreas urbanizadas</v>
      </c>
      <c r="C110" s="184">
        <v>0</v>
      </c>
      <c r="D110" s="184">
        <v>0</v>
      </c>
      <c r="E110" s="184">
        <v>0</v>
      </c>
      <c r="F110" s="184">
        <v>0</v>
      </c>
      <c r="G110" s="184">
        <v>0</v>
      </c>
      <c r="H110" s="184">
        <v>0</v>
      </c>
      <c r="I110" s="184">
        <v>0</v>
      </c>
    </row>
    <row r="111" spans="1:14" ht="18.75" x14ac:dyDescent="0.3">
      <c r="K111" s="571" t="s">
        <v>1153</v>
      </c>
      <c r="L111" s="572"/>
    </row>
    <row r="112" spans="1:14" ht="19.5" x14ac:dyDescent="0.25">
      <c r="K112" s="185" t="s">
        <v>474</v>
      </c>
      <c r="L112" s="584" t="s">
        <v>484</v>
      </c>
      <c r="M112" s="582"/>
      <c r="N112" s="586"/>
    </row>
    <row r="113" spans="1:18" ht="19.5" x14ac:dyDescent="0.25">
      <c r="K113" s="52" t="str">
        <f>Q63</f>
        <v>Pinheiro-bravo</v>
      </c>
      <c r="L113" s="585">
        <f>'Fatores de Emissão'!C382</f>
        <v>119</v>
      </c>
      <c r="M113" s="583"/>
      <c r="N113" s="1"/>
    </row>
    <row r="114" spans="1:18" ht="19.5" x14ac:dyDescent="0.3">
      <c r="A114" s="571"/>
      <c r="B114" s="572"/>
      <c r="C114" s="572"/>
      <c r="D114" s="572"/>
      <c r="E114" s="572"/>
      <c r="F114" s="572"/>
      <c r="G114" s="262"/>
      <c r="H114" s="262"/>
      <c r="I114" s="262"/>
      <c r="K114" s="52" t="str">
        <f t="shared" ref="K114:K123" si="15">Q64</f>
        <v>Eucalipto</v>
      </c>
      <c r="L114" s="585">
        <f>'Fatores de Emissão'!C383</f>
        <v>72</v>
      </c>
      <c r="M114" s="583"/>
      <c r="N114" s="1"/>
    </row>
    <row r="115" spans="1:18" ht="25.5" x14ac:dyDescent="0.25">
      <c r="A115" s="181" t="s">
        <v>329</v>
      </c>
      <c r="B115" s="182" t="s">
        <v>330</v>
      </c>
      <c r="C115" s="182" t="s">
        <v>357</v>
      </c>
      <c r="D115" s="182" t="s">
        <v>358</v>
      </c>
      <c r="E115" s="182" t="s">
        <v>348</v>
      </c>
      <c r="F115" s="587" t="s">
        <v>349</v>
      </c>
      <c r="G115" s="582"/>
      <c r="H115" s="586"/>
      <c r="K115" s="52" t="str">
        <f t="shared" si="15"/>
        <v>Sobreiro</v>
      </c>
      <c r="L115" s="585">
        <f>'Fatores de Emissão'!C384</f>
        <v>79</v>
      </c>
      <c r="M115" s="583"/>
      <c r="N115" s="1"/>
    </row>
    <row r="116" spans="1:18" ht="19.5" x14ac:dyDescent="0.25">
      <c r="A116" s="1375" t="s">
        <v>310</v>
      </c>
      <c r="B116" s="187" t="str">
        <f>B92</f>
        <v>Pinheiro-bravo</v>
      </c>
      <c r="C116" s="188">
        <f>E92</f>
        <v>26.74</v>
      </c>
      <c r="D116" s="187">
        <f t="shared" ref="D116:D131" si="16">H92</f>
        <v>3.14</v>
      </c>
      <c r="E116" s="188">
        <f>C116+D116</f>
        <v>29.88</v>
      </c>
      <c r="F116" s="588">
        <f>E116*($O$57/$O$58)</f>
        <v>109.49365528726061</v>
      </c>
      <c r="G116" s="591"/>
      <c r="H116" s="590"/>
      <c r="K116" s="52" t="str">
        <f t="shared" si="15"/>
        <v>Azinheira</v>
      </c>
      <c r="L116" s="585">
        <f>'Fatores de Emissão'!C385</f>
        <v>47</v>
      </c>
      <c r="M116" s="583"/>
      <c r="N116" s="1"/>
    </row>
    <row r="117" spans="1:18" ht="19.5" x14ac:dyDescent="0.25">
      <c r="A117" s="1376"/>
      <c r="B117" s="187" t="str">
        <f t="shared" ref="B117:B123" si="17">B93</f>
        <v>Sobreiro</v>
      </c>
      <c r="C117" s="188">
        <f t="shared" ref="C117:C131" si="18">E93</f>
        <v>20.04</v>
      </c>
      <c r="D117" s="187">
        <f t="shared" si="16"/>
        <v>2.94</v>
      </c>
      <c r="E117" s="188">
        <f t="shared" ref="E117:E131" si="19">C117+D117</f>
        <v>22.98</v>
      </c>
      <c r="F117" s="588">
        <f t="shared" ref="F117:F131" si="20">E117*($O$57/$O$58)</f>
        <v>84.208975853455456</v>
      </c>
      <c r="G117" s="591"/>
      <c r="H117" s="590"/>
      <c r="K117" s="52" t="str">
        <f t="shared" si="15"/>
        <v>Carvalhos</v>
      </c>
      <c r="L117" s="585">
        <f>'Fatores de Emissão'!C386</f>
        <v>112</v>
      </c>
      <c r="M117" s="583"/>
      <c r="N117" s="1"/>
    </row>
    <row r="118" spans="1:18" ht="19.5" x14ac:dyDescent="0.25">
      <c r="A118" s="1376"/>
      <c r="B118" s="187" t="str">
        <f t="shared" si="17"/>
        <v>Eucalipto</v>
      </c>
      <c r="C118" s="188">
        <f t="shared" si="18"/>
        <v>17.97</v>
      </c>
      <c r="D118" s="187">
        <f t="shared" si="16"/>
        <v>4.2</v>
      </c>
      <c r="E118" s="188">
        <f t="shared" si="19"/>
        <v>22.169999999999998</v>
      </c>
      <c r="F118" s="588">
        <f t="shared" si="20"/>
        <v>81.240774354704413</v>
      </c>
      <c r="G118" s="591"/>
      <c r="H118" s="590"/>
      <c r="K118" s="52" t="str">
        <f t="shared" si="15"/>
        <v>Pinheiro-manso</v>
      </c>
      <c r="L118" s="585">
        <f>'Fatores de Emissão'!C387</f>
        <v>73</v>
      </c>
      <c r="M118" s="583"/>
      <c r="N118" s="1"/>
      <c r="Q118" s="53"/>
      <c r="R118" s="7"/>
    </row>
    <row r="119" spans="1:18" ht="19.5" x14ac:dyDescent="0.25">
      <c r="A119" s="1376"/>
      <c r="B119" s="187" t="str">
        <f t="shared" si="17"/>
        <v>Azinheira</v>
      </c>
      <c r="C119" s="188">
        <f t="shared" si="18"/>
        <v>8.3699999999999992</v>
      </c>
      <c r="D119" s="187">
        <f t="shared" si="16"/>
        <v>4.92</v>
      </c>
      <c r="E119" s="188">
        <f t="shared" si="19"/>
        <v>13.29</v>
      </c>
      <c r="F119" s="588">
        <f t="shared" si="20"/>
        <v>48.700491257285591</v>
      </c>
      <c r="G119" s="591"/>
      <c r="H119" s="590"/>
      <c r="K119" s="52" t="str">
        <f t="shared" si="15"/>
        <v>Castanheiro</v>
      </c>
      <c r="L119" s="585">
        <f>'Fatores de Emissão'!C388</f>
        <v>251</v>
      </c>
      <c r="M119" s="583"/>
      <c r="N119" s="1"/>
      <c r="Q119" s="53"/>
      <c r="R119" s="7"/>
    </row>
    <row r="120" spans="1:18" ht="19.5" x14ac:dyDescent="0.25">
      <c r="A120" s="1376"/>
      <c r="B120" s="187" t="str">
        <f t="shared" si="17"/>
        <v>Carvalhos</v>
      </c>
      <c r="C120" s="188">
        <f t="shared" si="18"/>
        <v>15.87</v>
      </c>
      <c r="D120" s="187">
        <f t="shared" si="16"/>
        <v>4.6900000000000004</v>
      </c>
      <c r="E120" s="188">
        <f t="shared" si="19"/>
        <v>20.56</v>
      </c>
      <c r="F120" s="588">
        <f t="shared" si="20"/>
        <v>75.341015820149877</v>
      </c>
      <c r="G120" s="591"/>
      <c r="H120" s="590"/>
      <c r="K120" s="52" t="str">
        <f t="shared" si="15"/>
        <v>Alfarrobeira</v>
      </c>
      <c r="L120" s="585">
        <f>'Fatores de Emissão'!C389</f>
        <v>56</v>
      </c>
      <c r="M120" s="583"/>
      <c r="N120" s="1"/>
      <c r="Q120" s="53"/>
      <c r="R120" s="7"/>
    </row>
    <row r="121" spans="1:18" ht="19.5" x14ac:dyDescent="0.25">
      <c r="A121" s="1376"/>
      <c r="B121" s="187" t="str">
        <f t="shared" si="17"/>
        <v>Outras folhosas</v>
      </c>
      <c r="C121" s="188">
        <f t="shared" si="18"/>
        <v>30.79</v>
      </c>
      <c r="D121" s="187">
        <f t="shared" si="16"/>
        <v>13.34</v>
      </c>
      <c r="E121" s="188">
        <f t="shared" si="19"/>
        <v>44.129999999999995</v>
      </c>
      <c r="F121" s="588">
        <f t="shared" si="20"/>
        <v>161.7120149875104</v>
      </c>
      <c r="G121" s="591"/>
      <c r="H121" s="590"/>
      <c r="K121" s="52" t="str">
        <f t="shared" si="15"/>
        <v>Acácias</v>
      </c>
      <c r="L121" s="585">
        <f>'Fatores de Emissão'!C390</f>
        <v>135</v>
      </c>
      <c r="M121" s="583"/>
      <c r="N121" s="1"/>
      <c r="Q121" s="53"/>
      <c r="R121" s="7"/>
    </row>
    <row r="122" spans="1:18" ht="19.5" x14ac:dyDescent="0.25">
      <c r="A122" s="1376"/>
      <c r="B122" s="187" t="str">
        <f t="shared" si="17"/>
        <v>Pinheiro-manso</v>
      </c>
      <c r="C122" s="188">
        <f t="shared" si="18"/>
        <v>18.79</v>
      </c>
      <c r="D122" s="187">
        <f t="shared" si="16"/>
        <v>1.46</v>
      </c>
      <c r="E122" s="188">
        <f t="shared" si="19"/>
        <v>20.25</v>
      </c>
      <c r="F122" s="588">
        <f t="shared" si="20"/>
        <v>74.205037468776027</v>
      </c>
      <c r="G122" s="591"/>
      <c r="H122" s="590"/>
      <c r="K122" s="52" t="str">
        <f t="shared" si="15"/>
        <v>Outras folhosas</v>
      </c>
      <c r="L122" s="585">
        <f>'Fatores de Emissão'!C391</f>
        <v>97</v>
      </c>
      <c r="M122" s="583"/>
      <c r="N122" s="1"/>
      <c r="Q122" s="53"/>
      <c r="R122" s="7"/>
    </row>
    <row r="123" spans="1:18" ht="19.5" x14ac:dyDescent="0.25">
      <c r="A123" s="1377"/>
      <c r="B123" s="187" t="str">
        <f t="shared" si="17"/>
        <v>Outras coníferas</v>
      </c>
      <c r="C123" s="188">
        <f t="shared" si="18"/>
        <v>14.51</v>
      </c>
      <c r="D123" s="187">
        <f t="shared" si="16"/>
        <v>1.76</v>
      </c>
      <c r="E123" s="188">
        <f t="shared" si="19"/>
        <v>16.27</v>
      </c>
      <c r="F123" s="588">
        <f t="shared" si="20"/>
        <v>59.620541215653624</v>
      </c>
      <c r="G123" s="591"/>
      <c r="H123" s="590"/>
      <c r="K123" s="52" t="str">
        <f t="shared" si="15"/>
        <v>Outras resinosas</v>
      </c>
      <c r="L123" s="585">
        <f>'Fatores de Emissão'!C392</f>
        <v>128</v>
      </c>
      <c r="M123" s="583"/>
      <c r="N123" s="1"/>
      <c r="Q123" s="53"/>
      <c r="R123" s="7"/>
    </row>
    <row r="124" spans="1:18" ht="19.5" x14ac:dyDescent="0.25">
      <c r="A124" s="1378" t="s">
        <v>312</v>
      </c>
      <c r="B124" s="5" t="str">
        <f>B100</f>
        <v>Culturas anuais de sequeiro</v>
      </c>
      <c r="C124" s="581">
        <f>E100</f>
        <v>0.31</v>
      </c>
      <c r="D124" s="141">
        <f>H100</f>
        <v>0.31</v>
      </c>
      <c r="E124" s="581">
        <f>C124+D124</f>
        <v>0.62</v>
      </c>
      <c r="F124" s="589">
        <f>E124*($O$57/$O$58)</f>
        <v>2.2719567027477101</v>
      </c>
      <c r="G124" s="583"/>
      <c r="H124" s="1"/>
      <c r="K124" s="52" t="str">
        <f>B124</f>
        <v>Culturas anuais de sequeiro</v>
      </c>
      <c r="L124" s="569">
        <f t="shared" ref="L124:L134" si="21">F124</f>
        <v>2.2719567027477101</v>
      </c>
      <c r="Q124" s="53"/>
      <c r="R124" s="7"/>
    </row>
    <row r="125" spans="1:18" ht="19.5" x14ac:dyDescent="0.25">
      <c r="A125" s="1379"/>
      <c r="B125" s="5" t="str">
        <f t="shared" ref="B125:B134" si="22">B101</f>
        <v>Culturas anuais irrigadas</v>
      </c>
      <c r="C125" s="581">
        <f>E101</f>
        <v>0.31</v>
      </c>
      <c r="D125" s="141">
        <f t="shared" si="16"/>
        <v>0.31</v>
      </c>
      <c r="E125" s="581">
        <f t="shared" si="19"/>
        <v>0.62</v>
      </c>
      <c r="F125" s="589">
        <f t="shared" si="20"/>
        <v>2.2719567027477101</v>
      </c>
      <c r="G125" s="583"/>
      <c r="H125" s="1"/>
      <c r="K125" s="52" t="str">
        <f t="shared" ref="K125:K134" si="23">B125</f>
        <v>Culturas anuais irrigadas</v>
      </c>
      <c r="L125" s="569">
        <f>F125</f>
        <v>2.2719567027477101</v>
      </c>
      <c r="Q125" s="53"/>
      <c r="R125" s="7"/>
    </row>
    <row r="126" spans="1:18" ht="19.5" x14ac:dyDescent="0.25">
      <c r="A126" s="1379"/>
      <c r="B126" s="5" t="str">
        <f t="shared" si="22"/>
        <v>Arrozais</v>
      </c>
      <c r="C126" s="581">
        <f t="shared" si="18"/>
        <v>0.31</v>
      </c>
      <c r="D126" s="141">
        <f t="shared" si="16"/>
        <v>0.31</v>
      </c>
      <c r="E126" s="581">
        <f t="shared" si="19"/>
        <v>0.62</v>
      </c>
      <c r="F126" s="589">
        <f t="shared" si="20"/>
        <v>2.2719567027477101</v>
      </c>
      <c r="G126" s="583"/>
      <c r="H126" s="1"/>
      <c r="K126" s="52" t="str">
        <f t="shared" si="23"/>
        <v>Arrozais</v>
      </c>
      <c r="L126" s="569">
        <f t="shared" si="21"/>
        <v>2.2719567027477101</v>
      </c>
    </row>
    <row r="127" spans="1:18" ht="19.5" x14ac:dyDescent="0.25">
      <c r="A127" s="1379"/>
      <c r="B127" s="5" t="str">
        <f t="shared" si="22"/>
        <v>Vinhas</v>
      </c>
      <c r="C127" s="581">
        <f t="shared" si="18"/>
        <v>3.34</v>
      </c>
      <c r="D127" s="141">
        <f t="shared" si="16"/>
        <v>2.87</v>
      </c>
      <c r="E127" s="581">
        <f t="shared" si="19"/>
        <v>6.21</v>
      </c>
      <c r="F127" s="589">
        <f t="shared" si="20"/>
        <v>22.756211490424647</v>
      </c>
      <c r="G127" s="583"/>
      <c r="H127" s="1"/>
      <c r="K127" s="52" t="str">
        <f t="shared" si="23"/>
        <v>Vinhas</v>
      </c>
      <c r="L127" s="569">
        <f t="shared" si="21"/>
        <v>22.756211490424647</v>
      </c>
    </row>
    <row r="128" spans="1:18" ht="19.5" x14ac:dyDescent="0.25">
      <c r="A128" s="1379"/>
      <c r="B128" s="5" t="str">
        <f t="shared" si="22"/>
        <v>Olivais</v>
      </c>
      <c r="C128" s="581">
        <f t="shared" si="18"/>
        <v>7.85</v>
      </c>
      <c r="D128" s="141">
        <f t="shared" si="16"/>
        <v>1.1499999999999999</v>
      </c>
      <c r="E128" s="581">
        <f t="shared" si="19"/>
        <v>9</v>
      </c>
      <c r="F128" s="589">
        <f t="shared" si="20"/>
        <v>32.980016652789345</v>
      </c>
      <c r="G128" s="583"/>
      <c r="H128" s="1"/>
      <c r="K128" s="52" t="str">
        <f t="shared" si="23"/>
        <v>Olivais</v>
      </c>
      <c r="L128" s="569">
        <f t="shared" si="21"/>
        <v>32.980016652789345</v>
      </c>
    </row>
    <row r="129" spans="1:12" ht="19.5" x14ac:dyDescent="0.25">
      <c r="A129" s="1380"/>
      <c r="B129" s="5" t="str">
        <f t="shared" si="22"/>
        <v>Outras culturas permanentes</v>
      </c>
      <c r="C129" s="581">
        <f t="shared" si="18"/>
        <v>8.4600000000000009</v>
      </c>
      <c r="D129" s="141">
        <f t="shared" si="16"/>
        <v>1.48</v>
      </c>
      <c r="E129" s="581">
        <f t="shared" si="19"/>
        <v>9.9400000000000013</v>
      </c>
      <c r="F129" s="589">
        <f t="shared" si="20"/>
        <v>36.424596169858454</v>
      </c>
      <c r="G129" s="583"/>
      <c r="H129" s="1"/>
      <c r="K129" s="52" t="str">
        <f t="shared" si="23"/>
        <v>Outras culturas permanentes</v>
      </c>
      <c r="L129" s="569">
        <f t="shared" si="21"/>
        <v>36.424596169858454</v>
      </c>
    </row>
    <row r="130" spans="1:12" ht="19.5" x14ac:dyDescent="0.25">
      <c r="A130" s="5" t="s">
        <v>313</v>
      </c>
      <c r="B130" s="5" t="str">
        <f t="shared" si="22"/>
        <v>Todos os prados/pastagens</v>
      </c>
      <c r="C130" s="581">
        <f t="shared" si="18"/>
        <v>0.53</v>
      </c>
      <c r="D130" s="141">
        <f>H106</f>
        <v>0.94</v>
      </c>
      <c r="E130" s="581">
        <f t="shared" si="19"/>
        <v>1.47</v>
      </c>
      <c r="F130" s="589">
        <f>E130*($O$57/$O$58)</f>
        <v>5.3867360532889261</v>
      </c>
      <c r="G130" s="583"/>
      <c r="H130" s="1"/>
      <c r="K130" s="52" t="str">
        <f t="shared" si="23"/>
        <v>Todos os prados/pastagens</v>
      </c>
      <c r="L130" s="569">
        <f>F130</f>
        <v>5.3867360532889261</v>
      </c>
    </row>
    <row r="131" spans="1:12" ht="19.5" x14ac:dyDescent="0.25">
      <c r="A131" s="5" t="s">
        <v>314</v>
      </c>
      <c r="B131" s="5" t="str">
        <f t="shared" si="22"/>
        <v>Zonas húmidas</v>
      </c>
      <c r="C131" s="581">
        <f t="shared" si="18"/>
        <v>0</v>
      </c>
      <c r="D131" s="141">
        <f t="shared" si="16"/>
        <v>0</v>
      </c>
      <c r="E131" s="581">
        <f t="shared" si="19"/>
        <v>0</v>
      </c>
      <c r="F131" s="589">
        <f t="shared" si="20"/>
        <v>0</v>
      </c>
      <c r="G131" s="583"/>
      <c r="H131" s="1"/>
      <c r="K131" s="52" t="str">
        <f t="shared" si="23"/>
        <v>Zonas húmidas</v>
      </c>
      <c r="L131" s="569">
        <f t="shared" si="21"/>
        <v>0</v>
      </c>
    </row>
    <row r="132" spans="1:12" ht="19.5" x14ac:dyDescent="0.25">
      <c r="A132" s="139" t="s">
        <v>316</v>
      </c>
      <c r="B132" s="5" t="str">
        <f t="shared" si="22"/>
        <v>Arbustos</v>
      </c>
      <c r="C132" s="581">
        <f>E108</f>
        <v>8.7799999999999994</v>
      </c>
      <c r="D132" s="141">
        <f>H108</f>
        <v>4.9400000000000004</v>
      </c>
      <c r="E132" s="581">
        <f>C132+D132</f>
        <v>13.719999999999999</v>
      </c>
      <c r="F132" s="589">
        <f>E132*($O$57/$O$58)</f>
        <v>50.276203164029972</v>
      </c>
      <c r="G132" s="583"/>
      <c r="H132" s="1"/>
      <c r="K132" s="52" t="str">
        <f t="shared" si="23"/>
        <v>Arbustos</v>
      </c>
      <c r="L132" s="569">
        <f t="shared" si="21"/>
        <v>50.276203164029972</v>
      </c>
    </row>
    <row r="133" spans="1:12" ht="19.5" x14ac:dyDescent="0.25">
      <c r="A133" s="16"/>
      <c r="B133" s="5" t="str">
        <f t="shared" si="22"/>
        <v>Outros terrenos</v>
      </c>
      <c r="C133" s="581">
        <f>E109</f>
        <v>1.05</v>
      </c>
      <c r="D133" s="141">
        <f>H109</f>
        <v>0.59</v>
      </c>
      <c r="E133" s="581">
        <f>C133+D133</f>
        <v>1.6400000000000001</v>
      </c>
      <c r="F133" s="589">
        <f>E133*($O$57/$O$58)</f>
        <v>6.0096919233971695</v>
      </c>
      <c r="G133" s="583"/>
      <c r="H133" s="1"/>
      <c r="K133" s="52" t="str">
        <f t="shared" si="23"/>
        <v>Outros terrenos</v>
      </c>
      <c r="L133" s="569">
        <f t="shared" si="21"/>
        <v>6.0096919233971695</v>
      </c>
    </row>
    <row r="134" spans="1:12" ht="19.5" x14ac:dyDescent="0.25">
      <c r="A134" s="5" t="s">
        <v>315</v>
      </c>
      <c r="B134" s="5" t="str">
        <f t="shared" si="22"/>
        <v>Áreas urbanizadas</v>
      </c>
      <c r="C134" s="581">
        <f>E110</f>
        <v>0</v>
      </c>
      <c r="D134" s="141">
        <f>H110</f>
        <v>0</v>
      </c>
      <c r="E134" s="581">
        <f>C134+D134</f>
        <v>0</v>
      </c>
      <c r="F134" s="589">
        <f>E134*($O$57/$O$58)</f>
        <v>0</v>
      </c>
      <c r="G134" s="592"/>
      <c r="H134" s="1"/>
      <c r="K134" s="52" t="str">
        <f t="shared" si="23"/>
        <v>Áreas urbanizadas</v>
      </c>
      <c r="L134" s="569">
        <f t="shared" si="21"/>
        <v>0</v>
      </c>
    </row>
    <row r="135" spans="1:12" ht="19.5" x14ac:dyDescent="0.25">
      <c r="K135" s="52" t="s">
        <v>899</v>
      </c>
      <c r="L135" s="569"/>
    </row>
    <row r="137" spans="1:12" s="11" customFormat="1" ht="19.5" x14ac:dyDescent="0.55000000000000004">
      <c r="B137" s="12" t="s">
        <v>365</v>
      </c>
    </row>
    <row r="139" spans="1:12" x14ac:dyDescent="0.25">
      <c r="A139" s="49" t="s">
        <v>359</v>
      </c>
      <c r="E139" s="638" t="s">
        <v>1245</v>
      </c>
    </row>
    <row r="140" spans="1:12" ht="34.9" customHeight="1" x14ac:dyDescent="0.25">
      <c r="A140" s="1393" t="s">
        <v>360</v>
      </c>
      <c r="B140" s="1391" t="s">
        <v>361</v>
      </c>
      <c r="C140" s="1392"/>
      <c r="D140" s="1392"/>
      <c r="E140" s="1381" t="s">
        <v>1248</v>
      </c>
      <c r="F140" s="1398" t="s">
        <v>1246</v>
      </c>
      <c r="G140" s="1399"/>
      <c r="H140" s="641" t="s">
        <v>1247</v>
      </c>
    </row>
    <row r="141" spans="1:12" ht="14.65" customHeight="1" x14ac:dyDescent="0.25">
      <c r="A141" s="1394"/>
      <c r="B141" s="48" t="s">
        <v>362</v>
      </c>
      <c r="C141" s="48" t="s">
        <v>363</v>
      </c>
      <c r="D141" s="568" t="s">
        <v>364</v>
      </c>
      <c r="E141" s="1381"/>
      <c r="F141" s="642" t="s">
        <v>196</v>
      </c>
      <c r="G141" s="642" t="s">
        <v>195</v>
      </c>
      <c r="H141" s="642" t="s">
        <v>196</v>
      </c>
      <c r="I141" s="636"/>
      <c r="J141" s="636"/>
      <c r="K141" s="637"/>
    </row>
    <row r="142" spans="1:12" ht="30" x14ac:dyDescent="0.25">
      <c r="A142" s="144" t="s">
        <v>398</v>
      </c>
      <c r="B142" s="141">
        <v>6.0999999999999999E-2</v>
      </c>
      <c r="C142" s="141">
        <v>1E-3</v>
      </c>
      <c r="D142" s="142">
        <v>0.2</v>
      </c>
      <c r="E142" s="640">
        <f>(F142+H142)*'Fatores de Emissão'!$E$258+FAAS!G142</f>
        <v>18.82</v>
      </c>
      <c r="F142" s="141">
        <f>0.2</f>
        <v>0.2</v>
      </c>
      <c r="G142" s="141">
        <v>9.3000000000000007</v>
      </c>
      <c r="H142" s="639">
        <v>0.14000000000000001</v>
      </c>
    </row>
    <row r="143" spans="1:12" ht="30" x14ac:dyDescent="0.25">
      <c r="A143" s="144" t="s">
        <v>399</v>
      </c>
      <c r="B143" s="141">
        <v>0.15</v>
      </c>
      <c r="C143" s="141">
        <v>-0.05</v>
      </c>
      <c r="D143" s="142">
        <v>1.1000000000000001</v>
      </c>
      <c r="E143" s="640">
        <f>(F143+H143)*'Fatores de Emissão'!$E$258+FAAS!G143</f>
        <v>-1.3360000000000001</v>
      </c>
      <c r="F143" s="141">
        <v>6.3E-2</v>
      </c>
      <c r="G143" s="141">
        <v>-3.1</v>
      </c>
      <c r="H143" s="639"/>
    </row>
    <row r="144" spans="1:12" ht="28.15" customHeight="1" x14ac:dyDescent="0.25">
      <c r="A144" s="144" t="s">
        <v>400</v>
      </c>
      <c r="B144" s="141">
        <v>4.3999999999999997E-2</v>
      </c>
      <c r="C144" s="141">
        <v>3.2000000000000001E-2</v>
      </c>
      <c r="D144" s="142">
        <v>0.09</v>
      </c>
      <c r="E144" s="640">
        <f>(F144+H144)*'Fatores de Emissão'!$E$258+FAAS!G144</f>
        <v>15.888</v>
      </c>
      <c r="F144" s="141">
        <v>9.6000000000000002E-2</v>
      </c>
      <c r="G144" s="141">
        <v>13.2</v>
      </c>
      <c r="H144" s="639"/>
    </row>
  </sheetData>
  <mergeCells count="21">
    <mergeCell ref="A41:A46"/>
    <mergeCell ref="A31:A32"/>
    <mergeCell ref="B31:B32"/>
    <mergeCell ref="C31:C32"/>
    <mergeCell ref="F140:G140"/>
    <mergeCell ref="W31:AB31"/>
    <mergeCell ref="A116:A123"/>
    <mergeCell ref="A124:A129"/>
    <mergeCell ref="E140:E141"/>
    <mergeCell ref="F89:H89"/>
    <mergeCell ref="C89:E89"/>
    <mergeCell ref="A89:B91"/>
    <mergeCell ref="A92:A99"/>
    <mergeCell ref="A100:A105"/>
    <mergeCell ref="B140:D140"/>
    <mergeCell ref="A140:A141"/>
    <mergeCell ref="O31:O32"/>
    <mergeCell ref="A63:A70"/>
    <mergeCell ref="A71:A76"/>
    <mergeCell ref="N31:N32"/>
    <mergeCell ref="A33:A40"/>
  </mergeCell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FF525-84D3-40B2-A886-DE8BD4C79934}">
  <sheetPr>
    <tabColor theme="0"/>
  </sheetPr>
  <dimension ref="A10:J80"/>
  <sheetViews>
    <sheetView showGridLines="0" zoomScale="85" zoomScaleNormal="85" workbookViewId="0">
      <selection activeCell="F12" sqref="F12"/>
    </sheetView>
  </sheetViews>
  <sheetFormatPr defaultRowHeight="15" x14ac:dyDescent="0.25"/>
  <cols>
    <col min="1" max="1" width="37.625" customWidth="1"/>
    <col min="2" max="2" width="18.875" customWidth="1"/>
    <col min="3" max="3" width="18.5" customWidth="1"/>
    <col min="4" max="4" width="24.5" customWidth="1"/>
    <col min="5" max="5" width="37.625" customWidth="1"/>
    <col min="6" max="6" width="21.75" customWidth="1"/>
    <col min="7" max="7" width="19.25" customWidth="1"/>
    <col min="8" max="8" width="18.25" customWidth="1"/>
    <col min="9" max="9" width="19.625" customWidth="1"/>
    <col min="10" max="10" width="21.875" customWidth="1"/>
    <col min="11" max="11" width="23.25" customWidth="1"/>
  </cols>
  <sheetData>
    <row r="10" spans="1:5" x14ac:dyDescent="0.25">
      <c r="A10" s="355" t="s">
        <v>2</v>
      </c>
      <c r="B10" s="355" t="s">
        <v>512</v>
      </c>
      <c r="C10" s="355" t="s">
        <v>513</v>
      </c>
      <c r="D10" s="355" t="s">
        <v>875</v>
      </c>
      <c r="E10" s="528"/>
    </row>
    <row r="11" spans="1:5" x14ac:dyDescent="0.25">
      <c r="A11" s="141" t="s">
        <v>11</v>
      </c>
      <c r="B11" s="150">
        <f>B18</f>
        <v>1.759262433046875E-5</v>
      </c>
      <c r="C11" s="5" t="str">
        <f>C18</f>
        <v>t CO2eq/ m3</v>
      </c>
      <c r="D11" s="140" t="s">
        <v>876</v>
      </c>
    </row>
    <row r="12" spans="1:5" x14ac:dyDescent="0.25">
      <c r="A12" s="141" t="s">
        <v>28</v>
      </c>
      <c r="B12" s="150">
        <f>B31</f>
        <v>2.2411459459459466E-6</v>
      </c>
      <c r="C12" s="71" t="str">
        <f>C31</f>
        <v>t/Litro</v>
      </c>
      <c r="D12" s="140" t="s">
        <v>706</v>
      </c>
    </row>
    <row r="14" spans="1:5" x14ac:dyDescent="0.25">
      <c r="A14" s="72" t="s">
        <v>516</v>
      </c>
    </row>
    <row r="15" spans="1:5" x14ac:dyDescent="0.25">
      <c r="A15" s="72" t="s">
        <v>517</v>
      </c>
    </row>
    <row r="16" spans="1:5" x14ac:dyDescent="0.25">
      <c r="A16" s="72" t="s">
        <v>518</v>
      </c>
    </row>
    <row r="17" spans="1:4" x14ac:dyDescent="0.25">
      <c r="A17" s="72" t="s">
        <v>872</v>
      </c>
    </row>
    <row r="18" spans="1:4" x14ac:dyDescent="0.25">
      <c r="A18" s="72" t="s">
        <v>873</v>
      </c>
      <c r="B18" s="143">
        <v>1.759262433046875E-5</v>
      </c>
      <c r="C18" t="s">
        <v>515</v>
      </c>
      <c r="D18" t="s">
        <v>874</v>
      </c>
    </row>
    <row r="19" spans="1:4" x14ac:dyDescent="0.25">
      <c r="A19" s="72"/>
    </row>
    <row r="20" spans="1:4" x14ac:dyDescent="0.25">
      <c r="A20" s="72"/>
    </row>
    <row r="21" spans="1:4" x14ac:dyDescent="0.25">
      <c r="A21" s="72"/>
    </row>
    <row r="22" spans="1:4" x14ac:dyDescent="0.25">
      <c r="A22" s="72" t="s">
        <v>519</v>
      </c>
    </row>
    <row r="23" spans="1:4" x14ac:dyDescent="0.25">
      <c r="A23" s="72" t="s">
        <v>520</v>
      </c>
    </row>
    <row r="24" spans="1:4" x14ac:dyDescent="0.25">
      <c r="A24" s="72" t="s">
        <v>521</v>
      </c>
    </row>
    <row r="25" spans="1:4" x14ac:dyDescent="0.25">
      <c r="A25" s="72"/>
    </row>
    <row r="26" spans="1:4" x14ac:dyDescent="0.25">
      <c r="A26" s="72" t="s">
        <v>522</v>
      </c>
      <c r="B26" t="s">
        <v>523</v>
      </c>
      <c r="C26" t="s">
        <v>513</v>
      </c>
      <c r="D26" t="s">
        <v>524</v>
      </c>
    </row>
    <row r="27" spans="1:4" x14ac:dyDescent="0.25">
      <c r="A27" s="72" t="s">
        <v>525</v>
      </c>
      <c r="B27" s="163">
        <f>3.4+9.1+4.7+1+2.4/1000+0.6+1.3</f>
        <v>20.102400000000003</v>
      </c>
      <c r="C27" t="s">
        <v>526</v>
      </c>
      <c r="D27" t="s">
        <v>527</v>
      </c>
    </row>
    <row r="28" spans="1:4" x14ac:dyDescent="0.25">
      <c r="A28" t="s">
        <v>528</v>
      </c>
      <c r="B28" s="143">
        <v>7.4</v>
      </c>
      <c r="C28" t="s">
        <v>529</v>
      </c>
      <c r="D28" t="s">
        <v>530</v>
      </c>
    </row>
    <row r="29" spans="1:4" x14ac:dyDescent="0.25">
      <c r="A29" t="s">
        <v>531</v>
      </c>
      <c r="B29" s="143">
        <f>(700+950)/2</f>
        <v>825</v>
      </c>
      <c r="C29" t="s">
        <v>532</v>
      </c>
    </row>
    <row r="30" spans="1:4" x14ac:dyDescent="0.25">
      <c r="A30" s="72" t="s">
        <v>533</v>
      </c>
      <c r="B30" s="73">
        <f>(B28*1000000000/B29)*1000</f>
        <v>8969696969.6969681</v>
      </c>
      <c r="C30" t="s">
        <v>472</v>
      </c>
      <c r="D30" t="s">
        <v>534</v>
      </c>
    </row>
    <row r="31" spans="1:4" x14ac:dyDescent="0.25">
      <c r="A31" t="s">
        <v>28</v>
      </c>
      <c r="B31" s="69">
        <f>B27/B30*1000</f>
        <v>2.2411459459459466E-6</v>
      </c>
      <c r="C31" t="s">
        <v>535</v>
      </c>
      <c r="D31" t="s">
        <v>536</v>
      </c>
    </row>
    <row r="32" spans="1:4" x14ac:dyDescent="0.25">
      <c r="D32" t="s">
        <v>537</v>
      </c>
    </row>
    <row r="33" spans="4:7" x14ac:dyDescent="0.25">
      <c r="D33" t="s">
        <v>538</v>
      </c>
    </row>
    <row r="36" spans="4:7" x14ac:dyDescent="0.25">
      <c r="G36" t="s">
        <v>539</v>
      </c>
    </row>
    <row r="67" spans="1:10" s="30" customFormat="1" ht="21.75" x14ac:dyDescent="0.6">
      <c r="A67" s="12" t="s">
        <v>248</v>
      </c>
    </row>
    <row r="69" spans="1:10" ht="56.25" x14ac:dyDescent="0.25">
      <c r="A69" s="21" t="s">
        <v>473</v>
      </c>
      <c r="B69" s="62" t="s">
        <v>541</v>
      </c>
      <c r="C69" s="62" t="s">
        <v>547</v>
      </c>
      <c r="D69" s="74" t="s">
        <v>544</v>
      </c>
      <c r="E69" s="74" t="s">
        <v>545</v>
      </c>
      <c r="F69" s="61" t="s">
        <v>542</v>
      </c>
      <c r="G69" s="61" t="s">
        <v>543</v>
      </c>
      <c r="H69" s="61" t="s">
        <v>548</v>
      </c>
      <c r="I69" s="61" t="s">
        <v>549</v>
      </c>
      <c r="J69" s="61" t="s">
        <v>499</v>
      </c>
    </row>
    <row r="70" spans="1:10" ht="18.75" x14ac:dyDescent="0.25">
      <c r="A70" s="32">
        <f>'Energia Elétrica e térmica'!C133</f>
        <v>0</v>
      </c>
      <c r="B70" s="70">
        <v>1.759262433046875E-5</v>
      </c>
      <c r="C70" s="71">
        <v>2.2411459459459466E-6</v>
      </c>
      <c r="D70" s="75"/>
      <c r="E70" s="75"/>
      <c r="F70" s="5"/>
      <c r="G70" s="5"/>
      <c r="H70" s="70">
        <f>D71*F70</f>
        <v>0</v>
      </c>
      <c r="I70" s="5">
        <f>E71*G70</f>
        <v>0</v>
      </c>
      <c r="J70" s="70">
        <f>H70+I70</f>
        <v>0</v>
      </c>
    </row>
    <row r="71" spans="1:10" x14ac:dyDescent="0.25">
      <c r="D71" s="70">
        <f>B70*D70</f>
        <v>0</v>
      </c>
      <c r="E71" s="5">
        <f>C70*E70</f>
        <v>0</v>
      </c>
    </row>
    <row r="72" spans="1:10" x14ac:dyDescent="0.25">
      <c r="D72" s="8" t="s">
        <v>546</v>
      </c>
      <c r="E72" s="8" t="s">
        <v>546</v>
      </c>
    </row>
    <row r="75" spans="1:10" s="30" customFormat="1" ht="21.75" x14ac:dyDescent="0.6">
      <c r="A75" s="12" t="s">
        <v>250</v>
      </c>
    </row>
    <row r="77" spans="1:10" ht="56.25" x14ac:dyDescent="0.25">
      <c r="A77" s="21" t="s">
        <v>473</v>
      </c>
      <c r="B77" s="62" t="s">
        <v>541</v>
      </c>
      <c r="C77" s="62" t="s">
        <v>547</v>
      </c>
      <c r="D77" s="74" t="s">
        <v>544</v>
      </c>
      <c r="E77" s="74" t="s">
        <v>545</v>
      </c>
      <c r="F77" s="61" t="s">
        <v>542</v>
      </c>
      <c r="G77" s="61" t="s">
        <v>543</v>
      </c>
      <c r="H77" s="61" t="s">
        <v>548</v>
      </c>
      <c r="I77" s="61" t="s">
        <v>549</v>
      </c>
      <c r="J77" s="61" t="s">
        <v>499</v>
      </c>
    </row>
    <row r="78" spans="1:10" ht="18.75" x14ac:dyDescent="0.25">
      <c r="A78" s="32" t="e">
        <f>'Energia Elétrica e térmica'!#REF!</f>
        <v>#REF!</v>
      </c>
      <c r="B78" s="70">
        <v>1.759262433046875E-5</v>
      </c>
      <c r="C78" s="71">
        <v>2.2411459459459466E-6</v>
      </c>
      <c r="D78" s="75"/>
      <c r="E78" s="75"/>
      <c r="F78" s="5"/>
      <c r="G78" s="5"/>
      <c r="H78" s="70">
        <f>D79*F78</f>
        <v>0</v>
      </c>
      <c r="I78" s="5">
        <f>E79*G78</f>
        <v>0</v>
      </c>
      <c r="J78" s="70">
        <f>H78+I78</f>
        <v>0</v>
      </c>
    </row>
    <row r="79" spans="1:10" x14ac:dyDescent="0.25">
      <c r="D79" s="70">
        <f>B78*D78</f>
        <v>0</v>
      </c>
      <c r="E79" s="5">
        <f>C78*E78</f>
        <v>0</v>
      </c>
    </row>
    <row r="80" spans="1:10" x14ac:dyDescent="0.25">
      <c r="D80" s="8" t="s">
        <v>546</v>
      </c>
      <c r="E80" s="8" t="s">
        <v>546</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CF970-3D76-407F-AC12-A64832FD0656}">
  <dimension ref="A9:X217"/>
  <sheetViews>
    <sheetView showGridLines="0" topLeftCell="A51" zoomScale="85" zoomScaleNormal="85" workbookViewId="0">
      <selection activeCell="E76" sqref="E76"/>
    </sheetView>
  </sheetViews>
  <sheetFormatPr defaultRowHeight="15" x14ac:dyDescent="0.25"/>
  <cols>
    <col min="1" max="1" width="16.75" customWidth="1"/>
    <col min="2" max="2" width="16.875" customWidth="1"/>
    <col min="3" max="3" width="27.75" customWidth="1"/>
    <col min="4" max="4" width="21.75" customWidth="1"/>
    <col min="5" max="5" width="15.5" customWidth="1"/>
    <col min="6" max="6" width="18.375" customWidth="1"/>
    <col min="7" max="7" width="18.625" customWidth="1"/>
    <col min="9" max="9" width="77.25" customWidth="1"/>
    <col min="10" max="10" width="22.875" customWidth="1"/>
    <col min="11" max="11" width="22.625" customWidth="1"/>
    <col min="12" max="12" width="23.375" customWidth="1"/>
    <col min="13" max="13" width="23.25" customWidth="1"/>
    <col min="14" max="14" width="14.5" customWidth="1"/>
    <col min="15" max="15" width="34.25" customWidth="1"/>
    <col min="16" max="16" width="22.875" customWidth="1"/>
    <col min="17" max="17" width="40.375" customWidth="1"/>
    <col min="19" max="19" width="10.25" customWidth="1"/>
    <col min="20" max="20" width="10.625" customWidth="1"/>
  </cols>
  <sheetData>
    <row r="9" spans="1:16" x14ac:dyDescent="0.25">
      <c r="A9" t="s">
        <v>648</v>
      </c>
    </row>
    <row r="10" spans="1:16" x14ac:dyDescent="0.25">
      <c r="A10" s="3" t="s">
        <v>34</v>
      </c>
      <c r="B10" s="46" t="s">
        <v>646</v>
      </c>
      <c r="C10" s="22"/>
    </row>
    <row r="11" spans="1:16" x14ac:dyDescent="0.25">
      <c r="A11" s="130" t="e">
        <f>'Fatores de Emissão'!#REF!</f>
        <v>#REF!</v>
      </c>
      <c r="B11" s="229" t="s">
        <v>647</v>
      </c>
      <c r="C11" s="229" t="s">
        <v>501</v>
      </c>
    </row>
    <row r="12" spans="1:16" x14ac:dyDescent="0.25">
      <c r="A12" s="130" t="e">
        <f>'Fatores de Emissão'!#REF!</f>
        <v>#REF!</v>
      </c>
      <c r="B12" s="229" t="s">
        <v>49</v>
      </c>
      <c r="C12" s="229" t="s">
        <v>502</v>
      </c>
    </row>
    <row r="13" spans="1:16" x14ac:dyDescent="0.25">
      <c r="A13" s="130" t="e">
        <f>'Fatores de Emissão'!#REF!</f>
        <v>#REF!</v>
      </c>
      <c r="B13" s="22"/>
      <c r="C13" s="22"/>
    </row>
    <row r="14" spans="1:16" ht="15.75" thickBot="1" x14ac:dyDescent="0.3">
      <c r="J14" t="s">
        <v>664</v>
      </c>
      <c r="P14" t="s">
        <v>669</v>
      </c>
    </row>
    <row r="15" spans="1:16" ht="31.9" customHeight="1" thickBot="1" x14ac:dyDescent="0.3">
      <c r="C15" s="41" t="s">
        <v>239</v>
      </c>
      <c r="D15" s="41" t="s">
        <v>241</v>
      </c>
      <c r="E15" s="272" t="s">
        <v>665</v>
      </c>
      <c r="F15" s="273"/>
      <c r="G15" s="89" t="s">
        <v>663</v>
      </c>
      <c r="H15" s="1415" t="s">
        <v>662</v>
      </c>
      <c r="I15" s="87" t="s">
        <v>667</v>
      </c>
      <c r="J15" s="87" t="s">
        <v>668</v>
      </c>
    </row>
    <row r="16" spans="1:16" ht="15" customHeight="1" thickTop="1" x14ac:dyDescent="0.25">
      <c r="C16" s="42" t="s">
        <v>240</v>
      </c>
      <c r="D16" s="1422" t="s">
        <v>666</v>
      </c>
      <c r="E16" s="274" t="s">
        <v>242</v>
      </c>
      <c r="F16" s="275" t="s">
        <v>244</v>
      </c>
      <c r="G16" s="90"/>
      <c r="H16" s="1416"/>
      <c r="I16" s="87"/>
      <c r="J16" s="87"/>
    </row>
    <row r="17" spans="3:19" ht="32.450000000000003" customHeight="1" thickBot="1" x14ac:dyDescent="0.3">
      <c r="C17" s="43"/>
      <c r="D17" s="1423"/>
      <c r="E17" s="276" t="s">
        <v>243</v>
      </c>
      <c r="F17" s="277" t="s">
        <v>245</v>
      </c>
      <c r="G17" s="91" t="s">
        <v>670</v>
      </c>
      <c r="H17" s="1417"/>
      <c r="I17" s="87" t="s">
        <v>634</v>
      </c>
      <c r="J17" s="87"/>
    </row>
    <row r="18" spans="3:19" ht="21" thickTop="1" thickBot="1" x14ac:dyDescent="0.3">
      <c r="C18" s="29" t="str">
        <f>'Fatores de Emissão'!B165</f>
        <v>Refrigeração Residencial</v>
      </c>
      <c r="D18" s="44">
        <f>'Fatores de Emissão'!C165</f>
        <v>0.01</v>
      </c>
      <c r="E18" s="44">
        <f>'Fatores de Emissão'!D165</f>
        <v>5.0000000000000001E-3</v>
      </c>
      <c r="F18" s="44">
        <f>'Fatores de Emissão'!E165</f>
        <v>0.8</v>
      </c>
      <c r="G18" s="44">
        <f>'Fatores de Emissão'!F165</f>
        <v>0.35</v>
      </c>
      <c r="H18" s="44">
        <f>'Fatores de Emissão'!G165</f>
        <v>0.8</v>
      </c>
      <c r="I18" s="119">
        <f>'Fatores de Emissão'!H165</f>
        <v>0.5</v>
      </c>
      <c r="J18" s="119">
        <f>'Fatores de Emissão'!I165</f>
        <v>150</v>
      </c>
    </row>
    <row r="19" spans="3:19" ht="21" thickTop="1" thickBot="1" x14ac:dyDescent="0.3">
      <c r="C19" s="29" t="str">
        <f>'Fatores de Emissão'!B166</f>
        <v>Comercial Individual</v>
      </c>
      <c r="D19" s="44">
        <f>'Fatores de Emissão'!C166</f>
        <v>0.03</v>
      </c>
      <c r="E19" s="44">
        <f>'Fatores de Emissão'!D166</f>
        <v>0.15</v>
      </c>
      <c r="F19" s="44">
        <f>'Fatores de Emissão'!E166</f>
        <v>0.8</v>
      </c>
      <c r="G19" s="44">
        <f>'Fatores de Emissão'!F166</f>
        <v>0.35</v>
      </c>
      <c r="H19" s="44">
        <f>'Fatores de Emissão'!G166</f>
        <v>0.8</v>
      </c>
      <c r="I19" s="119">
        <f>'Fatores de Emissão'!H166</f>
        <v>6</v>
      </c>
      <c r="J19" s="119">
        <f>'Fatores de Emissão'!I166</f>
        <v>150</v>
      </c>
    </row>
    <row r="20" spans="3:19" ht="21" thickTop="1" thickBot="1" x14ac:dyDescent="0.3">
      <c r="C20" s="29" t="str">
        <f>'Fatores de Emissão'!B167</f>
        <v>Comercial Médio / Grande</v>
      </c>
      <c r="D20" s="44">
        <f>'Fatores de Emissão'!C167</f>
        <v>0.03</v>
      </c>
      <c r="E20" s="44">
        <f>'Fatores de Emissão'!D167</f>
        <v>0.35</v>
      </c>
      <c r="F20" s="44">
        <f>'Fatores de Emissão'!E167</f>
        <v>1</v>
      </c>
      <c r="G20" s="44">
        <f>'Fatores de Emissão'!F167</f>
        <v>0.35</v>
      </c>
      <c r="H20" s="44">
        <f>'Fatores de Emissão'!G167</f>
        <v>1</v>
      </c>
      <c r="I20" s="119">
        <f>'Fatores de Emissão'!H167</f>
        <v>2000</v>
      </c>
      <c r="J20" s="119">
        <f>'Fatores de Emissão'!I167</f>
        <v>2500</v>
      </c>
    </row>
    <row r="21" spans="3:19" ht="21" thickTop="1" thickBot="1" x14ac:dyDescent="0.3">
      <c r="C21" s="29" t="str">
        <f>'Fatores de Emissão'!B168</f>
        <v>Refrigeração de Transporte</v>
      </c>
      <c r="D21" s="44">
        <f>'Fatores de Emissão'!C168</f>
        <v>0.01</v>
      </c>
      <c r="E21" s="44">
        <f>'Fatores de Emissão'!D168</f>
        <v>0.5</v>
      </c>
      <c r="F21" s="44">
        <f>'Fatores de Emissão'!E168</f>
        <v>0.5</v>
      </c>
      <c r="G21" s="44">
        <f>'Fatores de Emissão'!F168</f>
        <v>0.35</v>
      </c>
      <c r="H21" s="44">
        <f>'Fatores de Emissão'!G168</f>
        <v>0.5</v>
      </c>
      <c r="I21" s="119">
        <f>'Fatores de Emissão'!H168</f>
        <v>8</v>
      </c>
      <c r="J21" s="119">
        <f>'Fatores de Emissão'!I168</f>
        <v>2500</v>
      </c>
    </row>
    <row r="22" spans="3:19" ht="21" thickTop="1" thickBot="1" x14ac:dyDescent="0.3">
      <c r="C22" s="29" t="str">
        <f>'Fatores de Emissão'!B169</f>
        <v>Refrigeração Industrial</v>
      </c>
      <c r="D22" s="44">
        <f>'Fatores de Emissão'!C169</f>
        <v>0.03</v>
      </c>
      <c r="E22" s="44">
        <f>'Fatores de Emissão'!D169</f>
        <v>0.25</v>
      </c>
      <c r="F22" s="44">
        <f>'Fatores de Emissão'!E169</f>
        <v>1</v>
      </c>
      <c r="G22" s="44">
        <f>'Fatores de Emissão'!F169</f>
        <v>0.45</v>
      </c>
      <c r="H22" s="44">
        <f>'Fatores de Emissão'!G169</f>
        <v>1</v>
      </c>
      <c r="I22" s="119">
        <f>'Fatores de Emissão'!H169</f>
        <v>10000</v>
      </c>
      <c r="J22" s="119">
        <f>'Fatores de Emissão'!I169</f>
        <v>150</v>
      </c>
    </row>
    <row r="23" spans="3:19" ht="21" thickTop="1" thickBot="1" x14ac:dyDescent="0.3">
      <c r="C23" s="29" t="str">
        <f>'Fatores de Emissão'!B170</f>
        <v xml:space="preserve">Frigorífico / Chiller </v>
      </c>
      <c r="D23" s="44">
        <f>'Fatores de Emissão'!C170</f>
        <v>0.01</v>
      </c>
      <c r="E23" s="44">
        <f>'Fatores de Emissão'!D170</f>
        <v>0.15</v>
      </c>
      <c r="F23" s="44">
        <f>'Fatores de Emissão'!E170</f>
        <v>1</v>
      </c>
      <c r="G23" s="44">
        <f>'Fatores de Emissão'!F170</f>
        <v>0.47499999999999998</v>
      </c>
      <c r="H23" s="44">
        <f>'Fatores de Emissão'!G170</f>
        <v>1</v>
      </c>
      <c r="I23" s="119">
        <f>'Fatores de Emissão'!H170</f>
        <v>2000</v>
      </c>
      <c r="J23" s="119">
        <f>'Fatores de Emissão'!I170</f>
        <v>150</v>
      </c>
    </row>
    <row r="24" spans="3:19" ht="21" thickTop="1" thickBot="1" x14ac:dyDescent="0.3">
      <c r="C24" s="29" t="str">
        <f>'Fatores de Emissão'!B171</f>
        <v>Ar Condicionado Residencial / Comercial</v>
      </c>
      <c r="D24" s="44">
        <f>'Fatores de Emissão'!C171</f>
        <v>0.01</v>
      </c>
      <c r="E24" s="44">
        <f>'Fatores de Emissão'!D171</f>
        <v>0.1</v>
      </c>
      <c r="F24" s="44">
        <f>'Fatores de Emissão'!E171</f>
        <v>0.8</v>
      </c>
      <c r="G24" s="44">
        <f>'Fatores de Emissão'!F171</f>
        <v>0.4</v>
      </c>
      <c r="H24" s="44">
        <f>'Fatores de Emissão'!G171</f>
        <v>0.8</v>
      </c>
      <c r="I24" s="119">
        <f>'Fatores de Emissão'!H171</f>
        <v>100</v>
      </c>
      <c r="J24" s="119">
        <f>'Fatores de Emissão'!I171</f>
        <v>150</v>
      </c>
    </row>
    <row r="25" spans="3:19" ht="21" thickTop="1" thickBot="1" x14ac:dyDescent="0.3">
      <c r="C25" s="29" t="str">
        <f>'Fatores de Emissão'!B172</f>
        <v>Ar Condicionado de Veículos Ligeiros de Passageiros e ligeiros de Mercadorias</v>
      </c>
      <c r="D25" s="44">
        <f>'Fatores de Emissão'!C172</f>
        <v>5.0000000000000001E-3</v>
      </c>
      <c r="E25" s="44">
        <f>'Fatores de Emissão'!D172</f>
        <v>0.2</v>
      </c>
      <c r="F25" s="44">
        <f>'Fatores de Emissão'!E172</f>
        <v>0.5</v>
      </c>
      <c r="G25" s="44">
        <f>'Fatores de Emissão'!F172</f>
        <v>0.25</v>
      </c>
      <c r="H25" s="44">
        <f>'Fatores de Emissão'!G172</f>
        <v>0.5</v>
      </c>
      <c r="I25" s="119">
        <f>'Fatores de Emissão'!H172</f>
        <v>0.5</v>
      </c>
      <c r="J25" s="119">
        <f>'Fatores de Emissão'!I172</f>
        <v>1300</v>
      </c>
    </row>
    <row r="26" spans="3:19" ht="21" thickTop="1" thickBot="1" x14ac:dyDescent="0.3">
      <c r="C26" s="29" t="str">
        <f>'Fatores de Emissão'!B173</f>
        <v>Ar Condicionado de Caminhões de Pequeno Porte</v>
      </c>
      <c r="D26" s="44">
        <f>'Fatores de Emissão'!C173</f>
        <v>5.0000000000000001E-3</v>
      </c>
      <c r="E26" s="44">
        <f>'Fatores de Emissão'!D173</f>
        <v>0.2</v>
      </c>
      <c r="F26" s="44">
        <f>'Fatores de Emissão'!E173</f>
        <v>0.5</v>
      </c>
      <c r="G26" s="44">
        <f>'Fatores de Emissão'!F173</f>
        <v>0.25</v>
      </c>
      <c r="H26" s="44">
        <f>'Fatores de Emissão'!G173</f>
        <v>0.5</v>
      </c>
      <c r="I26" s="119">
        <f>'Fatores de Emissão'!H173</f>
        <v>1.5</v>
      </c>
      <c r="J26" s="119">
        <f>'Fatores de Emissão'!I173</f>
        <v>1300</v>
      </c>
    </row>
    <row r="28" spans="3:19" ht="16.899999999999999" customHeight="1" x14ac:dyDescent="0.25">
      <c r="C28" s="1255" t="s">
        <v>32</v>
      </c>
      <c r="D28" s="1412" t="s">
        <v>181</v>
      </c>
      <c r="E28" s="1412" t="s">
        <v>649</v>
      </c>
      <c r="F28" s="1412" t="s">
        <v>650</v>
      </c>
      <c r="G28" s="1418"/>
      <c r="H28" s="1419"/>
      <c r="I28" s="1255"/>
      <c r="J28" s="1255" t="s">
        <v>653</v>
      </c>
      <c r="K28" s="1255" t="s">
        <v>656</v>
      </c>
      <c r="L28" s="1400" t="str">
        <f>D16</f>
        <v>Perdas em Carga das unidades novas</v>
      </c>
      <c r="M28" s="1400" t="s">
        <v>654</v>
      </c>
      <c r="N28" s="1407" t="s">
        <v>655</v>
      </c>
      <c r="O28" s="1403" t="s">
        <v>658</v>
      </c>
      <c r="P28" s="1411" t="s">
        <v>657</v>
      </c>
      <c r="Q28" s="1403" t="s">
        <v>659</v>
      </c>
      <c r="R28" s="1407" t="s">
        <v>660</v>
      </c>
      <c r="S28" s="1407" t="s">
        <v>661</v>
      </c>
    </row>
    <row r="29" spans="3:19" ht="16.899999999999999" customHeight="1" x14ac:dyDescent="0.25">
      <c r="C29" s="1256"/>
      <c r="D29" s="1413"/>
      <c r="E29" s="1413"/>
      <c r="F29" s="1413"/>
      <c r="G29" s="1420"/>
      <c r="H29" s="1421"/>
      <c r="I29" s="1256"/>
      <c r="J29" s="1256"/>
      <c r="K29" s="1256"/>
      <c r="L29" s="1401"/>
      <c r="M29" s="1401"/>
      <c r="N29" s="1407"/>
      <c r="O29" s="1404"/>
      <c r="P29" s="1411"/>
      <c r="Q29" s="1404"/>
      <c r="R29" s="1407"/>
      <c r="S29" s="1407"/>
    </row>
    <row r="30" spans="3:19" ht="18.75" x14ac:dyDescent="0.25">
      <c r="C30" s="1406"/>
      <c r="D30" s="1414"/>
      <c r="E30" s="1414"/>
      <c r="F30" s="1414"/>
      <c r="G30" s="28" t="s">
        <v>651</v>
      </c>
      <c r="H30" s="28" t="s">
        <v>39</v>
      </c>
      <c r="I30" s="28" t="s">
        <v>652</v>
      </c>
      <c r="J30" s="1406"/>
      <c r="K30" s="1406"/>
      <c r="L30" s="1402"/>
      <c r="M30" s="1402"/>
      <c r="N30" s="1407"/>
      <c r="O30" s="1405"/>
      <c r="P30" s="1411"/>
      <c r="Q30" s="1405"/>
      <c r="R30" s="1407"/>
      <c r="S30" s="1407"/>
    </row>
    <row r="31" spans="3:19" ht="18.75" x14ac:dyDescent="0.25">
      <c r="C31" s="31" t="e">
        <f>'Emissões Fugitivas'!#REF!</f>
        <v>#REF!</v>
      </c>
      <c r="D31" s="85">
        <f>'Emissões Fugitivas'!B36</f>
        <v>0</v>
      </c>
      <c r="E31" s="31" t="str">
        <f>'Emissões Fugitivas'!C36</f>
        <v/>
      </c>
      <c r="F31" s="31">
        <f>'Emissões Fugitivas'!D36</f>
        <v>0</v>
      </c>
      <c r="G31" s="31">
        <f>'Emissões Fugitivas'!F36</f>
        <v>0</v>
      </c>
      <c r="H31" s="31">
        <f>'Emissões Fugitivas'!G36</f>
        <v>0</v>
      </c>
      <c r="I31" s="31">
        <f>'Emissões Fugitivas'!H36</f>
        <v>0</v>
      </c>
      <c r="J31" s="31">
        <f>'Emissões Fugitivas'!I36</f>
        <v>0</v>
      </c>
      <c r="K31" s="31" t="str">
        <f>'Emissões Fugitivas'!J36</f>
        <v/>
      </c>
      <c r="L31" s="22" t="str">
        <f>IFERROR(VLOOKUP(D31,$C$18:$F$26,2,FALSE),"")</f>
        <v/>
      </c>
      <c r="M31" s="22" t="str">
        <f>IFERROR(IF(VLOOKUP(C31,Identificação!#REF!,3,FALSE)="",2,VLOOKUP(C31,Identificação!#REF!,3,FALSE)),"")</f>
        <v/>
      </c>
      <c r="N31" s="5" t="str">
        <f>IFERROR(IF(F31=0, L31*E31*J31*K31,F31*J31*K31*L31),"")</f>
        <v/>
      </c>
      <c r="O31" s="22" t="str">
        <f t="shared" ref="O31:O51" si="0">IFERROR(VLOOKUP(D31,$C$18:$F$26,4,FALSE),"")</f>
        <v/>
      </c>
      <c r="P31" s="5" t="str">
        <f>IFERROR(IF(F31=0, O31*E31*J31*K31,F31*J31*K31*O31),"")</f>
        <v/>
      </c>
      <c r="Q31" s="22" t="str">
        <f>IFERROR(VLOOKUP(D31,$C$18:$F$26,3,FALSE),"")</f>
        <v/>
      </c>
      <c r="R31" s="5" t="str">
        <f>IFERROR(IF(F31=0, Q31*E31*J31*K31,F31*J31*K31*Q31),"")</f>
        <v/>
      </c>
      <c r="S31" s="22" t="str">
        <f>IFERROR((N31+P31)/M31+R31,"")</f>
        <v/>
      </c>
    </row>
    <row r="32" spans="3:19" ht="18.75" x14ac:dyDescent="0.25">
      <c r="C32" s="31" t="e">
        <f>'Emissões Fugitivas'!#REF!</f>
        <v>#REF!</v>
      </c>
      <c r="D32" s="85">
        <f>'Emissões Fugitivas'!B37</f>
        <v>0</v>
      </c>
      <c r="E32" s="31" t="str">
        <f>'Emissões Fugitivas'!C37</f>
        <v/>
      </c>
      <c r="F32" s="31">
        <f>'Emissões Fugitivas'!D37</f>
        <v>0</v>
      </c>
      <c r="G32" s="31">
        <f>'Emissões Fugitivas'!F37</f>
        <v>0</v>
      </c>
      <c r="H32" s="31">
        <f>'Emissões Fugitivas'!G37</f>
        <v>0</v>
      </c>
      <c r="I32" s="31">
        <f>'Emissões Fugitivas'!H37</f>
        <v>0</v>
      </c>
      <c r="J32" s="31">
        <f>'Emissões Fugitivas'!I37</f>
        <v>0</v>
      </c>
      <c r="K32" s="31" t="str">
        <f>'Emissões Fugitivas'!J37</f>
        <v/>
      </c>
      <c r="L32" s="22" t="str">
        <f t="shared" ref="L32:L51" si="1">IFERROR(VLOOKUP(D32,$C$18:$F$26,2,FALSE),"")</f>
        <v/>
      </c>
      <c r="M32" s="22" t="str">
        <f>IFERROR(IF(VLOOKUP(C32,Identificação!#REF!,3,FALSE)="",2,VLOOKUP(C32,Identificação!#REF!,3,FALSE)),"")</f>
        <v/>
      </c>
      <c r="N32" s="5" t="str">
        <f t="shared" ref="N32:N51" si="2">IFERROR(IF(F32=0, L32*E32*J32*K32,F32*J32*K32*L32),"")</f>
        <v/>
      </c>
      <c r="O32" s="22" t="str">
        <f t="shared" si="0"/>
        <v/>
      </c>
      <c r="P32" s="5" t="str">
        <f t="shared" ref="P32:P51" si="3">IFERROR(IF(F32=0, O32*E32*J32*K32,F32*J32*K32*O32),"")</f>
        <v/>
      </c>
      <c r="Q32" s="22" t="str">
        <f t="shared" ref="Q32:Q51" si="4">IFERROR(VLOOKUP(D32,$C$18:$F$26,3,FALSE),"")</f>
        <v/>
      </c>
      <c r="R32" s="5" t="str">
        <f t="shared" ref="R32:R51" si="5">IFERROR(IF(F32=0, Q32*E32*J32*K32,F32*J32*K32*Q32),"")</f>
        <v/>
      </c>
      <c r="S32" s="22" t="str">
        <f t="shared" ref="S32:S51" si="6">IFERROR((N32+P32)/M32+R32,"")</f>
        <v/>
      </c>
    </row>
    <row r="33" spans="3:19" ht="18.75" x14ac:dyDescent="0.25">
      <c r="C33" s="31" t="e">
        <f>'Emissões Fugitivas'!#REF!</f>
        <v>#REF!</v>
      </c>
      <c r="D33" s="85">
        <f>'Emissões Fugitivas'!B38</f>
        <v>0</v>
      </c>
      <c r="E33" s="31" t="str">
        <f>'Emissões Fugitivas'!C38</f>
        <v/>
      </c>
      <c r="F33" s="31">
        <f>'Emissões Fugitivas'!D38</f>
        <v>0</v>
      </c>
      <c r="G33" s="31">
        <f>'Emissões Fugitivas'!F38</f>
        <v>0</v>
      </c>
      <c r="H33" s="31">
        <f>'Emissões Fugitivas'!G38</f>
        <v>0</v>
      </c>
      <c r="I33" s="31">
        <f>'Emissões Fugitivas'!H38</f>
        <v>0</v>
      </c>
      <c r="J33" s="31">
        <f>'Emissões Fugitivas'!I38</f>
        <v>0</v>
      </c>
      <c r="K33" s="31" t="str">
        <f>'Emissões Fugitivas'!J38</f>
        <v/>
      </c>
      <c r="L33" s="22" t="str">
        <f t="shared" si="1"/>
        <v/>
      </c>
      <c r="M33" s="22" t="str">
        <f>IFERROR(IF(VLOOKUP(C33,Identificação!#REF!,3,FALSE)="",2,VLOOKUP(C33,Identificação!#REF!,3,FALSE)),"")</f>
        <v/>
      </c>
      <c r="N33" s="5" t="str">
        <f t="shared" si="2"/>
        <v/>
      </c>
      <c r="O33" s="22" t="str">
        <f t="shared" si="0"/>
        <v/>
      </c>
      <c r="P33" s="5" t="str">
        <f t="shared" si="3"/>
        <v/>
      </c>
      <c r="Q33" s="22" t="str">
        <f t="shared" si="4"/>
        <v/>
      </c>
      <c r="R33" s="5" t="str">
        <f t="shared" si="5"/>
        <v/>
      </c>
      <c r="S33" s="22" t="str">
        <f t="shared" si="6"/>
        <v/>
      </c>
    </row>
    <row r="34" spans="3:19" ht="18.75" x14ac:dyDescent="0.25">
      <c r="C34" s="31" t="e">
        <f>'Emissões Fugitivas'!#REF!</f>
        <v>#REF!</v>
      </c>
      <c r="D34" s="85">
        <f>'Emissões Fugitivas'!B39</f>
        <v>0</v>
      </c>
      <c r="E34" s="31" t="str">
        <f>'Emissões Fugitivas'!C39</f>
        <v/>
      </c>
      <c r="F34" s="31">
        <f>'Emissões Fugitivas'!D39</f>
        <v>0</v>
      </c>
      <c r="G34" s="31">
        <f>'Emissões Fugitivas'!F39</f>
        <v>0</v>
      </c>
      <c r="H34" s="31">
        <f>'Emissões Fugitivas'!G39</f>
        <v>0</v>
      </c>
      <c r="I34" s="31">
        <f>'Emissões Fugitivas'!H39</f>
        <v>0</v>
      </c>
      <c r="J34" s="31">
        <f>'Emissões Fugitivas'!I39</f>
        <v>0</v>
      </c>
      <c r="K34" s="31" t="str">
        <f>'Emissões Fugitivas'!J39</f>
        <v/>
      </c>
      <c r="L34" s="22" t="str">
        <f t="shared" si="1"/>
        <v/>
      </c>
      <c r="M34" s="22" t="str">
        <f>IFERROR(IF(VLOOKUP(C34,Identificação!#REF!,3,FALSE)="",2,VLOOKUP(C34,Identificação!#REF!,3,FALSE)),"")</f>
        <v/>
      </c>
      <c r="N34" s="5" t="str">
        <f t="shared" si="2"/>
        <v/>
      </c>
      <c r="O34" s="22" t="str">
        <f t="shared" si="0"/>
        <v/>
      </c>
      <c r="P34" s="5" t="str">
        <f t="shared" si="3"/>
        <v/>
      </c>
      <c r="Q34" s="22" t="str">
        <f t="shared" si="4"/>
        <v/>
      </c>
      <c r="R34" s="5" t="str">
        <f t="shared" si="5"/>
        <v/>
      </c>
      <c r="S34" s="22" t="str">
        <f t="shared" si="6"/>
        <v/>
      </c>
    </row>
    <row r="35" spans="3:19" ht="18.75" x14ac:dyDescent="0.25">
      <c r="C35" s="31" t="e">
        <f>'Emissões Fugitivas'!#REF!</f>
        <v>#REF!</v>
      </c>
      <c r="D35" s="85">
        <f>'Emissões Fugitivas'!B40</f>
        <v>0</v>
      </c>
      <c r="E35" s="31" t="str">
        <f>'Emissões Fugitivas'!C40</f>
        <v/>
      </c>
      <c r="F35" s="31">
        <f>'Emissões Fugitivas'!D40</f>
        <v>0</v>
      </c>
      <c r="G35" s="31">
        <f>'Emissões Fugitivas'!F40</f>
        <v>0</v>
      </c>
      <c r="H35" s="31">
        <f>'Emissões Fugitivas'!G40</f>
        <v>0</v>
      </c>
      <c r="I35" s="31">
        <f>'Emissões Fugitivas'!H40</f>
        <v>0</v>
      </c>
      <c r="J35" s="31">
        <f>'Emissões Fugitivas'!I40</f>
        <v>0</v>
      </c>
      <c r="K35" s="31" t="str">
        <f>'Emissões Fugitivas'!J40</f>
        <v/>
      </c>
      <c r="L35" s="22" t="str">
        <f t="shared" si="1"/>
        <v/>
      </c>
      <c r="M35" s="22" t="str">
        <f>IFERROR(IF(VLOOKUP(C35,Identificação!#REF!,3,FALSE)="",2,VLOOKUP(C35,Identificação!#REF!,3,FALSE)),"")</f>
        <v/>
      </c>
      <c r="N35" s="5" t="str">
        <f t="shared" si="2"/>
        <v/>
      </c>
      <c r="O35" s="22" t="str">
        <f t="shared" si="0"/>
        <v/>
      </c>
      <c r="P35" s="5" t="str">
        <f t="shared" si="3"/>
        <v/>
      </c>
      <c r="Q35" s="22" t="str">
        <f t="shared" si="4"/>
        <v/>
      </c>
      <c r="R35" s="5" t="str">
        <f t="shared" si="5"/>
        <v/>
      </c>
      <c r="S35" s="22" t="str">
        <f t="shared" si="6"/>
        <v/>
      </c>
    </row>
    <row r="36" spans="3:19" ht="18.75" x14ac:dyDescent="0.25">
      <c r="C36" s="31" t="e">
        <f>'Emissões Fugitivas'!#REF!</f>
        <v>#REF!</v>
      </c>
      <c r="D36" s="85">
        <f>'Emissões Fugitivas'!B41</f>
        <v>0</v>
      </c>
      <c r="E36" s="31" t="str">
        <f>'Emissões Fugitivas'!C41</f>
        <v/>
      </c>
      <c r="F36" s="31">
        <f>'Emissões Fugitivas'!D41</f>
        <v>0</v>
      </c>
      <c r="G36" s="31">
        <f>'Emissões Fugitivas'!F41</f>
        <v>0</v>
      </c>
      <c r="H36" s="31">
        <f>'Emissões Fugitivas'!G41</f>
        <v>0</v>
      </c>
      <c r="I36" s="31">
        <f>'Emissões Fugitivas'!H41</f>
        <v>0</v>
      </c>
      <c r="J36" s="31">
        <f>'Emissões Fugitivas'!I41</f>
        <v>0</v>
      </c>
      <c r="K36" s="31" t="str">
        <f>'Emissões Fugitivas'!J41</f>
        <v/>
      </c>
      <c r="L36" s="22" t="str">
        <f t="shared" si="1"/>
        <v/>
      </c>
      <c r="M36" s="22" t="str">
        <f>IFERROR(IF(VLOOKUP(C36,Identificação!#REF!,3,FALSE)="",2,VLOOKUP(C36,Identificação!#REF!,3,FALSE)),"")</f>
        <v/>
      </c>
      <c r="N36" s="5" t="str">
        <f t="shared" si="2"/>
        <v/>
      </c>
      <c r="O36" s="22" t="str">
        <f t="shared" si="0"/>
        <v/>
      </c>
      <c r="P36" s="5" t="str">
        <f t="shared" si="3"/>
        <v/>
      </c>
      <c r="Q36" s="22" t="str">
        <f t="shared" si="4"/>
        <v/>
      </c>
      <c r="R36" s="5" t="str">
        <f t="shared" si="5"/>
        <v/>
      </c>
      <c r="S36" s="22" t="str">
        <f t="shared" si="6"/>
        <v/>
      </c>
    </row>
    <row r="37" spans="3:19" ht="18.75" x14ac:dyDescent="0.25">
      <c r="C37" s="31" t="e">
        <f>'Emissões Fugitivas'!#REF!</f>
        <v>#REF!</v>
      </c>
      <c r="D37" s="85">
        <f>'Emissões Fugitivas'!B42</f>
        <v>0</v>
      </c>
      <c r="E37" s="31" t="str">
        <f>'Emissões Fugitivas'!C42</f>
        <v/>
      </c>
      <c r="F37" s="31">
        <f>'Emissões Fugitivas'!D42</f>
        <v>0</v>
      </c>
      <c r="G37" s="31">
        <f>'Emissões Fugitivas'!F42</f>
        <v>0</v>
      </c>
      <c r="H37" s="31">
        <f>'Emissões Fugitivas'!G42</f>
        <v>0</v>
      </c>
      <c r="I37" s="31">
        <f>'Emissões Fugitivas'!H42</f>
        <v>0</v>
      </c>
      <c r="J37" s="31">
        <f>'Emissões Fugitivas'!I42</f>
        <v>0</v>
      </c>
      <c r="K37" s="31" t="str">
        <f>'Emissões Fugitivas'!J42</f>
        <v/>
      </c>
      <c r="L37" s="22" t="str">
        <f t="shared" si="1"/>
        <v/>
      </c>
      <c r="M37" s="22" t="str">
        <f>IFERROR(IF(VLOOKUP(C37,Identificação!#REF!,3,FALSE)="",2,VLOOKUP(C37,Identificação!#REF!,3,FALSE)),"")</f>
        <v/>
      </c>
      <c r="N37" s="5" t="str">
        <f t="shared" si="2"/>
        <v/>
      </c>
      <c r="O37" s="22" t="str">
        <f t="shared" si="0"/>
        <v/>
      </c>
      <c r="P37" s="5" t="str">
        <f t="shared" si="3"/>
        <v/>
      </c>
      <c r="Q37" s="22" t="str">
        <f t="shared" si="4"/>
        <v/>
      </c>
      <c r="R37" s="5" t="str">
        <f t="shared" si="5"/>
        <v/>
      </c>
      <c r="S37" s="22" t="str">
        <f t="shared" si="6"/>
        <v/>
      </c>
    </row>
    <row r="38" spans="3:19" ht="18.75" x14ac:dyDescent="0.25">
      <c r="C38" s="31" t="e">
        <f>'Emissões Fugitivas'!#REF!</f>
        <v>#REF!</v>
      </c>
      <c r="D38" s="85">
        <f>'Emissões Fugitivas'!B43</f>
        <v>0</v>
      </c>
      <c r="E38" s="31" t="str">
        <f>'Emissões Fugitivas'!C43</f>
        <v/>
      </c>
      <c r="F38" s="31">
        <f>'Emissões Fugitivas'!D43</f>
        <v>0</v>
      </c>
      <c r="G38" s="31">
        <f>'Emissões Fugitivas'!F43</f>
        <v>0</v>
      </c>
      <c r="H38" s="31">
        <f>'Emissões Fugitivas'!G43</f>
        <v>0</v>
      </c>
      <c r="I38" s="31">
        <f>'Emissões Fugitivas'!H43</f>
        <v>0</v>
      </c>
      <c r="J38" s="31">
        <f>'Emissões Fugitivas'!I43</f>
        <v>0</v>
      </c>
      <c r="K38" s="31" t="str">
        <f>'Emissões Fugitivas'!J43</f>
        <v/>
      </c>
      <c r="L38" s="22" t="str">
        <f t="shared" si="1"/>
        <v/>
      </c>
      <c r="M38" s="22" t="str">
        <f>IFERROR(IF(VLOOKUP(C38,Identificação!#REF!,3,FALSE)="",2,VLOOKUP(C38,Identificação!#REF!,3,FALSE)),"")</f>
        <v/>
      </c>
      <c r="N38" s="5" t="str">
        <f t="shared" si="2"/>
        <v/>
      </c>
      <c r="O38" s="22" t="str">
        <f t="shared" si="0"/>
        <v/>
      </c>
      <c r="P38" s="5" t="str">
        <f t="shared" si="3"/>
        <v/>
      </c>
      <c r="Q38" s="22" t="str">
        <f t="shared" si="4"/>
        <v/>
      </c>
      <c r="R38" s="5" t="str">
        <f t="shared" si="5"/>
        <v/>
      </c>
      <c r="S38" s="22" t="str">
        <f t="shared" si="6"/>
        <v/>
      </c>
    </row>
    <row r="39" spans="3:19" ht="18.75" x14ac:dyDescent="0.25">
      <c r="C39" s="31" t="e">
        <f>'Emissões Fugitivas'!#REF!</f>
        <v>#REF!</v>
      </c>
      <c r="D39" s="85">
        <f>'Emissões Fugitivas'!B44</f>
        <v>0</v>
      </c>
      <c r="E39" s="31" t="str">
        <f>'Emissões Fugitivas'!C44</f>
        <v/>
      </c>
      <c r="F39" s="31">
        <f>'Emissões Fugitivas'!D44</f>
        <v>0</v>
      </c>
      <c r="G39" s="31">
        <f>'Emissões Fugitivas'!F44</f>
        <v>0</v>
      </c>
      <c r="H39" s="31">
        <f>'Emissões Fugitivas'!G44</f>
        <v>0</v>
      </c>
      <c r="I39" s="31">
        <f>'Emissões Fugitivas'!H44</f>
        <v>0</v>
      </c>
      <c r="J39" s="31">
        <f>'Emissões Fugitivas'!I44</f>
        <v>0</v>
      </c>
      <c r="K39" s="31" t="str">
        <f>'Emissões Fugitivas'!J44</f>
        <v/>
      </c>
      <c r="L39" s="22" t="str">
        <f t="shared" si="1"/>
        <v/>
      </c>
      <c r="M39" s="22" t="str">
        <f>IFERROR(IF(VLOOKUP(C39,Identificação!#REF!,3,FALSE)="",2,VLOOKUP(C39,Identificação!#REF!,3,FALSE)),"")</f>
        <v/>
      </c>
      <c r="N39" s="5" t="str">
        <f t="shared" si="2"/>
        <v/>
      </c>
      <c r="O39" s="22" t="str">
        <f t="shared" si="0"/>
        <v/>
      </c>
      <c r="P39" s="5" t="str">
        <f t="shared" si="3"/>
        <v/>
      </c>
      <c r="Q39" s="22" t="str">
        <f t="shared" si="4"/>
        <v/>
      </c>
      <c r="R39" s="5" t="str">
        <f t="shared" si="5"/>
        <v/>
      </c>
      <c r="S39" s="22" t="str">
        <f t="shared" si="6"/>
        <v/>
      </c>
    </row>
    <row r="40" spans="3:19" ht="18.75" x14ac:dyDescent="0.25">
      <c r="C40" s="31" t="e">
        <f>'Emissões Fugitivas'!#REF!</f>
        <v>#REF!</v>
      </c>
      <c r="D40" s="85">
        <f>'Emissões Fugitivas'!B45</f>
        <v>0</v>
      </c>
      <c r="E40" s="31" t="str">
        <f>'Emissões Fugitivas'!C45</f>
        <v/>
      </c>
      <c r="F40" s="31">
        <f>'Emissões Fugitivas'!D45</f>
        <v>0</v>
      </c>
      <c r="G40" s="31">
        <f>'Emissões Fugitivas'!F45</f>
        <v>0</v>
      </c>
      <c r="H40" s="31">
        <f>'Emissões Fugitivas'!G45</f>
        <v>0</v>
      </c>
      <c r="I40" s="31">
        <f>'Emissões Fugitivas'!H45</f>
        <v>0</v>
      </c>
      <c r="J40" s="31">
        <f>'Emissões Fugitivas'!I45</f>
        <v>0</v>
      </c>
      <c r="K40" s="31" t="str">
        <f>'Emissões Fugitivas'!J45</f>
        <v/>
      </c>
      <c r="L40" s="22" t="str">
        <f t="shared" si="1"/>
        <v/>
      </c>
      <c r="M40" s="22" t="str">
        <f>IFERROR(IF(VLOOKUP(C40,Identificação!#REF!,3,FALSE)="",2,VLOOKUP(C40,Identificação!#REF!,3,FALSE)),"")</f>
        <v/>
      </c>
      <c r="N40" s="5" t="str">
        <f t="shared" si="2"/>
        <v/>
      </c>
      <c r="O40" s="22" t="str">
        <f t="shared" si="0"/>
        <v/>
      </c>
      <c r="P40" s="5" t="str">
        <f t="shared" si="3"/>
        <v/>
      </c>
      <c r="Q40" s="22" t="str">
        <f t="shared" si="4"/>
        <v/>
      </c>
      <c r="R40" s="5" t="str">
        <f t="shared" si="5"/>
        <v/>
      </c>
      <c r="S40" s="22" t="str">
        <f t="shared" si="6"/>
        <v/>
      </c>
    </row>
    <row r="41" spans="3:19" ht="18.75" x14ac:dyDescent="0.25">
      <c r="C41" s="31" t="e">
        <f>'Emissões Fugitivas'!#REF!</f>
        <v>#REF!</v>
      </c>
      <c r="D41" s="85">
        <f>'Emissões Fugitivas'!B46</f>
        <v>0</v>
      </c>
      <c r="E41" s="31" t="str">
        <f>'Emissões Fugitivas'!C46</f>
        <v/>
      </c>
      <c r="F41" s="31">
        <f>'Emissões Fugitivas'!D46</f>
        <v>0</v>
      </c>
      <c r="G41" s="31">
        <f>'Emissões Fugitivas'!F46</f>
        <v>0</v>
      </c>
      <c r="H41" s="31">
        <f>'Emissões Fugitivas'!G46</f>
        <v>0</v>
      </c>
      <c r="I41" s="31">
        <f>'Emissões Fugitivas'!H46</f>
        <v>0</v>
      </c>
      <c r="J41" s="31">
        <f>'Emissões Fugitivas'!I46</f>
        <v>0</v>
      </c>
      <c r="K41" s="31" t="str">
        <f>'Emissões Fugitivas'!J46</f>
        <v/>
      </c>
      <c r="L41" s="22" t="str">
        <f t="shared" si="1"/>
        <v/>
      </c>
      <c r="M41" s="22" t="str">
        <f>IFERROR(IF(VLOOKUP(C41,Identificação!#REF!,3,FALSE)="",2,VLOOKUP(C41,Identificação!#REF!,3,FALSE)),"")</f>
        <v/>
      </c>
      <c r="N41" s="5" t="str">
        <f t="shared" si="2"/>
        <v/>
      </c>
      <c r="O41" s="22" t="str">
        <f t="shared" si="0"/>
        <v/>
      </c>
      <c r="P41" s="5" t="str">
        <f t="shared" si="3"/>
        <v/>
      </c>
      <c r="Q41" s="22" t="str">
        <f t="shared" si="4"/>
        <v/>
      </c>
      <c r="R41" s="5" t="str">
        <f t="shared" si="5"/>
        <v/>
      </c>
      <c r="S41" s="22" t="str">
        <f t="shared" si="6"/>
        <v/>
      </c>
    </row>
    <row r="42" spans="3:19" ht="18.75" x14ac:dyDescent="0.25">
      <c r="C42" s="31" t="e">
        <f>'Emissões Fugitivas'!#REF!</f>
        <v>#REF!</v>
      </c>
      <c r="D42" s="85">
        <f>'Emissões Fugitivas'!B47</f>
        <v>0</v>
      </c>
      <c r="E42" s="31" t="str">
        <f>'Emissões Fugitivas'!C47</f>
        <v/>
      </c>
      <c r="F42" s="31">
        <f>'Emissões Fugitivas'!D47</f>
        <v>0</v>
      </c>
      <c r="G42" s="31">
        <f>'Emissões Fugitivas'!F47</f>
        <v>0</v>
      </c>
      <c r="H42" s="31">
        <f>'Emissões Fugitivas'!G47</f>
        <v>0</v>
      </c>
      <c r="I42" s="31">
        <f>'Emissões Fugitivas'!H47</f>
        <v>0</v>
      </c>
      <c r="J42" s="31">
        <f>'Emissões Fugitivas'!I47</f>
        <v>0</v>
      </c>
      <c r="K42" s="31" t="str">
        <f>'Emissões Fugitivas'!J47</f>
        <v/>
      </c>
      <c r="L42" s="22" t="str">
        <f t="shared" si="1"/>
        <v/>
      </c>
      <c r="M42" s="22" t="str">
        <f>IFERROR(IF(VLOOKUP(C42,Identificação!#REF!,3,FALSE)="",2,VLOOKUP(C42,Identificação!#REF!,3,FALSE)),"")</f>
        <v/>
      </c>
      <c r="N42" s="5" t="str">
        <f t="shared" si="2"/>
        <v/>
      </c>
      <c r="O42" s="22" t="str">
        <f t="shared" si="0"/>
        <v/>
      </c>
      <c r="P42" s="5" t="str">
        <f t="shared" si="3"/>
        <v/>
      </c>
      <c r="Q42" s="22" t="str">
        <f t="shared" si="4"/>
        <v/>
      </c>
      <c r="R42" s="5" t="str">
        <f t="shared" si="5"/>
        <v/>
      </c>
      <c r="S42" s="22" t="str">
        <f t="shared" si="6"/>
        <v/>
      </c>
    </row>
    <row r="43" spans="3:19" ht="18.75" x14ac:dyDescent="0.25">
      <c r="C43" s="31" t="e">
        <f>'Emissões Fugitivas'!#REF!</f>
        <v>#REF!</v>
      </c>
      <c r="D43" s="85">
        <f>'Emissões Fugitivas'!B48</f>
        <v>0</v>
      </c>
      <c r="E43" s="31" t="str">
        <f>'Emissões Fugitivas'!C48</f>
        <v/>
      </c>
      <c r="F43" s="31">
        <f>'Emissões Fugitivas'!D48</f>
        <v>0</v>
      </c>
      <c r="G43" s="31">
        <f>'Emissões Fugitivas'!F48</f>
        <v>0</v>
      </c>
      <c r="H43" s="31">
        <f>'Emissões Fugitivas'!G48</f>
        <v>0</v>
      </c>
      <c r="I43" s="31">
        <f>'Emissões Fugitivas'!H48</f>
        <v>0</v>
      </c>
      <c r="J43" s="31">
        <f>'Emissões Fugitivas'!I48</f>
        <v>0</v>
      </c>
      <c r="K43" s="31" t="str">
        <f>'Emissões Fugitivas'!J48</f>
        <v/>
      </c>
      <c r="L43" s="22" t="str">
        <f t="shared" si="1"/>
        <v/>
      </c>
      <c r="M43" s="22" t="str">
        <f>IFERROR(IF(VLOOKUP(C43,Identificação!#REF!,3,FALSE)="",2,VLOOKUP(C43,Identificação!#REF!,3,FALSE)),"")</f>
        <v/>
      </c>
      <c r="N43" s="5" t="str">
        <f t="shared" si="2"/>
        <v/>
      </c>
      <c r="O43" s="22" t="str">
        <f t="shared" si="0"/>
        <v/>
      </c>
      <c r="P43" s="5" t="str">
        <f t="shared" si="3"/>
        <v/>
      </c>
      <c r="Q43" s="22" t="str">
        <f t="shared" si="4"/>
        <v/>
      </c>
      <c r="R43" s="5" t="str">
        <f t="shared" si="5"/>
        <v/>
      </c>
      <c r="S43" s="22" t="str">
        <f t="shared" si="6"/>
        <v/>
      </c>
    </row>
    <row r="44" spans="3:19" ht="18.75" x14ac:dyDescent="0.25">
      <c r="C44" s="31" t="e">
        <f>'Emissões Fugitivas'!#REF!</f>
        <v>#REF!</v>
      </c>
      <c r="D44" s="85">
        <f>'Emissões Fugitivas'!B49</f>
        <v>0</v>
      </c>
      <c r="E44" s="31" t="str">
        <f>'Emissões Fugitivas'!C49</f>
        <v/>
      </c>
      <c r="F44" s="31">
        <f>'Emissões Fugitivas'!D49</f>
        <v>0</v>
      </c>
      <c r="G44" s="31">
        <f>'Emissões Fugitivas'!F49</f>
        <v>0</v>
      </c>
      <c r="H44" s="31">
        <f>'Emissões Fugitivas'!G49</f>
        <v>0</v>
      </c>
      <c r="I44" s="31">
        <f>'Emissões Fugitivas'!H49</f>
        <v>0</v>
      </c>
      <c r="J44" s="31">
        <f>'Emissões Fugitivas'!I49</f>
        <v>0</v>
      </c>
      <c r="K44" s="31" t="str">
        <f>'Emissões Fugitivas'!J49</f>
        <v/>
      </c>
      <c r="L44" s="22" t="str">
        <f t="shared" si="1"/>
        <v/>
      </c>
      <c r="M44" s="22" t="str">
        <f>IFERROR(IF(VLOOKUP(C44,Identificação!#REF!,3,FALSE)="",2,VLOOKUP(C44,Identificação!#REF!,3,FALSE)),"")</f>
        <v/>
      </c>
      <c r="N44" s="5" t="str">
        <f t="shared" si="2"/>
        <v/>
      </c>
      <c r="O44" s="22" t="str">
        <f t="shared" si="0"/>
        <v/>
      </c>
      <c r="P44" s="5" t="str">
        <f t="shared" si="3"/>
        <v/>
      </c>
      <c r="Q44" s="22" t="str">
        <f t="shared" si="4"/>
        <v/>
      </c>
      <c r="R44" s="5" t="str">
        <f t="shared" si="5"/>
        <v/>
      </c>
      <c r="S44" s="22" t="str">
        <f t="shared" si="6"/>
        <v/>
      </c>
    </row>
    <row r="45" spans="3:19" ht="18.75" x14ac:dyDescent="0.25">
      <c r="C45" s="31" t="e">
        <f>'Emissões Fugitivas'!#REF!</f>
        <v>#REF!</v>
      </c>
      <c r="D45" s="85">
        <f>'Emissões Fugitivas'!B50</f>
        <v>0</v>
      </c>
      <c r="E45" s="31" t="str">
        <f>'Emissões Fugitivas'!C50</f>
        <v/>
      </c>
      <c r="F45" s="31">
        <f>'Emissões Fugitivas'!D50</f>
        <v>0</v>
      </c>
      <c r="G45" s="31">
        <f>'Emissões Fugitivas'!F50</f>
        <v>0</v>
      </c>
      <c r="H45" s="31">
        <f>'Emissões Fugitivas'!G50</f>
        <v>0</v>
      </c>
      <c r="I45" s="31">
        <f>'Emissões Fugitivas'!H50</f>
        <v>0</v>
      </c>
      <c r="J45" s="31">
        <f>'Emissões Fugitivas'!I50</f>
        <v>0</v>
      </c>
      <c r="K45" s="31" t="str">
        <f>'Emissões Fugitivas'!J50</f>
        <v/>
      </c>
      <c r="L45" s="22" t="str">
        <f t="shared" si="1"/>
        <v/>
      </c>
      <c r="M45" s="22" t="str">
        <f>IFERROR(IF(VLOOKUP(C45,Identificação!#REF!,3,FALSE)="",2,VLOOKUP(C45,Identificação!#REF!,3,FALSE)),"")</f>
        <v/>
      </c>
      <c r="N45" s="5" t="str">
        <f t="shared" si="2"/>
        <v/>
      </c>
      <c r="O45" s="22" t="str">
        <f t="shared" si="0"/>
        <v/>
      </c>
      <c r="P45" s="5" t="str">
        <f t="shared" si="3"/>
        <v/>
      </c>
      <c r="Q45" s="22" t="str">
        <f t="shared" si="4"/>
        <v/>
      </c>
      <c r="R45" s="5" t="str">
        <f t="shared" si="5"/>
        <v/>
      </c>
      <c r="S45" s="22" t="str">
        <f t="shared" si="6"/>
        <v/>
      </c>
    </row>
    <row r="46" spans="3:19" ht="18.75" x14ac:dyDescent="0.25">
      <c r="C46" s="31" t="e">
        <f>'Emissões Fugitivas'!#REF!</f>
        <v>#REF!</v>
      </c>
      <c r="D46" s="85">
        <f>'Emissões Fugitivas'!B51</f>
        <v>0</v>
      </c>
      <c r="E46" s="31" t="str">
        <f>'Emissões Fugitivas'!C51</f>
        <v/>
      </c>
      <c r="F46" s="31">
        <f>'Emissões Fugitivas'!D51</f>
        <v>0</v>
      </c>
      <c r="G46" s="31">
        <f>'Emissões Fugitivas'!F51</f>
        <v>0</v>
      </c>
      <c r="H46" s="31">
        <f>'Emissões Fugitivas'!G51</f>
        <v>0</v>
      </c>
      <c r="I46" s="31">
        <f>'Emissões Fugitivas'!H51</f>
        <v>0</v>
      </c>
      <c r="J46" s="31">
        <f>'Emissões Fugitivas'!I51</f>
        <v>0</v>
      </c>
      <c r="K46" s="31" t="str">
        <f>'Emissões Fugitivas'!J51</f>
        <v/>
      </c>
      <c r="L46" s="22" t="str">
        <f t="shared" si="1"/>
        <v/>
      </c>
      <c r="M46" s="22" t="str">
        <f>IFERROR(IF(VLOOKUP(C46,Identificação!#REF!,3,FALSE)="",2,VLOOKUP(C46,Identificação!#REF!,3,FALSE)),"")</f>
        <v/>
      </c>
      <c r="N46" s="5" t="str">
        <f t="shared" si="2"/>
        <v/>
      </c>
      <c r="O46" s="22" t="str">
        <f t="shared" si="0"/>
        <v/>
      </c>
      <c r="P46" s="5" t="str">
        <f t="shared" si="3"/>
        <v/>
      </c>
      <c r="Q46" s="22" t="str">
        <f t="shared" si="4"/>
        <v/>
      </c>
      <c r="R46" s="5" t="str">
        <f t="shared" si="5"/>
        <v/>
      </c>
      <c r="S46" s="22" t="str">
        <f t="shared" si="6"/>
        <v/>
      </c>
    </row>
    <row r="47" spans="3:19" ht="18.75" x14ac:dyDescent="0.25">
      <c r="C47" s="31" t="e">
        <f>'Emissões Fugitivas'!#REF!</f>
        <v>#REF!</v>
      </c>
      <c r="D47" s="85">
        <f>'Emissões Fugitivas'!B52</f>
        <v>0</v>
      </c>
      <c r="E47" s="31" t="str">
        <f>'Emissões Fugitivas'!C52</f>
        <v/>
      </c>
      <c r="F47" s="31">
        <f>'Emissões Fugitivas'!D52</f>
        <v>0</v>
      </c>
      <c r="G47" s="31">
        <f>'Emissões Fugitivas'!F52</f>
        <v>0</v>
      </c>
      <c r="H47" s="31">
        <f>'Emissões Fugitivas'!G52</f>
        <v>0</v>
      </c>
      <c r="I47" s="31">
        <f>'Emissões Fugitivas'!H52</f>
        <v>0</v>
      </c>
      <c r="J47" s="31">
        <f>'Emissões Fugitivas'!I52</f>
        <v>0</v>
      </c>
      <c r="K47" s="31" t="str">
        <f>'Emissões Fugitivas'!J52</f>
        <v/>
      </c>
      <c r="L47" s="22" t="str">
        <f t="shared" si="1"/>
        <v/>
      </c>
      <c r="M47" s="22" t="str">
        <f>IFERROR(IF(VLOOKUP(C47,Identificação!#REF!,3,FALSE)="",2,VLOOKUP(C47,Identificação!#REF!,3,FALSE)),"")</f>
        <v/>
      </c>
      <c r="N47" s="5" t="str">
        <f t="shared" si="2"/>
        <v/>
      </c>
      <c r="O47" s="22" t="str">
        <f t="shared" si="0"/>
        <v/>
      </c>
      <c r="P47" s="5" t="str">
        <f t="shared" si="3"/>
        <v/>
      </c>
      <c r="Q47" s="22" t="str">
        <f t="shared" si="4"/>
        <v/>
      </c>
      <c r="R47" s="5" t="str">
        <f t="shared" si="5"/>
        <v/>
      </c>
      <c r="S47" s="22" t="str">
        <f t="shared" si="6"/>
        <v/>
      </c>
    </row>
    <row r="48" spans="3:19" ht="18.75" x14ac:dyDescent="0.25">
      <c r="C48" s="31" t="e">
        <f>'Emissões Fugitivas'!#REF!</f>
        <v>#REF!</v>
      </c>
      <c r="D48" s="85">
        <f>'Emissões Fugitivas'!B53</f>
        <v>0</v>
      </c>
      <c r="E48" s="31" t="str">
        <f>'Emissões Fugitivas'!C53</f>
        <v/>
      </c>
      <c r="F48" s="31">
        <f>'Emissões Fugitivas'!D53</f>
        <v>0</v>
      </c>
      <c r="G48" s="31">
        <f>'Emissões Fugitivas'!F53</f>
        <v>0</v>
      </c>
      <c r="H48" s="31">
        <f>'Emissões Fugitivas'!G53</f>
        <v>0</v>
      </c>
      <c r="I48" s="31">
        <f>'Emissões Fugitivas'!H53</f>
        <v>0</v>
      </c>
      <c r="J48" s="31">
        <f>'Emissões Fugitivas'!I53</f>
        <v>0</v>
      </c>
      <c r="K48" s="31" t="str">
        <f>'Emissões Fugitivas'!J53</f>
        <v/>
      </c>
      <c r="L48" s="22" t="str">
        <f t="shared" si="1"/>
        <v/>
      </c>
      <c r="M48" s="22" t="str">
        <f>IFERROR(IF(VLOOKUP(C48,Identificação!#REF!,3,FALSE)="",2,VLOOKUP(C48,Identificação!#REF!,3,FALSE)),"")</f>
        <v/>
      </c>
      <c r="N48" s="5" t="str">
        <f t="shared" si="2"/>
        <v/>
      </c>
      <c r="O48" s="22" t="str">
        <f t="shared" si="0"/>
        <v/>
      </c>
      <c r="P48" s="5" t="str">
        <f t="shared" si="3"/>
        <v/>
      </c>
      <c r="Q48" s="22" t="str">
        <f t="shared" si="4"/>
        <v/>
      </c>
      <c r="R48" s="5" t="str">
        <f t="shared" si="5"/>
        <v/>
      </c>
      <c r="S48" s="22" t="str">
        <f t="shared" si="6"/>
        <v/>
      </c>
    </row>
    <row r="49" spans="2:19" ht="18.75" x14ac:dyDescent="0.25">
      <c r="C49" s="31" t="e">
        <f>'Emissões Fugitivas'!#REF!</f>
        <v>#REF!</v>
      </c>
      <c r="D49" s="85">
        <f>'Emissões Fugitivas'!B54</f>
        <v>0</v>
      </c>
      <c r="E49" s="31" t="str">
        <f>'Emissões Fugitivas'!C54</f>
        <v/>
      </c>
      <c r="F49" s="31">
        <f>'Emissões Fugitivas'!D54</f>
        <v>0</v>
      </c>
      <c r="G49" s="31">
        <f>'Emissões Fugitivas'!F54</f>
        <v>0</v>
      </c>
      <c r="H49" s="31">
        <f>'Emissões Fugitivas'!G54</f>
        <v>0</v>
      </c>
      <c r="I49" s="31">
        <f>'Emissões Fugitivas'!H54</f>
        <v>0</v>
      </c>
      <c r="J49" s="31">
        <f>'Emissões Fugitivas'!I54</f>
        <v>0</v>
      </c>
      <c r="K49" s="31" t="str">
        <f>'Emissões Fugitivas'!J54</f>
        <v/>
      </c>
      <c r="L49" s="22" t="str">
        <f t="shared" si="1"/>
        <v/>
      </c>
      <c r="M49" s="22" t="str">
        <f>IFERROR(IF(VLOOKUP(C49,Identificação!#REF!,3,FALSE)="",2,VLOOKUP(C49,Identificação!#REF!,3,FALSE)),"")</f>
        <v/>
      </c>
      <c r="N49" s="5" t="str">
        <f t="shared" si="2"/>
        <v/>
      </c>
      <c r="O49" s="22" t="str">
        <f t="shared" si="0"/>
        <v/>
      </c>
      <c r="P49" s="5" t="str">
        <f t="shared" si="3"/>
        <v/>
      </c>
      <c r="Q49" s="22" t="str">
        <f t="shared" si="4"/>
        <v/>
      </c>
      <c r="R49" s="5" t="str">
        <f t="shared" si="5"/>
        <v/>
      </c>
      <c r="S49" s="22" t="str">
        <f t="shared" si="6"/>
        <v/>
      </c>
    </row>
    <row r="50" spans="2:19" ht="18.75" x14ac:dyDescent="0.25">
      <c r="C50" s="31" t="e">
        <f>'Emissões Fugitivas'!#REF!</f>
        <v>#REF!</v>
      </c>
      <c r="D50" s="85">
        <f>'Emissões Fugitivas'!B55</f>
        <v>0</v>
      </c>
      <c r="E50" s="31" t="str">
        <f>'Emissões Fugitivas'!C55</f>
        <v/>
      </c>
      <c r="F50" s="31">
        <f>'Emissões Fugitivas'!D55</f>
        <v>0</v>
      </c>
      <c r="G50" s="31">
        <f>'Emissões Fugitivas'!F55</f>
        <v>0</v>
      </c>
      <c r="H50" s="31">
        <f>'Emissões Fugitivas'!G55</f>
        <v>0</v>
      </c>
      <c r="I50" s="31">
        <f>'Emissões Fugitivas'!H55</f>
        <v>0</v>
      </c>
      <c r="J50" s="31">
        <f>'Emissões Fugitivas'!I55</f>
        <v>0</v>
      </c>
      <c r="K50" s="31" t="str">
        <f>'Emissões Fugitivas'!J55</f>
        <v/>
      </c>
      <c r="L50" s="22" t="str">
        <f t="shared" si="1"/>
        <v/>
      </c>
      <c r="M50" s="22" t="str">
        <f>IFERROR(IF(VLOOKUP(C50,Identificação!#REF!,3,FALSE)="",2,VLOOKUP(C50,Identificação!#REF!,3,FALSE)),"")</f>
        <v/>
      </c>
      <c r="N50" s="5" t="str">
        <f t="shared" si="2"/>
        <v/>
      </c>
      <c r="O50" s="22" t="str">
        <f t="shared" si="0"/>
        <v/>
      </c>
      <c r="P50" s="5" t="str">
        <f t="shared" si="3"/>
        <v/>
      </c>
      <c r="Q50" s="22" t="str">
        <f t="shared" si="4"/>
        <v/>
      </c>
      <c r="R50" s="5" t="str">
        <f t="shared" si="5"/>
        <v/>
      </c>
      <c r="S50" s="22" t="str">
        <f t="shared" si="6"/>
        <v/>
      </c>
    </row>
    <row r="51" spans="2:19" ht="18.75" x14ac:dyDescent="0.25">
      <c r="C51" s="31" t="e">
        <f>'Emissões Fugitivas'!#REF!</f>
        <v>#REF!</v>
      </c>
      <c r="D51" s="85">
        <f>'Emissões Fugitivas'!B56</f>
        <v>0</v>
      </c>
      <c r="E51" s="31" t="str">
        <f>'Emissões Fugitivas'!C56</f>
        <v/>
      </c>
      <c r="F51" s="31">
        <f>'Emissões Fugitivas'!D56</f>
        <v>0</v>
      </c>
      <c r="G51" s="31">
        <f>'Emissões Fugitivas'!F56</f>
        <v>0</v>
      </c>
      <c r="H51" s="31">
        <f>'Emissões Fugitivas'!G56</f>
        <v>0</v>
      </c>
      <c r="I51" s="31">
        <f>'Emissões Fugitivas'!H56</f>
        <v>0</v>
      </c>
      <c r="J51" s="31">
        <f>'Emissões Fugitivas'!I56</f>
        <v>0</v>
      </c>
      <c r="K51" s="31" t="str">
        <f>'Emissões Fugitivas'!J56</f>
        <v/>
      </c>
      <c r="L51" s="22" t="str">
        <f t="shared" si="1"/>
        <v/>
      </c>
      <c r="M51" s="22" t="str">
        <f>IFERROR(IF(VLOOKUP(C51,Identificação!#REF!,3,FALSE)="",2,VLOOKUP(C51,Identificação!#REF!,3,FALSE)),"")</f>
        <v/>
      </c>
      <c r="N51" s="5" t="str">
        <f t="shared" si="2"/>
        <v/>
      </c>
      <c r="O51" s="22" t="str">
        <f t="shared" si="0"/>
        <v/>
      </c>
      <c r="P51" s="5" t="str">
        <f t="shared" si="3"/>
        <v/>
      </c>
      <c r="Q51" s="22" t="str">
        <f t="shared" si="4"/>
        <v/>
      </c>
      <c r="R51" s="5" t="str">
        <f t="shared" si="5"/>
        <v/>
      </c>
      <c r="S51" s="22" t="str">
        <f t="shared" si="6"/>
        <v/>
      </c>
    </row>
    <row r="52" spans="2:19" ht="18.75" x14ac:dyDescent="0.25">
      <c r="C52" s="31"/>
      <c r="D52" s="85">
        <f>'Emissões Fugitivas'!B56</f>
        <v>0</v>
      </c>
      <c r="E52" s="31"/>
      <c r="F52" s="31"/>
      <c r="G52" s="5">
        <f>'Emissões Fugitivas'!N56</f>
        <v>0</v>
      </c>
      <c r="H52" s="5" t="str">
        <f>'Emissões Fugitivas'!J56</f>
        <v/>
      </c>
      <c r="I52" s="31" t="str">
        <f>'Emissões Fugitivas'!C56</f>
        <v/>
      </c>
      <c r="J52" s="5">
        <f>IF(H52="",0,I52*H52/1000)</f>
        <v>0</v>
      </c>
      <c r="K52" s="5">
        <f>IF(H52="",0,I52*H52/1000)</f>
        <v>0</v>
      </c>
      <c r="N52" s="16">
        <f>SUM(N31:N51)</f>
        <v>0</v>
      </c>
      <c r="P52" s="16">
        <f>SUM(P31:P51)</f>
        <v>0</v>
      </c>
      <c r="R52" s="16">
        <f>SUM(R31:R51)</f>
        <v>0</v>
      </c>
      <c r="S52" s="16">
        <f>SUM(S31:S51)</f>
        <v>0</v>
      </c>
    </row>
    <row r="53" spans="2:19" x14ac:dyDescent="0.25">
      <c r="C53" s="162"/>
      <c r="D53" s="162"/>
      <c r="E53" s="162"/>
      <c r="F53" s="162"/>
      <c r="G53" s="162"/>
    </row>
    <row r="56" spans="2:19" s="231" customFormat="1" ht="18.75" x14ac:dyDescent="0.25">
      <c r="B56" s="231" t="s">
        <v>672</v>
      </c>
    </row>
    <row r="58" spans="2:19" x14ac:dyDescent="0.25">
      <c r="B58" s="116" t="s">
        <v>676</v>
      </c>
      <c r="C58" s="116" t="s">
        <v>704</v>
      </c>
      <c r="D58" s="116" t="s">
        <v>1331</v>
      </c>
      <c r="E58" s="116" t="s">
        <v>751</v>
      </c>
      <c r="F58" s="116" t="s">
        <v>514</v>
      </c>
    </row>
    <row r="59" spans="2:19" x14ac:dyDescent="0.25">
      <c r="B59" s="659" t="s">
        <v>677</v>
      </c>
      <c r="C59" s="22"/>
      <c r="D59" s="229">
        <v>1</v>
      </c>
      <c r="E59" s="22"/>
      <c r="F59" s="22"/>
    </row>
    <row r="60" spans="2:19" x14ac:dyDescent="0.25">
      <c r="B60" s="659" t="s">
        <v>689</v>
      </c>
      <c r="C60" s="22"/>
      <c r="D60" s="22">
        <f>'Fatores de Emissão'!J278</f>
        <v>491</v>
      </c>
      <c r="E60" s="22"/>
      <c r="F60" s="22"/>
    </row>
    <row r="61" spans="2:19" x14ac:dyDescent="0.25">
      <c r="B61" s="659" t="s">
        <v>690</v>
      </c>
      <c r="C61" s="22"/>
      <c r="D61" s="22">
        <f>'Fatores de Emissão'!J279</f>
        <v>1790</v>
      </c>
      <c r="E61" s="22"/>
      <c r="F61" s="22"/>
    </row>
    <row r="62" spans="2:19" x14ac:dyDescent="0.25">
      <c r="B62" s="659" t="s">
        <v>691</v>
      </c>
      <c r="C62" s="22"/>
      <c r="D62" s="22">
        <f>'Fatores de Emissão'!J280</f>
        <v>216</v>
      </c>
      <c r="E62" s="22"/>
      <c r="F62" s="22"/>
    </row>
    <row r="63" spans="2:19" x14ac:dyDescent="0.25">
      <c r="B63" s="659" t="s">
        <v>692</v>
      </c>
      <c r="C63" s="22"/>
      <c r="D63" s="22">
        <f>'Fatores de Emissão'!J281</f>
        <v>11100</v>
      </c>
      <c r="E63" s="22"/>
      <c r="F63" s="22"/>
    </row>
    <row r="64" spans="2:19" x14ac:dyDescent="0.25">
      <c r="B64" s="659" t="s">
        <v>693</v>
      </c>
      <c r="C64" s="22"/>
      <c r="D64" s="22">
        <f>'Fatores de Emissão'!J282</f>
        <v>8900</v>
      </c>
      <c r="E64" s="22"/>
      <c r="F64" s="22"/>
    </row>
    <row r="65" spans="1:6" x14ac:dyDescent="0.25">
      <c r="B65" s="659" t="s">
        <v>694</v>
      </c>
      <c r="C65" s="22"/>
      <c r="D65" s="22"/>
      <c r="E65" s="22"/>
      <c r="F65" s="22"/>
    </row>
    <row r="66" spans="1:6" x14ac:dyDescent="0.25">
      <c r="A66" s="93" t="s">
        <v>706</v>
      </c>
      <c r="B66" s="659" t="s">
        <v>695</v>
      </c>
      <c r="C66" s="22"/>
      <c r="D66" s="88">
        <f>'Fatores de Emissão'!E260</f>
        <v>23500</v>
      </c>
      <c r="E66" s="229" t="s">
        <v>752</v>
      </c>
      <c r="F66" s="22"/>
    </row>
    <row r="67" spans="1:6" x14ac:dyDescent="0.25">
      <c r="A67" s="93" t="s">
        <v>706</v>
      </c>
      <c r="B67" s="659" t="s">
        <v>696</v>
      </c>
      <c r="C67" s="22"/>
      <c r="D67" s="88">
        <f>D66</f>
        <v>23500</v>
      </c>
      <c r="E67" s="229" t="s">
        <v>752</v>
      </c>
      <c r="F67" s="22"/>
    </row>
    <row r="68" spans="1:6" x14ac:dyDescent="0.25">
      <c r="A68" s="93" t="s">
        <v>706</v>
      </c>
      <c r="B68" s="659" t="s">
        <v>697</v>
      </c>
      <c r="C68" s="22"/>
      <c r="D68" s="22"/>
      <c r="E68" s="229" t="s">
        <v>753</v>
      </c>
      <c r="F68" s="22"/>
    </row>
    <row r="69" spans="1:6" x14ac:dyDescent="0.25">
      <c r="A69" s="93" t="s">
        <v>706</v>
      </c>
      <c r="B69" s="659" t="s">
        <v>698</v>
      </c>
      <c r="C69" s="22"/>
      <c r="D69" s="22"/>
      <c r="E69" s="229" t="s">
        <v>753</v>
      </c>
      <c r="F69" s="22"/>
    </row>
    <row r="70" spans="1:6" x14ac:dyDescent="0.25">
      <c r="A70" s="93"/>
      <c r="B70" s="229" t="s">
        <v>1361</v>
      </c>
      <c r="C70" s="22"/>
      <c r="D70" s="671">
        <f>'Fatores de Emissão'!E203*1000</f>
        <v>25715.200000000001</v>
      </c>
      <c r="E70" s="229" t="s">
        <v>1365</v>
      </c>
      <c r="F70" s="22" t="s">
        <v>1368</v>
      </c>
    </row>
    <row r="71" spans="1:6" x14ac:dyDescent="0.25">
      <c r="A71" s="93"/>
      <c r="B71" s="229" t="s">
        <v>1362</v>
      </c>
      <c r="C71" s="22"/>
      <c r="D71" s="22">
        <f>'Fatores de Emissão'!E204*1000</f>
        <v>10284.4</v>
      </c>
      <c r="E71" s="229" t="s">
        <v>1365</v>
      </c>
      <c r="F71" s="22" t="s">
        <v>1368</v>
      </c>
    </row>
    <row r="72" spans="1:6" x14ac:dyDescent="0.25">
      <c r="A72" s="93" t="s">
        <v>706</v>
      </c>
      <c r="B72" s="229" t="s">
        <v>699</v>
      </c>
      <c r="C72" s="22"/>
      <c r="D72" s="22"/>
      <c r="E72" s="229" t="s">
        <v>754</v>
      </c>
      <c r="F72" s="22"/>
    </row>
    <row r="73" spans="1:6" x14ac:dyDescent="0.25">
      <c r="A73" s="93" t="s">
        <v>706</v>
      </c>
      <c r="B73" s="229" t="s">
        <v>700</v>
      </c>
      <c r="C73" s="22"/>
      <c r="D73" s="22"/>
      <c r="E73" s="229" t="s">
        <v>755</v>
      </c>
      <c r="F73" s="22"/>
    </row>
    <row r="74" spans="1:6" x14ac:dyDescent="0.25">
      <c r="A74" s="93" t="s">
        <v>706</v>
      </c>
      <c r="B74" s="229" t="s">
        <v>701</v>
      </c>
      <c r="C74" s="22"/>
      <c r="D74" s="22"/>
      <c r="E74" s="229" t="s">
        <v>756</v>
      </c>
      <c r="F74" s="22"/>
    </row>
    <row r="75" spans="1:6" ht="18" x14ac:dyDescent="0.35">
      <c r="B75" s="659" t="s">
        <v>702</v>
      </c>
      <c r="C75" s="22"/>
      <c r="D75" s="88">
        <f>'Fatores de Emissão'!E259</f>
        <v>265</v>
      </c>
      <c r="E75" s="22"/>
      <c r="F75" s="22"/>
    </row>
    <row r="76" spans="1:6" x14ac:dyDescent="0.25">
      <c r="B76" s="229" t="s">
        <v>1324</v>
      </c>
      <c r="C76" s="22"/>
      <c r="D76" s="660">
        <f>'Fatores de Emissão'!E202*1000</f>
        <v>2190</v>
      </c>
      <c r="E76" s="22" t="s">
        <v>1645</v>
      </c>
      <c r="F76" s="22" t="str">
        <f>"Fonte: "&amp;'Fatores de Emissão'!H202</f>
        <v>Fonte: EU ETS 2007</v>
      </c>
    </row>
    <row r="77" spans="1:6" x14ac:dyDescent="0.25">
      <c r="B77" s="229" t="s">
        <v>1363</v>
      </c>
      <c r="C77" s="22"/>
      <c r="D77" s="660">
        <f>'Fatores de Emissão'!E205*1000</f>
        <v>41.328000000000003</v>
      </c>
      <c r="E77" s="229" t="s">
        <v>1366</v>
      </c>
      <c r="F77" s="22"/>
    </row>
    <row r="78" spans="1:6" x14ac:dyDescent="0.25">
      <c r="B78" s="229" t="s">
        <v>1364</v>
      </c>
      <c r="C78" s="22"/>
      <c r="D78" s="660">
        <f>'Fatores de Emissão'!E206*1000</f>
        <v>41.328000000000003</v>
      </c>
      <c r="E78" s="229" t="s">
        <v>1366</v>
      </c>
      <c r="F78" s="22" t="s">
        <v>1368</v>
      </c>
    </row>
    <row r="79" spans="1:6" x14ac:dyDescent="0.25">
      <c r="B79" s="229" t="s">
        <v>1369</v>
      </c>
      <c r="C79" s="22"/>
      <c r="D79" s="660">
        <f>'Fatores de Emissão'!E207*1000</f>
        <v>394740.30000000005</v>
      </c>
      <c r="E79" s="229" t="s">
        <v>1646</v>
      </c>
      <c r="F79" s="22" t="s">
        <v>1368</v>
      </c>
    </row>
    <row r="80" spans="1:6" x14ac:dyDescent="0.25">
      <c r="B80" s="659" t="s">
        <v>301</v>
      </c>
      <c r="C80" s="22"/>
      <c r="D80" s="22"/>
      <c r="E80" s="22"/>
      <c r="F80" s="22"/>
    </row>
    <row r="81" spans="2:9" x14ac:dyDescent="0.25">
      <c r="B81" t="s">
        <v>705</v>
      </c>
    </row>
    <row r="82" spans="2:9" x14ac:dyDescent="0.25">
      <c r="B82" t="s">
        <v>707</v>
      </c>
    </row>
    <row r="86" spans="2:9" ht="15.75" thickBot="1" x14ac:dyDescent="0.3">
      <c r="B86" s="94" t="str">
        <f>'Fatores de Emissão'!B177</f>
        <v>Gás</v>
      </c>
      <c r="C86" s="94" t="str">
        <f>'Fatores de Emissão'!C177</f>
        <v>Processo</v>
      </c>
      <c r="D86" s="94" t="str">
        <f>'Fatores de Emissão'!D177</f>
        <v>Etapa</v>
      </c>
      <c r="E86" s="94" t="str">
        <f>'Fatores de Emissão'!E177</f>
        <v>FE</v>
      </c>
      <c r="F86" s="94" t="str">
        <f>'Fatores de Emissão'!F177</f>
        <v>Unidade</v>
      </c>
      <c r="G86" s="94" t="str">
        <f>'Fatores de Emissão'!G177</f>
        <v>Descrição</v>
      </c>
      <c r="H86" s="94" t="str">
        <f>'Fatores de Emissão'!H177</f>
        <v>Fonte</v>
      </c>
    </row>
    <row r="87" spans="2:9" ht="15.75" thickTop="1" x14ac:dyDescent="0.25">
      <c r="B87" s="655" t="str">
        <f>'Fatores de Emissão'!B178</f>
        <v>SF6</v>
      </c>
      <c r="C87" s="122" t="str">
        <f>'Fatores de Emissão'!C178</f>
        <v>Sealed Pressure Eletrical Equipment</v>
      </c>
      <c r="D87" s="121" t="str">
        <f>'Fatores de Emissão'!D178</f>
        <v>Manufacturing</v>
      </c>
      <c r="E87" s="121">
        <f>'Fatores de Emissão'!E178</f>
        <v>7.0000000000000007E-2</v>
      </c>
      <c r="F87" s="121" t="str">
        <f>'Fatores de Emissão'!F178</f>
        <v>%</v>
      </c>
      <c r="G87" s="122" t="str">
        <f>'Fatores de Emissão'!G178</f>
        <v>Fraction SF6 consumption by Manufactures</v>
      </c>
      <c r="H87" s="122" t="str">
        <f>'Fatores de Emissão'!H178</f>
        <v>IPCC 2006 Guidelines; Vol.3 IPPU; Ch8 Other Product Manufacture and Use - Table 8.2</v>
      </c>
    </row>
    <row r="88" spans="2:9" x14ac:dyDescent="0.25">
      <c r="B88" s="656" t="str">
        <f>'Fatores de Emissão'!B179</f>
        <v>SF6</v>
      </c>
      <c r="C88" s="120" t="str">
        <f>'Fatores de Emissão'!C179</f>
        <v>Sealed Pressure Eletrical Equipment</v>
      </c>
      <c r="D88" s="95" t="str">
        <f>'Fatores de Emissão'!D179</f>
        <v>Operation</v>
      </c>
      <c r="E88" s="95">
        <f>'Fatores de Emissão'!E179</f>
        <v>2E-3</v>
      </c>
      <c r="F88" s="95" t="str">
        <f>'Fatores de Emissão'!F179</f>
        <v>%</v>
      </c>
      <c r="G88" s="120" t="str">
        <f>'Fatores de Emissão'!G179</f>
        <v>Fraction per Year of Namrplate Capacity of All Equipment Installed</v>
      </c>
      <c r="H88" s="120" t="str">
        <f>'Fatores de Emissão'!H179</f>
        <v>IPCC 2006 Guidelines; Vol.3 IPPU; Ch8 Other Product Manufacture and Use - Table 8.2</v>
      </c>
    </row>
    <row r="89" spans="2:9" x14ac:dyDescent="0.25">
      <c r="B89" s="656" t="str">
        <f>'Fatores de Emissão'!B180</f>
        <v>SF6</v>
      </c>
      <c r="C89" s="120" t="str">
        <f>'Fatores de Emissão'!C180</f>
        <v>Sealed Pressure Eletrical Equipment</v>
      </c>
      <c r="D89" s="95" t="str">
        <f>'Fatores de Emissão'!D180</f>
        <v>Disposal</v>
      </c>
      <c r="E89" s="95">
        <f>'Fatores de Emissão'!E180</f>
        <v>0.93</v>
      </c>
      <c r="F89" s="95" t="str">
        <f>'Fatores de Emissão'!F180</f>
        <v>%</v>
      </c>
      <c r="G89" s="120" t="str">
        <f>'Fatores de Emissão'!G180</f>
        <v>Fraction of charge remaining at retirement</v>
      </c>
      <c r="H89" s="120" t="str">
        <f>'Fatores de Emissão'!H180</f>
        <v>IPCC 2006 Guidelines; Vol.3 IPPU; Ch8 Other Product Manufacture and Use - Table 8.2</v>
      </c>
    </row>
    <row r="90" spans="2:9" x14ac:dyDescent="0.25">
      <c r="B90" s="657" t="str">
        <f>'Fatores de Emissão'!B181</f>
        <v>SF6</v>
      </c>
      <c r="C90" s="123" t="str">
        <f>'Fatores de Emissão'!C181</f>
        <v>Sealed Pressure Eletrical Equipment</v>
      </c>
      <c r="D90" s="96" t="str">
        <f>'Fatores de Emissão'!D181</f>
        <v>Lifetime</v>
      </c>
      <c r="E90" s="96" t="str">
        <f>'Fatores de Emissão'!E181</f>
        <v>&gt; 35</v>
      </c>
      <c r="F90" s="96" t="str">
        <f>'Fatores de Emissão'!F181</f>
        <v>years</v>
      </c>
      <c r="G90" s="123"/>
      <c r="H90" s="123" t="str">
        <f>'Fatores de Emissão'!H181</f>
        <v>IPCC 2006 Guidelines; Vol.3 IPPU; Ch8 Other Product Manufacture and Use - Table 8.2</v>
      </c>
    </row>
    <row r="91" spans="2:9" x14ac:dyDescent="0.25">
      <c r="B91" s="658" t="str">
        <f>'Fatores de Emissão'!B182</f>
        <v>SF6</v>
      </c>
      <c r="C91" s="125" t="str">
        <f>'Fatores de Emissão'!C182</f>
        <v>Closed Pressure Eletrical Equipment</v>
      </c>
      <c r="D91" s="124" t="str">
        <f>'Fatores de Emissão'!D182</f>
        <v>Manufacturing</v>
      </c>
      <c r="E91" s="124">
        <f>'Fatores de Emissão'!E182</f>
        <v>8.5000000000000006E-2</v>
      </c>
      <c r="F91" s="124" t="str">
        <f>'Fatores de Emissão'!F182</f>
        <v>%</v>
      </c>
      <c r="G91" s="125" t="str">
        <f>'Fatores de Emissão'!G182</f>
        <v>Fraction SF6 consumption by Manufactures</v>
      </c>
      <c r="H91" s="125" t="str">
        <f>'Fatores de Emissão'!H182</f>
        <v>IPCC 2006 Guidelines; Vol.3 IPPU; Ch8 Other Product Manufacture and Use - Table 8.3</v>
      </c>
    </row>
    <row r="92" spans="2:9" x14ac:dyDescent="0.25">
      <c r="B92" s="656" t="str">
        <f>'Fatores de Emissão'!B183</f>
        <v>SF6</v>
      </c>
      <c r="C92" s="120" t="str">
        <f>'Fatores de Emissão'!C183</f>
        <v>Closed Pressure Eletrical Equipment</v>
      </c>
      <c r="D92" s="95" t="str">
        <f>'Fatores de Emissão'!D183</f>
        <v>Operation</v>
      </c>
      <c r="E92" s="95">
        <f>'Fatores de Emissão'!E183</f>
        <v>2.5999999999999999E-2</v>
      </c>
      <c r="F92" s="95" t="str">
        <f>'Fatores de Emissão'!F183</f>
        <v>%</v>
      </c>
      <c r="G92" s="120" t="str">
        <f>'Fatores de Emissão'!G183</f>
        <v>Fraction per Year of Nameplate Capacity of All Equipment Installed</v>
      </c>
      <c r="H92" s="120" t="str">
        <f>'Fatores de Emissão'!H183</f>
        <v>IPCC 2006 Guidelines; Vol.3 IPPU; Ch8 Other Product Manufacture and Use - Table 8.3</v>
      </c>
    </row>
    <row r="93" spans="2:9" x14ac:dyDescent="0.25">
      <c r="B93" s="656" t="str">
        <f>'Fatores de Emissão'!B184</f>
        <v>SF6</v>
      </c>
      <c r="C93" s="120" t="str">
        <f>'Fatores de Emissão'!C184</f>
        <v>Closed Pressure Eletrical Equipment</v>
      </c>
      <c r="D93" s="95" t="str">
        <f>'Fatores de Emissão'!D184</f>
        <v>Disposal</v>
      </c>
      <c r="E93" s="95">
        <f>'Fatores de Emissão'!E184</f>
        <v>0.95</v>
      </c>
      <c r="F93" s="95" t="str">
        <f>'Fatores de Emissão'!F184</f>
        <v>%</v>
      </c>
      <c r="G93" s="120" t="str">
        <f>'Fatores de Emissão'!G184</f>
        <v>Fraction of charge remaining at retirement</v>
      </c>
      <c r="H93" s="120" t="str">
        <f>'Fatores de Emissão'!H184</f>
        <v>IPCC 2006 Guidelines; Vol.3 IPPU; Ch8 Other Product Manufacture and Use - Table 8.3</v>
      </c>
    </row>
    <row r="94" spans="2:9" x14ac:dyDescent="0.25">
      <c r="B94" s="657" t="str">
        <f>'Fatores de Emissão'!B185</f>
        <v>SF6</v>
      </c>
      <c r="C94" s="123" t="str">
        <f>'Fatores de Emissão'!C185</f>
        <v>Closed Pressure Eletrical Equipment</v>
      </c>
      <c r="D94" s="96" t="str">
        <f>'Fatores de Emissão'!D185</f>
        <v>Lifetime</v>
      </c>
      <c r="E94" s="96" t="str">
        <f>'Fatores de Emissão'!E185</f>
        <v>&gt; 35</v>
      </c>
      <c r="F94" s="96" t="str">
        <f>'Fatores de Emissão'!F185</f>
        <v>years</v>
      </c>
      <c r="G94" s="123"/>
      <c r="H94" s="123" t="str">
        <f>'Fatores de Emissão'!H185</f>
        <v>IPCC 2006 Guidelines; Vol.3 IPPU; Ch8 Other Product Manufacture and Use - Table 8.3</v>
      </c>
    </row>
    <row r="95" spans="2:9" x14ac:dyDescent="0.25">
      <c r="B95" s="656" t="str">
        <f>'Fatores de Emissão'!B186</f>
        <v>NF3</v>
      </c>
      <c r="C95" s="120" t="str">
        <f>'Fatores de Emissão'!C186</f>
        <v>Semiconductors</v>
      </c>
      <c r="D95" s="95" t="str">
        <f>'Fatores de Emissão'!D186</f>
        <v>Manufacturing</v>
      </c>
      <c r="E95" s="95">
        <f>'Fatores de Emissão'!E186</f>
        <v>0.04</v>
      </c>
      <c r="F95" s="95" t="str">
        <f>'Fatores de Emissão'!F186</f>
        <v>kg/m2</v>
      </c>
      <c r="G95" s="120" t="str">
        <f>'Fatores de Emissão'!G186</f>
        <v>Mass per Unit Area of Substrate Processed</v>
      </c>
      <c r="H95" s="120" t="str">
        <f>'Fatores de Emissão'!H186</f>
        <v>IPCC 2006 Guidelines; Vol.3 IPPU; Ch6 Electronics Industry - Table 6.2</v>
      </c>
    </row>
    <row r="96" spans="2:9" x14ac:dyDescent="0.25">
      <c r="B96" s="657" t="str">
        <f>'Fatores de Emissão'!B187</f>
        <v>SF6</v>
      </c>
      <c r="C96" s="123" t="str">
        <f>'Fatores de Emissão'!C187</f>
        <v>Semiconductors</v>
      </c>
      <c r="D96" s="96" t="str">
        <f>'Fatores de Emissão'!D187</f>
        <v>Manufacturing</v>
      </c>
      <c r="E96" s="96">
        <f>'Fatores de Emissão'!E187</f>
        <v>0.2</v>
      </c>
      <c r="F96" s="96" t="str">
        <f>'Fatores de Emissão'!F187</f>
        <v>kg/m2</v>
      </c>
      <c r="G96" s="123" t="str">
        <f>'Fatores de Emissão'!G187</f>
        <v>Mass per Unit Area of Substrate Processed</v>
      </c>
      <c r="H96" s="123" t="str">
        <f>'Fatores de Emissão'!H187</f>
        <v>IPCC 2006 Guidelines; Vol.3 IPPU; Ch6 Electronics Industry - Table 6.2</v>
      </c>
      <c r="I96" s="126"/>
    </row>
    <row r="97" spans="2:8" x14ac:dyDescent="0.25">
      <c r="B97" s="656" t="str">
        <f>'Fatores de Emissão'!B188</f>
        <v>NF3</v>
      </c>
      <c r="C97" s="120" t="str">
        <f>'Fatores de Emissão'!C188</f>
        <v>TFT-FPDs</v>
      </c>
      <c r="D97" s="95" t="str">
        <f>'Fatores de Emissão'!D188</f>
        <v>Manufacturing</v>
      </c>
      <c r="E97" s="95">
        <f>'Fatores de Emissão'!E188</f>
        <v>0.9</v>
      </c>
      <c r="F97" s="95" t="str">
        <f>'Fatores de Emissão'!F188</f>
        <v>g/m2</v>
      </c>
      <c r="G97" s="120" t="str">
        <f>'Fatores de Emissão'!G188</f>
        <v>Mass per Unit Area of Substrate Processed</v>
      </c>
      <c r="H97" s="120" t="str">
        <f>'Fatores de Emissão'!H188</f>
        <v>IPCC 2006 Guidelines; Vol.3 IPPU; Ch6 Electronics Industry - Table 6.2</v>
      </c>
    </row>
    <row r="98" spans="2:8" x14ac:dyDescent="0.25">
      <c r="B98" s="656" t="str">
        <f>'Fatores de Emissão'!B189</f>
        <v>SF6</v>
      </c>
      <c r="C98" s="120" t="str">
        <f>'Fatores de Emissão'!C189</f>
        <v>TFT-FPDs</v>
      </c>
      <c r="D98" s="95" t="str">
        <f>'Fatores de Emissão'!D189</f>
        <v>Manufacturing</v>
      </c>
      <c r="E98" s="95">
        <f>'Fatores de Emissão'!E189</f>
        <v>4</v>
      </c>
      <c r="F98" s="95" t="str">
        <f>'Fatores de Emissão'!F189</f>
        <v>g/m2</v>
      </c>
      <c r="G98" s="120" t="str">
        <f>'Fatores de Emissão'!G189</f>
        <v>Mass per Unit Area of Substrate Processed</v>
      </c>
      <c r="H98" s="120" t="str">
        <f>'Fatores de Emissão'!H189</f>
        <v>IPCC 2006 Guidelines; Vol.3 IPPU; Ch6 Electronics Industry - Table 6.2</v>
      </c>
    </row>
    <row r="99" spans="2:8" x14ac:dyDescent="0.25">
      <c r="B99" s="95" t="str">
        <f>'Fatores de Emissão'!B190</f>
        <v>CO2</v>
      </c>
      <c r="C99" s="95" t="str">
        <f>'Fatores de Emissão'!C190</f>
        <v>Fugitive Emissions from Natural Gas</v>
      </c>
      <c r="D99" s="95" t="str">
        <f>'Fatores de Emissão'!D190</f>
        <v>Transmission</v>
      </c>
      <c r="E99" s="95">
        <f>'Fatores de Emissão'!E190</f>
        <v>3.98E-6</v>
      </c>
      <c r="F99" s="95" t="str">
        <f>'Fatores de Emissão'!F190</f>
        <v>kg CO2/m3 gas</v>
      </c>
      <c r="G99" s="120"/>
      <c r="H99" s="120" t="str">
        <f>'Fatores de Emissão'!H190</f>
        <v>IPCC 2006 Guidelines; Vol.2 Energy; Ch4 Fugitive Emissions - Table 4.2.4</v>
      </c>
    </row>
    <row r="100" spans="2:8" x14ac:dyDescent="0.25">
      <c r="B100" s="95" t="str">
        <f>'Fatores de Emissão'!B191</f>
        <v>CH4</v>
      </c>
      <c r="C100" s="95" t="str">
        <f>'Fatores de Emissão'!C191</f>
        <v>Fugitive Emissions from Natural Gas</v>
      </c>
      <c r="D100" s="95" t="str">
        <f>'Fatores de Emissão'!D191</f>
        <v>Transmission</v>
      </c>
      <c r="E100" s="95">
        <f>'Fatores de Emissão'!E191</f>
        <v>4.5499999999999995E-4</v>
      </c>
      <c r="F100" s="95" t="str">
        <f>'Fatores de Emissão'!F191</f>
        <v>kg CH4/m3 gas</v>
      </c>
      <c r="G100" s="120"/>
      <c r="H100" s="120" t="str">
        <f>'Fatores de Emissão'!H191</f>
        <v>IPCC 2006 Guidelines; Vol.2 Energy; Ch4 Fugitive Emissions - Table 4.2.4</v>
      </c>
    </row>
    <row r="101" spans="2:8" x14ac:dyDescent="0.25">
      <c r="B101" s="95" t="str">
        <f>'Fatores de Emissão'!B192</f>
        <v>N2O</v>
      </c>
      <c r="C101" s="95" t="str">
        <f>'Fatores de Emissão'!C192</f>
        <v>Fugitive Emissions from Natural Gas</v>
      </c>
      <c r="D101" s="95" t="str">
        <f>'Fatores de Emissão'!D192</f>
        <v>Transmission</v>
      </c>
      <c r="E101" s="95" t="str">
        <f>'Fatores de Emissão'!E192</f>
        <v>-</v>
      </c>
      <c r="F101" s="95" t="str">
        <f>'Fatores de Emissão'!F192</f>
        <v>kg N2O/m3 gas</v>
      </c>
      <c r="G101" s="120"/>
      <c r="H101" s="120" t="str">
        <f>'Fatores de Emissão'!H192</f>
        <v>IPCC 2006 Guidelines; Vol.2 Energy; Ch4 Fugitive Emissions - Table 4.2.4</v>
      </c>
    </row>
    <row r="102" spans="2:8" ht="15.75" thickBot="1" x14ac:dyDescent="0.3">
      <c r="B102" s="97" t="str">
        <f>'Fatores de Emissão'!B193</f>
        <v>GHGs</v>
      </c>
      <c r="C102" s="97" t="str">
        <f>'Fatores de Emissão'!C193</f>
        <v>Fugitive Emissions from Natural Gas</v>
      </c>
      <c r="D102" s="97" t="str">
        <f>'Fatores de Emissão'!D193</f>
        <v>Transmission</v>
      </c>
      <c r="E102" s="97">
        <f>'Fatores de Emissão'!E193</f>
        <v>1.2743979999999999E-2</v>
      </c>
      <c r="F102" s="97" t="str">
        <f>'Fatores de Emissão'!F193</f>
        <v>kg CO2 eq./m3 gas</v>
      </c>
      <c r="G102" s="127"/>
      <c r="H102" s="127"/>
    </row>
    <row r="103" spans="2:8" ht="15.75" thickTop="1" x14ac:dyDescent="0.25">
      <c r="B103" s="95" t="str">
        <f>'Fatores de Emissão'!B194</f>
        <v>CO2</v>
      </c>
      <c r="C103" s="95" t="str">
        <f>'Fatores de Emissão'!C194</f>
        <v>Fugitive Emissions from Natural Gas</v>
      </c>
      <c r="D103" s="95" t="str">
        <f>'Fatores de Emissão'!D194</f>
        <v>Storage</v>
      </c>
      <c r="E103" s="95">
        <f>'Fatores de Emissão'!E194</f>
        <v>1.1000000000000001E-7</v>
      </c>
      <c r="F103" s="95" t="str">
        <f>'Fatores de Emissão'!F194</f>
        <v>kg CO2/m3 gas</v>
      </c>
      <c r="G103" s="120"/>
      <c r="H103" s="120" t="str">
        <f>'Fatores de Emissão'!H194</f>
        <v>IPCC 2006 Guidelines; Vol.2 Energy; Ch4 Fugitive Emissions - Table 4.2.4</v>
      </c>
    </row>
    <row r="104" spans="2:8" x14ac:dyDescent="0.25">
      <c r="B104" s="95" t="str">
        <f>'Fatores de Emissão'!B195</f>
        <v>CH4</v>
      </c>
      <c r="C104" s="95" t="str">
        <f>'Fatores de Emissão'!C195</f>
        <v>Fugitive Emissions from Natural Gas</v>
      </c>
      <c r="D104" s="95" t="str">
        <f>'Fatores de Emissão'!D195</f>
        <v>Storage</v>
      </c>
      <c r="E104" s="95">
        <f>'Fatores de Emissão'!E195</f>
        <v>2.5000000000000001E-5</v>
      </c>
      <c r="F104" s="95" t="str">
        <f>'Fatores de Emissão'!F195</f>
        <v>kg CH4/m3 gas</v>
      </c>
      <c r="G104" s="120"/>
      <c r="H104" s="120" t="str">
        <f>'Fatores de Emissão'!H195</f>
        <v>IPCC 2006 Guidelines; Vol.2 Energy; Ch4 Fugitive Emissions - Table 4.2.4</v>
      </c>
    </row>
    <row r="105" spans="2:8" x14ac:dyDescent="0.25">
      <c r="B105" s="95" t="str">
        <f>'Fatores de Emissão'!B196</f>
        <v>N2O</v>
      </c>
      <c r="C105" s="95" t="str">
        <f>'Fatores de Emissão'!C196</f>
        <v>Fugitive Emissions from Natural Gas</v>
      </c>
      <c r="D105" s="95" t="str">
        <f>'Fatores de Emissão'!D196</f>
        <v>Storage</v>
      </c>
      <c r="E105" s="95" t="str">
        <f>'Fatores de Emissão'!E196</f>
        <v>-</v>
      </c>
      <c r="F105" s="95" t="str">
        <f>'Fatores de Emissão'!F196</f>
        <v>kg N2O/m3 gas</v>
      </c>
      <c r="G105" s="120"/>
      <c r="H105" s="120" t="str">
        <f>'Fatores de Emissão'!H196</f>
        <v>IPCC 2006 Guidelines; Vol.2 Energy; Ch4 Fugitive Emissions - Table 4.2.4</v>
      </c>
    </row>
    <row r="106" spans="2:8" ht="15.75" thickBot="1" x14ac:dyDescent="0.3">
      <c r="B106" s="97" t="str">
        <f>'Fatores de Emissão'!B197</f>
        <v>GHGs</v>
      </c>
      <c r="C106" s="97" t="str">
        <f>'Fatores de Emissão'!C197</f>
        <v>Fugitive Emissions from Natural Gas</v>
      </c>
      <c r="D106" s="97" t="str">
        <f>'Fatores de Emissão'!D197</f>
        <v>Storage</v>
      </c>
      <c r="E106" s="97">
        <f>'Fatores de Emissão'!E197</f>
        <v>7.0010999999999999E-4</v>
      </c>
      <c r="F106" s="97" t="str">
        <f>'Fatores de Emissão'!F197</f>
        <v>kg CO2 eq./m3 gas</v>
      </c>
      <c r="G106" s="127"/>
      <c r="H106" s="127"/>
    </row>
    <row r="107" spans="2:8" ht="15.75" thickTop="1" x14ac:dyDescent="0.25">
      <c r="B107" s="95" t="str">
        <f>'Fatores de Emissão'!B198</f>
        <v>CO2</v>
      </c>
      <c r="C107" s="95" t="str">
        <f>'Fatores de Emissão'!C198</f>
        <v>Fugitive Emissions from Natural Gas</v>
      </c>
      <c r="D107" s="95" t="str">
        <f>'Fatores de Emissão'!D198</f>
        <v>Distribution</v>
      </c>
      <c r="E107" s="95">
        <f>'Fatores de Emissão'!E198</f>
        <v>5.1E-5</v>
      </c>
      <c r="F107" s="95" t="str">
        <f>'Fatores de Emissão'!F198</f>
        <v>kg CO2/m3 gas</v>
      </c>
      <c r="G107" s="120"/>
      <c r="H107" s="120" t="str">
        <f>'Fatores de Emissão'!H198</f>
        <v>IPCC 2006 Guidelines; Vol.2 Energy; Ch4 Fugitive Emissions - Table 4.2.4</v>
      </c>
    </row>
    <row r="108" spans="2:8" x14ac:dyDescent="0.25">
      <c r="B108" s="95" t="str">
        <f>'Fatores de Emissão'!B199</f>
        <v>CH4</v>
      </c>
      <c r="C108" s="95" t="str">
        <f>'Fatores de Emissão'!C199</f>
        <v>Fugitive Emissions from Natural Gas</v>
      </c>
      <c r="D108" s="95" t="str">
        <f>'Fatores de Emissão'!D199</f>
        <v>Distribution</v>
      </c>
      <c r="E108" s="95">
        <f>'Fatores de Emissão'!E199</f>
        <v>1.2999999999999999E-3</v>
      </c>
      <c r="F108" s="95" t="str">
        <f>'Fatores de Emissão'!F199</f>
        <v>kg CH4/m3 gas</v>
      </c>
      <c r="G108" s="120"/>
      <c r="H108" s="120" t="str">
        <f>'Fatores de Emissão'!H199</f>
        <v>IPCC 2006 Guidelines; Vol.2 Energy; Ch4 Fugitive Emissions - Table 4.2.4</v>
      </c>
    </row>
    <row r="109" spans="2:8" x14ac:dyDescent="0.25">
      <c r="B109" s="95" t="str">
        <f>'Fatores de Emissão'!B200</f>
        <v>N2O</v>
      </c>
      <c r="C109" s="95" t="str">
        <f>'Fatores de Emissão'!C200</f>
        <v>Fugitive Emissions from Natural Gas</v>
      </c>
      <c r="D109" s="95" t="str">
        <f>'Fatores de Emissão'!D200</f>
        <v>Distribution</v>
      </c>
      <c r="E109" s="95" t="str">
        <f>'Fatores de Emissão'!E200</f>
        <v>-</v>
      </c>
      <c r="F109" s="95" t="str">
        <f>'Fatores de Emissão'!F200</f>
        <v>kg N2O/m3 gas</v>
      </c>
      <c r="G109" s="120"/>
      <c r="H109" s="120" t="str">
        <f>'Fatores de Emissão'!H200</f>
        <v>IPCC 2006 Guidelines; Vol.2 Energy; Ch4 Fugitive Emissions - Table 4.2.4</v>
      </c>
    </row>
    <row r="110" spans="2:8" ht="15.75" thickBot="1" x14ac:dyDescent="0.3">
      <c r="B110" s="97" t="str">
        <f>'Fatores de Emissão'!B201</f>
        <v>GHGs</v>
      </c>
      <c r="C110" s="97" t="str">
        <f>'Fatores de Emissão'!C201</f>
        <v>Fugitive Emissions from Natural Gas</v>
      </c>
      <c r="D110" s="97" t="str">
        <f>'Fatores de Emissão'!D201</f>
        <v>Distribution</v>
      </c>
      <c r="E110" s="97">
        <f>'Fatores de Emissão'!E201</f>
        <v>3.6451000000000004E-2</v>
      </c>
      <c r="F110" s="97" t="str">
        <f>'Fatores de Emissão'!F201</f>
        <v>kg CO2 eq./m3 gas</v>
      </c>
      <c r="G110" s="127"/>
      <c r="H110" s="127"/>
    </row>
    <row r="111" spans="2:8" ht="15.75" thickTop="1" x14ac:dyDescent="0.25"/>
    <row r="113" spans="2:24" x14ac:dyDescent="0.25">
      <c r="B113" s="98" t="s">
        <v>736</v>
      </c>
      <c r="C113" s="99"/>
      <c r="D113" s="99"/>
      <c r="E113" s="99"/>
      <c r="F113" s="99"/>
      <c r="G113" s="99"/>
      <c r="H113" s="99"/>
      <c r="I113" s="99"/>
      <c r="J113" s="99"/>
      <c r="K113" s="99"/>
      <c r="L113" s="99"/>
    </row>
    <row r="115" spans="2:24" x14ac:dyDescent="0.25">
      <c r="B115" s="100" t="s">
        <v>550</v>
      </c>
      <c r="C115" s="104" t="s">
        <v>737</v>
      </c>
      <c r="D115" s="102" t="s">
        <v>738</v>
      </c>
      <c r="E115" s="105"/>
      <c r="F115" s="105"/>
      <c r="G115" s="100" t="s">
        <v>739</v>
      </c>
      <c r="H115" s="102" t="s">
        <v>740</v>
      </c>
      <c r="I115" s="105"/>
      <c r="J115" s="100" t="s">
        <v>654</v>
      </c>
      <c r="K115" s="102" t="s">
        <v>743</v>
      </c>
      <c r="L115" s="105"/>
      <c r="M115" s="103"/>
      <c r="N115" s="108" t="str">
        <f>"Emissões de "&amp;B66&amp;" ou "&amp;B67</f>
        <v>Emissões de Equipamento elétrico de pressão, selado ou Equipamento elétrico de pressão, fechado</v>
      </c>
      <c r="O115" s="1408" t="s">
        <v>748</v>
      </c>
      <c r="P115" s="1409"/>
      <c r="Q115" s="1410" t="str">
        <f>B69</f>
        <v>Produção de TFT-FPDs</v>
      </c>
      <c r="R115" s="1410"/>
      <c r="S115" t="str">
        <f>B72</f>
        <v>Gás natural - transmissão</v>
      </c>
      <c r="T115" t="str">
        <f>B73</f>
        <v>Gás natural - distribuição</v>
      </c>
      <c r="U115" t="str">
        <f>B74</f>
        <v>Gás natural - armazenamento</v>
      </c>
      <c r="V115" s="86" t="s">
        <v>741</v>
      </c>
      <c r="W115" s="86" t="s">
        <v>230</v>
      </c>
      <c r="X115" s="86" t="s">
        <v>742</v>
      </c>
    </row>
    <row r="116" spans="2:24" x14ac:dyDescent="0.25">
      <c r="B116" s="106"/>
      <c r="C116" s="106"/>
      <c r="D116" s="86" t="s">
        <v>675</v>
      </c>
      <c r="E116" s="86" t="s">
        <v>230</v>
      </c>
      <c r="F116" s="86" t="s">
        <v>513</v>
      </c>
      <c r="G116" s="106"/>
      <c r="H116" s="86" t="s">
        <v>673</v>
      </c>
      <c r="I116" s="86" t="s">
        <v>199</v>
      </c>
      <c r="J116" s="101"/>
      <c r="K116" s="109" t="s">
        <v>744</v>
      </c>
      <c r="L116" s="86" t="s">
        <v>745</v>
      </c>
      <c r="M116" s="110" t="s">
        <v>746</v>
      </c>
      <c r="N116" s="111" t="s">
        <v>747</v>
      </c>
      <c r="O116" s="111" t="s">
        <v>749</v>
      </c>
      <c r="P116" s="86" t="s">
        <v>750</v>
      </c>
      <c r="Q116" s="82" t="str">
        <f>O116</f>
        <v>SF6 (kg CO2e)</v>
      </c>
      <c r="R116" s="82" t="str">
        <f>P116</f>
        <v>NF3 (kg CO2e)</v>
      </c>
      <c r="S116" s="106" t="s">
        <v>757</v>
      </c>
    </row>
    <row r="117" spans="2:24" x14ac:dyDescent="0.25">
      <c r="B117" s="107" t="e">
        <f>'Emissões Fugitivas'!#REF!</f>
        <v>#REF!</v>
      </c>
      <c r="C117" s="107">
        <f>'Emissões Fugitivas'!B73</f>
        <v>0</v>
      </c>
      <c r="D117" s="107">
        <f>'Emissões Fugitivas'!C73</f>
        <v>0</v>
      </c>
      <c r="E117" s="107">
        <f>'Emissões Fugitivas'!D73</f>
        <v>0</v>
      </c>
      <c r="F117" s="107" t="str">
        <f>'Emissões Fugitivas'!E73</f>
        <v/>
      </c>
      <c r="G117" s="107" t="e">
        <f>'Emissões Fugitivas'!#REF!</f>
        <v>#REF!</v>
      </c>
      <c r="H117" s="107">
        <f>'Emissões Fugitivas'!G73</f>
        <v>0</v>
      </c>
      <c r="I117" s="107" t="str">
        <f>'Emissões Fugitivas'!H73</f>
        <v/>
      </c>
      <c r="J117" s="22" t="e">
        <f>IF(VLOOKUP(B117,Identificação!#REF!,3,FALSE)="",2,VLOOKUP(B117,Identificação!#REF!,3,FALSE))</f>
        <v>#REF!</v>
      </c>
      <c r="K117" s="22" t="str">
        <f t="shared" ref="K117:K148" si="7">IF(C117=$B$66,$E$87,IF(C117=$B$67,$E$91,""))</f>
        <v/>
      </c>
      <c r="L117" s="22" t="str">
        <f t="shared" ref="L117:L148" si="8">IF(C117=$B$66,$E$88,IF(C117=$B$67,$E$92,""))</f>
        <v/>
      </c>
      <c r="M117" s="22" t="str">
        <f t="shared" ref="M117:M148" si="9">IF(C117=$B$66,$E$89,IF(C117=$B$67,$E$93,""))</f>
        <v/>
      </c>
      <c r="N117" s="112" t="str">
        <f>IFERROR(L117*H117+(K117+M117)*H117/J117,"")</f>
        <v/>
      </c>
      <c r="O117" s="112" t="str">
        <f>IF(C117=$B$68,$E$96*H117*'Fatores de Emissão'!$E$260,"")</f>
        <v/>
      </c>
      <c r="P117" s="112" t="str">
        <f>IF(C117=$B$68,$E$95*H117*'Fatores de Emissão'!$E$261,"")</f>
        <v/>
      </c>
      <c r="Q117" s="112" t="str">
        <f>IF(C117=$B$69,$E$98*H117*'Fatores de Emissão'!$E$260/1000,"")</f>
        <v/>
      </c>
      <c r="R117" s="112" t="str">
        <f>IF(C117=$B$69,$E$97*H117*'Fatores de Emissão'!$E$261/1000,"")</f>
        <v/>
      </c>
      <c r="S117" s="113" t="str">
        <f t="shared" ref="S117:S148" si="10">IF($C117=S$115,$E$102*$H117,"")</f>
        <v/>
      </c>
      <c r="T117" s="113" t="str">
        <f t="shared" ref="T117:T148" si="11">IF($C117=T$115,$E$110*$H117,"")</f>
        <v/>
      </c>
      <c r="U117" s="113" t="str">
        <f t="shared" ref="U117:U148" si="12">IF($C117=U$115,$E$106*$H117,"")</f>
        <v/>
      </c>
      <c r="V117" s="22" t="str">
        <f>IF(H117&gt;0,H117,"")</f>
        <v/>
      </c>
      <c r="W117" s="22" t="e">
        <f t="shared" ref="W117:W148" si="13">IF(VLOOKUP(C117,$B$59:$D$80,3,FALSE)="",E117,VLOOKUP(C117,$B$59:$D$80,3,FALSE))</f>
        <v>#N/A</v>
      </c>
      <c r="X117" s="22" t="e">
        <f>IF(W117=0,SUM(N117:U117),V117*W117)</f>
        <v>#N/A</v>
      </c>
    </row>
    <row r="118" spans="2:24" x14ac:dyDescent="0.25">
      <c r="B118" s="107" t="e">
        <f>'Emissões Fugitivas'!#REF!</f>
        <v>#REF!</v>
      </c>
      <c r="C118" s="107">
        <f>'Emissões Fugitivas'!B74</f>
        <v>0</v>
      </c>
      <c r="D118" s="107">
        <f>'Emissões Fugitivas'!C74</f>
        <v>0</v>
      </c>
      <c r="E118" s="107">
        <f>'Emissões Fugitivas'!D74</f>
        <v>0</v>
      </c>
      <c r="F118" s="107" t="str">
        <f>'Emissões Fugitivas'!E74</f>
        <v/>
      </c>
      <c r="G118" s="107" t="e">
        <f>'Emissões Fugitivas'!#REF!</f>
        <v>#REF!</v>
      </c>
      <c r="H118" s="107">
        <f>'Emissões Fugitivas'!G74</f>
        <v>0</v>
      </c>
      <c r="I118" s="107" t="str">
        <f>'Emissões Fugitivas'!H74</f>
        <v/>
      </c>
      <c r="J118" s="22" t="e">
        <f>IF(VLOOKUP(B118,Identificação!#REF!,3,FALSE)="",2,VLOOKUP(B118,Identificação!#REF!,3,FALSE))</f>
        <v>#REF!</v>
      </c>
      <c r="K118" s="22" t="str">
        <f t="shared" si="7"/>
        <v/>
      </c>
      <c r="L118" s="22" t="str">
        <f t="shared" si="8"/>
        <v/>
      </c>
      <c r="M118" s="22" t="str">
        <f t="shared" si="9"/>
        <v/>
      </c>
      <c r="N118" s="112" t="str">
        <f t="shared" ref="N118:N127" si="14">IFERROR(L118*H118+(K118+M118)*H118/J118,"")</f>
        <v/>
      </c>
      <c r="O118" s="112" t="str">
        <f>IF(C118=$B$68,$E$96*H118*'Fatores de Emissão'!$E$260,"")</f>
        <v/>
      </c>
      <c r="P118" s="112" t="str">
        <f>IF(C118=$B$68,$E$95*H118*'Fatores de Emissão'!$E$261,"")</f>
        <v/>
      </c>
      <c r="Q118" s="112" t="str">
        <f>IF(C118=$B$69,$E$98*H118*'Fatores de Emissão'!$E$260/1000,"")</f>
        <v/>
      </c>
      <c r="R118" s="112" t="str">
        <f>IF(C118=$B$69,$E$97*H118*'Fatores de Emissão'!$E$261/1000,"")</f>
        <v/>
      </c>
      <c r="S118" s="113" t="str">
        <f t="shared" si="10"/>
        <v/>
      </c>
      <c r="T118" s="113" t="str">
        <f t="shared" si="11"/>
        <v/>
      </c>
      <c r="U118" s="113" t="str">
        <f t="shared" si="12"/>
        <v/>
      </c>
      <c r="V118" s="22" t="str">
        <f t="shared" ref="V118:V181" si="15">IF(H118&gt;0,H118,"")</f>
        <v/>
      </c>
      <c r="W118" s="22" t="e">
        <f t="shared" si="13"/>
        <v>#N/A</v>
      </c>
      <c r="X118" s="22" t="e">
        <f t="shared" ref="X118:X181" si="16">IF(W118=0,SUM(N118:U118),V118*W118)</f>
        <v>#N/A</v>
      </c>
    </row>
    <row r="119" spans="2:24" x14ac:dyDescent="0.25">
      <c r="B119" s="107" t="e">
        <f>'Emissões Fugitivas'!#REF!</f>
        <v>#REF!</v>
      </c>
      <c r="C119" s="107">
        <f>'Emissões Fugitivas'!B75</f>
        <v>0</v>
      </c>
      <c r="D119" s="107">
        <f>'Emissões Fugitivas'!C75</f>
        <v>0</v>
      </c>
      <c r="E119" s="107">
        <f>'Emissões Fugitivas'!D75</f>
        <v>0</v>
      </c>
      <c r="F119" s="107" t="str">
        <f>'Emissões Fugitivas'!E75</f>
        <v/>
      </c>
      <c r="G119" s="107" t="e">
        <f>'Emissões Fugitivas'!#REF!</f>
        <v>#REF!</v>
      </c>
      <c r="H119" s="107">
        <f>'Emissões Fugitivas'!G75</f>
        <v>0</v>
      </c>
      <c r="I119" s="107" t="str">
        <f>'Emissões Fugitivas'!H75</f>
        <v/>
      </c>
      <c r="J119" s="22" t="e">
        <f>IF(VLOOKUP(B119,Identificação!#REF!,3,FALSE)="",2,VLOOKUP(B119,Identificação!#REF!,3,FALSE))</f>
        <v>#REF!</v>
      </c>
      <c r="K119" s="22" t="str">
        <f t="shared" si="7"/>
        <v/>
      </c>
      <c r="L119" s="22" t="str">
        <f t="shared" si="8"/>
        <v/>
      </c>
      <c r="M119" s="22" t="str">
        <f t="shared" si="9"/>
        <v/>
      </c>
      <c r="N119" s="112" t="str">
        <f t="shared" si="14"/>
        <v/>
      </c>
      <c r="O119" s="112" t="str">
        <f>IF(C119=$B$68,$E$96*H119*'Fatores de Emissão'!$E$260,"")</f>
        <v/>
      </c>
      <c r="P119" s="112" t="str">
        <f>IF(C119=$B$68,$E$95*H119*'Fatores de Emissão'!$E$261,"")</f>
        <v/>
      </c>
      <c r="Q119" s="112" t="str">
        <f>IF(C119=$B$69,$E$98*H119*'Fatores de Emissão'!$E$260/1000,"")</f>
        <v/>
      </c>
      <c r="R119" s="112" t="str">
        <f>IF(C119=$B$69,$E$97*H119*'Fatores de Emissão'!$E$261/1000,"")</f>
        <v/>
      </c>
      <c r="S119" s="113" t="str">
        <f t="shared" si="10"/>
        <v/>
      </c>
      <c r="T119" s="113" t="str">
        <f t="shared" si="11"/>
        <v/>
      </c>
      <c r="U119" s="113" t="str">
        <f t="shared" si="12"/>
        <v/>
      </c>
      <c r="V119" s="22" t="str">
        <f t="shared" si="15"/>
        <v/>
      </c>
      <c r="W119" s="22" t="e">
        <f t="shared" si="13"/>
        <v>#N/A</v>
      </c>
      <c r="X119" s="22" t="e">
        <f t="shared" si="16"/>
        <v>#N/A</v>
      </c>
    </row>
    <row r="120" spans="2:24" x14ac:dyDescent="0.25">
      <c r="B120" s="107" t="e">
        <f>'Emissões Fugitivas'!#REF!</f>
        <v>#REF!</v>
      </c>
      <c r="C120" s="107">
        <f>'Emissões Fugitivas'!B76</f>
        <v>0</v>
      </c>
      <c r="D120" s="107">
        <f>'Emissões Fugitivas'!C76</f>
        <v>0</v>
      </c>
      <c r="E120" s="107">
        <f>'Emissões Fugitivas'!D76</f>
        <v>0</v>
      </c>
      <c r="F120" s="107" t="str">
        <f>'Emissões Fugitivas'!E76</f>
        <v/>
      </c>
      <c r="G120" s="107" t="e">
        <f>'Emissões Fugitivas'!#REF!</f>
        <v>#REF!</v>
      </c>
      <c r="H120" s="107">
        <f>'Emissões Fugitivas'!G76</f>
        <v>0</v>
      </c>
      <c r="I120" s="107" t="str">
        <f>'Emissões Fugitivas'!H76</f>
        <v/>
      </c>
      <c r="J120" s="22" t="e">
        <f>IF(VLOOKUP(B120,Identificação!#REF!,3,FALSE)="",2,VLOOKUP(B120,Identificação!#REF!,3,FALSE))</f>
        <v>#REF!</v>
      </c>
      <c r="K120" s="22" t="str">
        <f t="shared" si="7"/>
        <v/>
      </c>
      <c r="L120" s="22" t="str">
        <f t="shared" si="8"/>
        <v/>
      </c>
      <c r="M120" s="22" t="str">
        <f t="shared" si="9"/>
        <v/>
      </c>
      <c r="N120" s="112" t="str">
        <f t="shared" si="14"/>
        <v/>
      </c>
      <c r="O120" s="112" t="str">
        <f>IF(C120=$B$68,$E$96*H120*'Fatores de Emissão'!$E$260,"")</f>
        <v/>
      </c>
      <c r="P120" s="112" t="str">
        <f>IF(C120=$B$68,$E$95*H120*'Fatores de Emissão'!$E$261,"")</f>
        <v/>
      </c>
      <c r="Q120" s="112" t="str">
        <f>IF(C120=$B$69,$E$98*H120*'Fatores de Emissão'!$E$260/1000,"")</f>
        <v/>
      </c>
      <c r="R120" s="112" t="str">
        <f>IF(C120=$B$69,$E$97*H120*'Fatores de Emissão'!$E$261/1000,"")</f>
        <v/>
      </c>
      <c r="S120" s="113" t="str">
        <f t="shared" si="10"/>
        <v/>
      </c>
      <c r="T120" s="113" t="str">
        <f t="shared" si="11"/>
        <v/>
      </c>
      <c r="U120" s="113" t="str">
        <f t="shared" si="12"/>
        <v/>
      </c>
      <c r="V120" s="22" t="str">
        <f t="shared" si="15"/>
        <v/>
      </c>
      <c r="W120" s="22" t="e">
        <f t="shared" si="13"/>
        <v>#N/A</v>
      </c>
      <c r="X120" s="22" t="e">
        <f t="shared" si="16"/>
        <v>#N/A</v>
      </c>
    </row>
    <row r="121" spans="2:24" x14ac:dyDescent="0.25">
      <c r="B121" s="107" t="e">
        <f>'Emissões Fugitivas'!#REF!</f>
        <v>#REF!</v>
      </c>
      <c r="C121" s="107">
        <f>'Emissões Fugitivas'!B77</f>
        <v>0</v>
      </c>
      <c r="D121" s="107">
        <f>'Emissões Fugitivas'!C77</f>
        <v>0</v>
      </c>
      <c r="E121" s="107">
        <f>'Emissões Fugitivas'!D77</f>
        <v>0</v>
      </c>
      <c r="F121" s="107" t="str">
        <f>'Emissões Fugitivas'!E77</f>
        <v/>
      </c>
      <c r="G121" s="107" t="e">
        <f>'Emissões Fugitivas'!#REF!</f>
        <v>#REF!</v>
      </c>
      <c r="H121" s="107">
        <f>'Emissões Fugitivas'!G77</f>
        <v>0</v>
      </c>
      <c r="I121" s="107" t="str">
        <f>'Emissões Fugitivas'!H77</f>
        <v/>
      </c>
      <c r="J121" s="22" t="e">
        <f>IF(VLOOKUP(B121,Identificação!#REF!,3,FALSE)="",2,VLOOKUP(B121,Identificação!#REF!,3,FALSE))</f>
        <v>#REF!</v>
      </c>
      <c r="K121" s="22" t="str">
        <f t="shared" si="7"/>
        <v/>
      </c>
      <c r="L121" s="22" t="str">
        <f t="shared" si="8"/>
        <v/>
      </c>
      <c r="M121" s="22" t="str">
        <f t="shared" si="9"/>
        <v/>
      </c>
      <c r="N121" s="112" t="str">
        <f t="shared" si="14"/>
        <v/>
      </c>
      <c r="O121" s="112" t="str">
        <f>IF(C121=$B$68,$E$96*H121*'Fatores de Emissão'!$E$260,"")</f>
        <v/>
      </c>
      <c r="P121" s="112" t="str">
        <f>IF(C121=$B$68,$E$95*H121*'Fatores de Emissão'!$E$261,"")</f>
        <v/>
      </c>
      <c r="Q121" s="112" t="str">
        <f>IF(C121=$B$69,$E$98*H121*'Fatores de Emissão'!$E$260/1000,"")</f>
        <v/>
      </c>
      <c r="R121" s="112" t="str">
        <f>IF(C121=$B$69,$E$97*H121*'Fatores de Emissão'!$E$261/1000,"")</f>
        <v/>
      </c>
      <c r="S121" s="113" t="str">
        <f t="shared" si="10"/>
        <v/>
      </c>
      <c r="T121" s="113" t="str">
        <f t="shared" si="11"/>
        <v/>
      </c>
      <c r="U121" s="113" t="str">
        <f t="shared" si="12"/>
        <v/>
      </c>
      <c r="V121" s="22" t="str">
        <f t="shared" si="15"/>
        <v/>
      </c>
      <c r="W121" s="22" t="e">
        <f t="shared" si="13"/>
        <v>#N/A</v>
      </c>
      <c r="X121" s="22" t="e">
        <f t="shared" si="16"/>
        <v>#N/A</v>
      </c>
    </row>
    <row r="122" spans="2:24" x14ac:dyDescent="0.25">
      <c r="B122" s="107" t="e">
        <f>'Emissões Fugitivas'!#REF!</f>
        <v>#REF!</v>
      </c>
      <c r="C122" s="107">
        <f>'Emissões Fugitivas'!B78</f>
        <v>0</v>
      </c>
      <c r="D122" s="107">
        <f>'Emissões Fugitivas'!C78</f>
        <v>0</v>
      </c>
      <c r="E122" s="107">
        <f>'Emissões Fugitivas'!D78</f>
        <v>0</v>
      </c>
      <c r="F122" s="107" t="str">
        <f>'Emissões Fugitivas'!E78</f>
        <v/>
      </c>
      <c r="G122" s="107" t="e">
        <f>'Emissões Fugitivas'!#REF!</f>
        <v>#REF!</v>
      </c>
      <c r="H122" s="107">
        <f>'Emissões Fugitivas'!G78</f>
        <v>0</v>
      </c>
      <c r="I122" s="107" t="str">
        <f>'Emissões Fugitivas'!H78</f>
        <v/>
      </c>
      <c r="J122" s="22" t="e">
        <f>IF(VLOOKUP(B122,Identificação!#REF!,3,FALSE)="",2,VLOOKUP(B122,Identificação!#REF!,3,FALSE))</f>
        <v>#REF!</v>
      </c>
      <c r="K122" s="22" t="str">
        <f t="shared" si="7"/>
        <v/>
      </c>
      <c r="L122" s="22" t="str">
        <f t="shared" si="8"/>
        <v/>
      </c>
      <c r="M122" s="22" t="str">
        <f t="shared" si="9"/>
        <v/>
      </c>
      <c r="N122" s="112" t="str">
        <f t="shared" si="14"/>
        <v/>
      </c>
      <c r="O122" s="112" t="str">
        <f>IF(C122=$B$68,$E$96*H122*'Fatores de Emissão'!$E$260,"")</f>
        <v/>
      </c>
      <c r="P122" s="112" t="str">
        <f>IF(C122=$B$68,$E$95*H122*'Fatores de Emissão'!$E$261,"")</f>
        <v/>
      </c>
      <c r="Q122" s="112" t="str">
        <f>IF(C122=$B$69,$E$98*H122*'Fatores de Emissão'!$E$260/1000,"")</f>
        <v/>
      </c>
      <c r="R122" s="112" t="str">
        <f>IF(C122=$B$69,$E$97*H122*'Fatores de Emissão'!$E$261/1000,"")</f>
        <v/>
      </c>
      <c r="S122" s="113" t="str">
        <f t="shared" si="10"/>
        <v/>
      </c>
      <c r="T122" s="113" t="str">
        <f t="shared" si="11"/>
        <v/>
      </c>
      <c r="U122" s="113" t="str">
        <f t="shared" si="12"/>
        <v/>
      </c>
      <c r="V122" s="22" t="str">
        <f t="shared" si="15"/>
        <v/>
      </c>
      <c r="W122" s="22" t="e">
        <f t="shared" si="13"/>
        <v>#N/A</v>
      </c>
      <c r="X122" s="22" t="e">
        <f t="shared" si="16"/>
        <v>#N/A</v>
      </c>
    </row>
    <row r="123" spans="2:24" x14ac:dyDescent="0.25">
      <c r="B123" s="107" t="e">
        <f>'Emissões Fugitivas'!#REF!</f>
        <v>#REF!</v>
      </c>
      <c r="C123" s="107">
        <f>'Emissões Fugitivas'!B79</f>
        <v>0</v>
      </c>
      <c r="D123" s="107">
        <f>'Emissões Fugitivas'!C79</f>
        <v>0</v>
      </c>
      <c r="E123" s="107">
        <f>'Emissões Fugitivas'!D79</f>
        <v>0</v>
      </c>
      <c r="F123" s="107" t="str">
        <f>'Emissões Fugitivas'!E79</f>
        <v/>
      </c>
      <c r="G123" s="107" t="e">
        <f>'Emissões Fugitivas'!#REF!</f>
        <v>#REF!</v>
      </c>
      <c r="H123" s="107">
        <f>'Emissões Fugitivas'!G79</f>
        <v>0</v>
      </c>
      <c r="I123" s="107" t="str">
        <f>'Emissões Fugitivas'!H79</f>
        <v/>
      </c>
      <c r="J123" s="22" t="e">
        <f>IF(VLOOKUP(B123,Identificação!#REF!,3,FALSE)="",2,VLOOKUP(B123,Identificação!#REF!,3,FALSE))</f>
        <v>#REF!</v>
      </c>
      <c r="K123" s="22" t="str">
        <f t="shared" si="7"/>
        <v/>
      </c>
      <c r="L123" s="22" t="str">
        <f t="shared" si="8"/>
        <v/>
      </c>
      <c r="M123" s="22" t="str">
        <f t="shared" si="9"/>
        <v/>
      </c>
      <c r="N123" s="112" t="str">
        <f t="shared" si="14"/>
        <v/>
      </c>
      <c r="O123" s="112" t="str">
        <f>IF(C123=$B$68,$E$96*H123*'Fatores de Emissão'!$E$260,"")</f>
        <v/>
      </c>
      <c r="P123" s="112" t="str">
        <f>IF(C123=$B$68,$E$95*H123*'Fatores de Emissão'!$E$261,"")</f>
        <v/>
      </c>
      <c r="Q123" s="112" t="str">
        <f>IF(C123=$B$69,$E$98*H123*'Fatores de Emissão'!$E$260/1000,"")</f>
        <v/>
      </c>
      <c r="R123" s="112" t="str">
        <f>IF(C123=$B$69,$E$97*H123*'Fatores de Emissão'!$E$261/1000,"")</f>
        <v/>
      </c>
      <c r="S123" s="113" t="str">
        <f t="shared" si="10"/>
        <v/>
      </c>
      <c r="T123" s="113" t="str">
        <f t="shared" si="11"/>
        <v/>
      </c>
      <c r="U123" s="113" t="str">
        <f t="shared" si="12"/>
        <v/>
      </c>
      <c r="V123" s="22" t="str">
        <f t="shared" si="15"/>
        <v/>
      </c>
      <c r="W123" s="22" t="e">
        <f t="shared" si="13"/>
        <v>#N/A</v>
      </c>
      <c r="X123" s="22" t="e">
        <f t="shared" si="16"/>
        <v>#N/A</v>
      </c>
    </row>
    <row r="124" spans="2:24" x14ac:dyDescent="0.25">
      <c r="B124" s="107" t="e">
        <f>'Emissões Fugitivas'!#REF!</f>
        <v>#REF!</v>
      </c>
      <c r="C124" s="107">
        <f>'Emissões Fugitivas'!B80</f>
        <v>0</v>
      </c>
      <c r="D124" s="107">
        <f>'Emissões Fugitivas'!C80</f>
        <v>0</v>
      </c>
      <c r="E124" s="107">
        <f>'Emissões Fugitivas'!D80</f>
        <v>0</v>
      </c>
      <c r="F124" s="107" t="str">
        <f>'Emissões Fugitivas'!E80</f>
        <v/>
      </c>
      <c r="G124" s="107" t="e">
        <f>'Emissões Fugitivas'!#REF!</f>
        <v>#REF!</v>
      </c>
      <c r="H124" s="107">
        <f>'Emissões Fugitivas'!G80</f>
        <v>0</v>
      </c>
      <c r="I124" s="107" t="str">
        <f>'Emissões Fugitivas'!H80</f>
        <v/>
      </c>
      <c r="J124" s="22" t="e">
        <f>IF(VLOOKUP(B124,Identificação!#REF!,3,FALSE)="",2,VLOOKUP(B124,Identificação!#REF!,3,FALSE))</f>
        <v>#REF!</v>
      </c>
      <c r="K124" s="22" t="str">
        <f t="shared" si="7"/>
        <v/>
      </c>
      <c r="L124" s="22" t="str">
        <f t="shared" si="8"/>
        <v/>
      </c>
      <c r="M124" s="22" t="str">
        <f t="shared" si="9"/>
        <v/>
      </c>
      <c r="N124" s="112" t="str">
        <f t="shared" si="14"/>
        <v/>
      </c>
      <c r="O124" s="112" t="str">
        <f>IF(C124=$B$68,$E$96*H124*'Fatores de Emissão'!$E$260,"")</f>
        <v/>
      </c>
      <c r="P124" s="112" t="str">
        <f>IF(C124=$B$68,$E$95*H124*'Fatores de Emissão'!$E$261,"")</f>
        <v/>
      </c>
      <c r="Q124" s="112" t="str">
        <f>IF(C124=$B$69,$E$98*H124*'Fatores de Emissão'!$E$260/1000,"")</f>
        <v/>
      </c>
      <c r="R124" s="112" t="str">
        <f>IF(C124=$B$69,$E$97*H124*'Fatores de Emissão'!$E$261/1000,"")</f>
        <v/>
      </c>
      <c r="S124" s="113" t="str">
        <f t="shared" si="10"/>
        <v/>
      </c>
      <c r="T124" s="113" t="str">
        <f t="shared" si="11"/>
        <v/>
      </c>
      <c r="U124" s="113" t="str">
        <f t="shared" si="12"/>
        <v/>
      </c>
      <c r="V124" s="22" t="str">
        <f t="shared" si="15"/>
        <v/>
      </c>
      <c r="W124" s="22" t="e">
        <f t="shared" si="13"/>
        <v>#N/A</v>
      </c>
      <c r="X124" s="22" t="e">
        <f t="shared" si="16"/>
        <v>#N/A</v>
      </c>
    </row>
    <row r="125" spans="2:24" x14ac:dyDescent="0.25">
      <c r="B125" s="107" t="e">
        <f>'Emissões Fugitivas'!#REF!</f>
        <v>#REF!</v>
      </c>
      <c r="C125" s="107">
        <f>'Emissões Fugitivas'!B81</f>
        <v>0</v>
      </c>
      <c r="D125" s="107">
        <f>'Emissões Fugitivas'!C81</f>
        <v>0</v>
      </c>
      <c r="E125" s="107">
        <f>'Emissões Fugitivas'!D81</f>
        <v>0</v>
      </c>
      <c r="F125" s="107" t="str">
        <f>'Emissões Fugitivas'!E81</f>
        <v/>
      </c>
      <c r="G125" s="107" t="e">
        <f>'Emissões Fugitivas'!#REF!</f>
        <v>#REF!</v>
      </c>
      <c r="H125" s="107">
        <f>'Emissões Fugitivas'!G81</f>
        <v>0</v>
      </c>
      <c r="I125" s="107" t="str">
        <f>'Emissões Fugitivas'!H81</f>
        <v/>
      </c>
      <c r="J125" s="22" t="e">
        <f>IF(VLOOKUP(B125,Identificação!#REF!,3,FALSE)="",2,VLOOKUP(B125,Identificação!#REF!,3,FALSE))</f>
        <v>#REF!</v>
      </c>
      <c r="K125" s="22" t="str">
        <f t="shared" si="7"/>
        <v/>
      </c>
      <c r="L125" s="22" t="str">
        <f t="shared" si="8"/>
        <v/>
      </c>
      <c r="M125" s="22" t="str">
        <f t="shared" si="9"/>
        <v/>
      </c>
      <c r="N125" s="112" t="str">
        <f t="shared" si="14"/>
        <v/>
      </c>
      <c r="O125" s="112" t="str">
        <f>IF(C125=$B$68,$E$96*H125*'Fatores de Emissão'!$E$260,"")</f>
        <v/>
      </c>
      <c r="P125" s="112" t="str">
        <f>IF(C125=$B$68,$E$95*H125*'Fatores de Emissão'!$E$261,"")</f>
        <v/>
      </c>
      <c r="Q125" s="112" t="str">
        <f>IF(C125=$B$69,$E$98*H125*'Fatores de Emissão'!$E$260/1000,"")</f>
        <v/>
      </c>
      <c r="R125" s="112" t="str">
        <f>IF(C125=$B$69,$E$97*H125*'Fatores de Emissão'!$E$261/1000,"")</f>
        <v/>
      </c>
      <c r="S125" s="113" t="str">
        <f t="shared" si="10"/>
        <v/>
      </c>
      <c r="T125" s="113" t="str">
        <f t="shared" si="11"/>
        <v/>
      </c>
      <c r="U125" s="113" t="str">
        <f t="shared" si="12"/>
        <v/>
      </c>
      <c r="V125" s="22" t="str">
        <f t="shared" si="15"/>
        <v/>
      </c>
      <c r="W125" s="22" t="e">
        <f t="shared" si="13"/>
        <v>#N/A</v>
      </c>
      <c r="X125" s="22" t="e">
        <f t="shared" si="16"/>
        <v>#N/A</v>
      </c>
    </row>
    <row r="126" spans="2:24" x14ac:dyDescent="0.25">
      <c r="B126" s="107" t="e">
        <f>'Emissões Fugitivas'!#REF!</f>
        <v>#REF!</v>
      </c>
      <c r="C126" s="107">
        <f>'Emissões Fugitivas'!B82</f>
        <v>0</v>
      </c>
      <c r="D126" s="107">
        <f>'Emissões Fugitivas'!C82</f>
        <v>0</v>
      </c>
      <c r="E126" s="107">
        <f>'Emissões Fugitivas'!D82</f>
        <v>0</v>
      </c>
      <c r="F126" s="107" t="str">
        <f>'Emissões Fugitivas'!E82</f>
        <v/>
      </c>
      <c r="G126" s="107" t="e">
        <f>'Emissões Fugitivas'!#REF!</f>
        <v>#REF!</v>
      </c>
      <c r="H126" s="107">
        <f>'Emissões Fugitivas'!G82</f>
        <v>0</v>
      </c>
      <c r="I126" s="107" t="str">
        <f>'Emissões Fugitivas'!H82</f>
        <v/>
      </c>
      <c r="J126" s="22" t="e">
        <f>IF(VLOOKUP(B126,Identificação!#REF!,3,FALSE)="",2,VLOOKUP(B126,Identificação!#REF!,3,FALSE))</f>
        <v>#REF!</v>
      </c>
      <c r="K126" s="22" t="str">
        <f t="shared" si="7"/>
        <v/>
      </c>
      <c r="L126" s="22" t="str">
        <f t="shared" si="8"/>
        <v/>
      </c>
      <c r="M126" s="22" t="str">
        <f t="shared" si="9"/>
        <v/>
      </c>
      <c r="N126" s="112" t="str">
        <f t="shared" si="14"/>
        <v/>
      </c>
      <c r="O126" s="112" t="str">
        <f>IF(C126=$B$68,$E$96*H126*'Fatores de Emissão'!$E$260,"")</f>
        <v/>
      </c>
      <c r="P126" s="112" t="str">
        <f>IF(C126=$B$68,$E$95*H126*'Fatores de Emissão'!$E$261,"")</f>
        <v/>
      </c>
      <c r="Q126" s="112" t="str">
        <f>IF(C126=$B$69,$E$98*H126*'Fatores de Emissão'!$E$260/1000,"")</f>
        <v/>
      </c>
      <c r="R126" s="112" t="str">
        <f>IF(C126=$B$69,$E$97*H126*'Fatores de Emissão'!$E$261/1000,"")</f>
        <v/>
      </c>
      <c r="S126" s="113" t="str">
        <f t="shared" si="10"/>
        <v/>
      </c>
      <c r="T126" s="113" t="str">
        <f t="shared" si="11"/>
        <v/>
      </c>
      <c r="U126" s="113" t="str">
        <f t="shared" si="12"/>
        <v/>
      </c>
      <c r="V126" s="22" t="str">
        <f t="shared" si="15"/>
        <v/>
      </c>
      <c r="W126" s="22" t="e">
        <f t="shared" si="13"/>
        <v>#N/A</v>
      </c>
      <c r="X126" s="22" t="e">
        <f t="shared" si="16"/>
        <v>#N/A</v>
      </c>
    </row>
    <row r="127" spans="2:24" x14ac:dyDescent="0.25">
      <c r="B127" s="107" t="e">
        <f>'Emissões Fugitivas'!#REF!</f>
        <v>#REF!</v>
      </c>
      <c r="C127" s="107">
        <f>'Emissões Fugitivas'!B83</f>
        <v>0</v>
      </c>
      <c r="D127" s="107">
        <f>'Emissões Fugitivas'!C83</f>
        <v>0</v>
      </c>
      <c r="E127" s="107">
        <f>'Emissões Fugitivas'!D83</f>
        <v>0</v>
      </c>
      <c r="F127" s="107" t="str">
        <f>'Emissões Fugitivas'!E83</f>
        <v/>
      </c>
      <c r="G127" s="107" t="e">
        <f>'Emissões Fugitivas'!#REF!</f>
        <v>#REF!</v>
      </c>
      <c r="H127" s="107">
        <f>'Emissões Fugitivas'!G83</f>
        <v>0</v>
      </c>
      <c r="I127" s="107" t="str">
        <f>'Emissões Fugitivas'!H83</f>
        <v/>
      </c>
      <c r="J127" s="22" t="e">
        <f>IF(VLOOKUP(B127,Identificação!#REF!,3,FALSE)="",2,VLOOKUP(B127,Identificação!#REF!,3,FALSE))</f>
        <v>#REF!</v>
      </c>
      <c r="K127" s="22" t="str">
        <f t="shared" si="7"/>
        <v/>
      </c>
      <c r="L127" s="22" t="str">
        <f t="shared" si="8"/>
        <v/>
      </c>
      <c r="M127" s="22" t="str">
        <f t="shared" si="9"/>
        <v/>
      </c>
      <c r="N127" s="112" t="str">
        <f t="shared" si="14"/>
        <v/>
      </c>
      <c r="O127" s="112" t="str">
        <f>IF(C127=$B$68,$E$96*H127*'Fatores de Emissão'!$E$260,"")</f>
        <v/>
      </c>
      <c r="P127" s="112" t="str">
        <f>IF(C127=$B$68,$E$95*H127*'Fatores de Emissão'!$E$261,"")</f>
        <v/>
      </c>
      <c r="Q127" s="112" t="str">
        <f>IF(C127=$B$69,$E$98*H127*'Fatores de Emissão'!$E$260/1000,"")</f>
        <v/>
      </c>
      <c r="R127" s="112" t="str">
        <f>IF(C127=$B$69,$E$97*H127*'Fatores de Emissão'!$E$261/1000,"")</f>
        <v/>
      </c>
      <c r="S127" s="113" t="str">
        <f t="shared" si="10"/>
        <v/>
      </c>
      <c r="T127" s="113" t="str">
        <f t="shared" si="11"/>
        <v/>
      </c>
      <c r="U127" s="113" t="str">
        <f t="shared" si="12"/>
        <v/>
      </c>
      <c r="V127" s="22" t="str">
        <f t="shared" si="15"/>
        <v/>
      </c>
      <c r="W127" s="22" t="e">
        <f t="shared" si="13"/>
        <v>#N/A</v>
      </c>
      <c r="X127" s="22" t="e">
        <f t="shared" si="16"/>
        <v>#N/A</v>
      </c>
    </row>
    <row r="128" spans="2:24" x14ac:dyDescent="0.25">
      <c r="B128" s="107" t="e">
        <f>'Emissões Fugitivas'!#REF!</f>
        <v>#REF!</v>
      </c>
      <c r="C128" s="107">
        <f>'Emissões Fugitivas'!B84</f>
        <v>0</v>
      </c>
      <c r="D128" s="107">
        <f>'Emissões Fugitivas'!C84</f>
        <v>0</v>
      </c>
      <c r="E128" s="107">
        <f>'Emissões Fugitivas'!D84</f>
        <v>0</v>
      </c>
      <c r="F128" s="107" t="str">
        <f>'Emissões Fugitivas'!E84</f>
        <v/>
      </c>
      <c r="G128" s="107" t="e">
        <f>'Emissões Fugitivas'!#REF!</f>
        <v>#REF!</v>
      </c>
      <c r="H128" s="107">
        <f>'Emissões Fugitivas'!G84</f>
        <v>0</v>
      </c>
      <c r="I128" s="107" t="str">
        <f>'Emissões Fugitivas'!H84</f>
        <v/>
      </c>
      <c r="J128" s="22" t="e">
        <f>IF(VLOOKUP(B128,Identificação!#REF!,3,FALSE)="",2,VLOOKUP(B128,Identificação!#REF!,3,FALSE))</f>
        <v>#REF!</v>
      </c>
      <c r="K128" s="22" t="str">
        <f t="shared" si="7"/>
        <v/>
      </c>
      <c r="L128" s="22" t="str">
        <f t="shared" si="8"/>
        <v/>
      </c>
      <c r="M128" s="22" t="str">
        <f t="shared" si="9"/>
        <v/>
      </c>
      <c r="N128" s="112" t="str">
        <f t="shared" ref="N128:N191" si="17">IFERROR(L128*H128+(K128+M128)*H128/J128,"")</f>
        <v/>
      </c>
      <c r="O128" s="112" t="str">
        <f>IF(C128=$B$68,$E$96*H128*'Fatores de Emissão'!$E$260,"")</f>
        <v/>
      </c>
      <c r="P128" s="112" t="str">
        <f>IF(C128=$B$68,$E$95*H128*'Fatores de Emissão'!$E$261,"")</f>
        <v/>
      </c>
      <c r="Q128" s="112" t="str">
        <f>IF(C128=$B$69,$E$98*H128*'Fatores de Emissão'!$E$260/1000,"")</f>
        <v/>
      </c>
      <c r="R128" s="112" t="str">
        <f>IF(C128=$B$69,$E$97*H128*'Fatores de Emissão'!$E$261/1000,"")</f>
        <v/>
      </c>
      <c r="S128" s="113" t="str">
        <f t="shared" si="10"/>
        <v/>
      </c>
      <c r="T128" s="113" t="str">
        <f t="shared" si="11"/>
        <v/>
      </c>
      <c r="U128" s="113" t="str">
        <f t="shared" si="12"/>
        <v/>
      </c>
      <c r="V128" s="22" t="str">
        <f t="shared" si="15"/>
        <v/>
      </c>
      <c r="W128" s="22" t="e">
        <f t="shared" si="13"/>
        <v>#N/A</v>
      </c>
      <c r="X128" s="22" t="e">
        <f t="shared" si="16"/>
        <v>#N/A</v>
      </c>
    </row>
    <row r="129" spans="2:24" x14ac:dyDescent="0.25">
      <c r="B129" s="107" t="e">
        <f>'Emissões Fugitivas'!#REF!</f>
        <v>#REF!</v>
      </c>
      <c r="C129" s="107">
        <f>'Emissões Fugitivas'!B85</f>
        <v>0</v>
      </c>
      <c r="D129" s="107">
        <f>'Emissões Fugitivas'!C85</f>
        <v>0</v>
      </c>
      <c r="E129" s="107">
        <f>'Emissões Fugitivas'!D85</f>
        <v>0</v>
      </c>
      <c r="F129" s="107" t="str">
        <f>'Emissões Fugitivas'!E85</f>
        <v/>
      </c>
      <c r="G129" s="107" t="e">
        <f>'Emissões Fugitivas'!#REF!</f>
        <v>#REF!</v>
      </c>
      <c r="H129" s="107">
        <f>'Emissões Fugitivas'!G85</f>
        <v>0</v>
      </c>
      <c r="I129" s="107" t="str">
        <f>'Emissões Fugitivas'!H85</f>
        <v/>
      </c>
      <c r="J129" s="22" t="e">
        <f>IF(VLOOKUP(B129,Identificação!#REF!,3,FALSE)="",2,VLOOKUP(B129,Identificação!#REF!,3,FALSE))</f>
        <v>#REF!</v>
      </c>
      <c r="K129" s="22" t="str">
        <f t="shared" si="7"/>
        <v/>
      </c>
      <c r="L129" s="22" t="str">
        <f t="shared" si="8"/>
        <v/>
      </c>
      <c r="M129" s="22" t="str">
        <f t="shared" si="9"/>
        <v/>
      </c>
      <c r="N129" s="112" t="str">
        <f t="shared" si="17"/>
        <v/>
      </c>
      <c r="O129" s="112" t="str">
        <f>IF(C129=$B$68,$E$96*H129*'Fatores de Emissão'!$E$260,"")</f>
        <v/>
      </c>
      <c r="P129" s="112" t="str">
        <f>IF(C129=$B$68,$E$95*H129*'Fatores de Emissão'!$E$261,"")</f>
        <v/>
      </c>
      <c r="Q129" s="112" t="str">
        <f>IF(C129=$B$69,$E$98*H129*'Fatores de Emissão'!$E$260/1000,"")</f>
        <v/>
      </c>
      <c r="R129" s="112" t="str">
        <f>IF(C129=$B$69,$E$97*H129*'Fatores de Emissão'!$E$261/1000,"")</f>
        <v/>
      </c>
      <c r="S129" s="113" t="str">
        <f t="shared" si="10"/>
        <v/>
      </c>
      <c r="T129" s="113" t="str">
        <f t="shared" si="11"/>
        <v/>
      </c>
      <c r="U129" s="113" t="str">
        <f t="shared" si="12"/>
        <v/>
      </c>
      <c r="V129" s="22" t="str">
        <f t="shared" si="15"/>
        <v/>
      </c>
      <c r="W129" s="22" t="e">
        <f t="shared" si="13"/>
        <v>#N/A</v>
      </c>
      <c r="X129" s="22" t="e">
        <f t="shared" si="16"/>
        <v>#N/A</v>
      </c>
    </row>
    <row r="130" spans="2:24" x14ac:dyDescent="0.25">
      <c r="B130" s="107" t="e">
        <f>'Emissões Fugitivas'!#REF!</f>
        <v>#REF!</v>
      </c>
      <c r="C130" s="107">
        <f>'Emissões Fugitivas'!B86</f>
        <v>0</v>
      </c>
      <c r="D130" s="107">
        <f>'Emissões Fugitivas'!C86</f>
        <v>0</v>
      </c>
      <c r="E130" s="107">
        <f>'Emissões Fugitivas'!D86</f>
        <v>0</v>
      </c>
      <c r="F130" s="107" t="str">
        <f>'Emissões Fugitivas'!E86</f>
        <v/>
      </c>
      <c r="G130" s="107" t="e">
        <f>'Emissões Fugitivas'!#REF!</f>
        <v>#REF!</v>
      </c>
      <c r="H130" s="107">
        <f>'Emissões Fugitivas'!G86</f>
        <v>0</v>
      </c>
      <c r="I130" s="107" t="str">
        <f>'Emissões Fugitivas'!H86</f>
        <v/>
      </c>
      <c r="J130" s="22" t="e">
        <f>IF(VLOOKUP(B130,Identificação!#REF!,3,FALSE)="",2,VLOOKUP(B130,Identificação!#REF!,3,FALSE))</f>
        <v>#REF!</v>
      </c>
      <c r="K130" s="22" t="str">
        <f t="shared" si="7"/>
        <v/>
      </c>
      <c r="L130" s="22" t="str">
        <f t="shared" si="8"/>
        <v/>
      </c>
      <c r="M130" s="22" t="str">
        <f t="shared" si="9"/>
        <v/>
      </c>
      <c r="N130" s="112" t="str">
        <f t="shared" si="17"/>
        <v/>
      </c>
      <c r="O130" s="112" t="str">
        <f>IF(C130=$B$68,$E$96*H130*'Fatores de Emissão'!$E$260,"")</f>
        <v/>
      </c>
      <c r="P130" s="112" t="str">
        <f>IF(C130=$B$68,$E$95*H130*'Fatores de Emissão'!$E$261,"")</f>
        <v/>
      </c>
      <c r="Q130" s="112" t="str">
        <f>IF(C130=$B$69,$E$98*H130*'Fatores de Emissão'!$E$260/1000,"")</f>
        <v/>
      </c>
      <c r="R130" s="112" t="str">
        <f>IF(C130=$B$69,$E$97*H130*'Fatores de Emissão'!$E$261/1000,"")</f>
        <v/>
      </c>
      <c r="S130" s="113" t="str">
        <f t="shared" si="10"/>
        <v/>
      </c>
      <c r="T130" s="113" t="str">
        <f t="shared" si="11"/>
        <v/>
      </c>
      <c r="U130" s="113" t="str">
        <f t="shared" si="12"/>
        <v/>
      </c>
      <c r="V130" s="22" t="str">
        <f t="shared" si="15"/>
        <v/>
      </c>
      <c r="W130" s="22" t="e">
        <f t="shared" si="13"/>
        <v>#N/A</v>
      </c>
      <c r="X130" s="22" t="e">
        <f t="shared" si="16"/>
        <v>#N/A</v>
      </c>
    </row>
    <row r="131" spans="2:24" x14ac:dyDescent="0.25">
      <c r="B131" s="107" t="e">
        <f>'Emissões Fugitivas'!#REF!</f>
        <v>#REF!</v>
      </c>
      <c r="C131" s="107">
        <f>'Emissões Fugitivas'!B87</f>
        <v>0</v>
      </c>
      <c r="D131" s="107">
        <f>'Emissões Fugitivas'!C87</f>
        <v>0</v>
      </c>
      <c r="E131" s="107">
        <f>'Emissões Fugitivas'!D87</f>
        <v>0</v>
      </c>
      <c r="F131" s="107" t="str">
        <f>'Emissões Fugitivas'!E87</f>
        <v/>
      </c>
      <c r="G131" s="107" t="e">
        <f>'Emissões Fugitivas'!#REF!</f>
        <v>#REF!</v>
      </c>
      <c r="H131" s="107">
        <f>'Emissões Fugitivas'!G87</f>
        <v>0</v>
      </c>
      <c r="I131" s="107" t="str">
        <f>'Emissões Fugitivas'!H87</f>
        <v/>
      </c>
      <c r="J131" s="22" t="e">
        <f>IF(VLOOKUP(B131,Identificação!#REF!,3,FALSE)="",2,VLOOKUP(B131,Identificação!#REF!,3,FALSE))</f>
        <v>#REF!</v>
      </c>
      <c r="K131" s="22" t="str">
        <f t="shared" si="7"/>
        <v/>
      </c>
      <c r="L131" s="22" t="str">
        <f t="shared" si="8"/>
        <v/>
      </c>
      <c r="M131" s="22" t="str">
        <f t="shared" si="9"/>
        <v/>
      </c>
      <c r="N131" s="112" t="str">
        <f t="shared" si="17"/>
        <v/>
      </c>
      <c r="O131" s="112" t="str">
        <f>IF(C131=$B$68,$E$96*H131*'Fatores de Emissão'!$E$260,"")</f>
        <v/>
      </c>
      <c r="P131" s="112" t="str">
        <f>IF(C131=$B$68,$E$95*H131*'Fatores de Emissão'!$E$261,"")</f>
        <v/>
      </c>
      <c r="Q131" s="112" t="str">
        <f>IF(C131=$B$69,$E$98*H131*'Fatores de Emissão'!$E$260/1000,"")</f>
        <v/>
      </c>
      <c r="R131" s="112" t="str">
        <f>IF(C131=$B$69,$E$97*H131*'Fatores de Emissão'!$E$261/1000,"")</f>
        <v/>
      </c>
      <c r="S131" s="113" t="str">
        <f t="shared" si="10"/>
        <v/>
      </c>
      <c r="T131" s="113" t="str">
        <f t="shared" si="11"/>
        <v/>
      </c>
      <c r="U131" s="113" t="str">
        <f t="shared" si="12"/>
        <v/>
      </c>
      <c r="V131" s="22" t="str">
        <f t="shared" si="15"/>
        <v/>
      </c>
      <c r="W131" s="22" t="e">
        <f t="shared" si="13"/>
        <v>#N/A</v>
      </c>
      <c r="X131" s="22" t="e">
        <f t="shared" si="16"/>
        <v>#N/A</v>
      </c>
    </row>
    <row r="132" spans="2:24" x14ac:dyDescent="0.25">
      <c r="B132" s="107" t="e">
        <f>'Emissões Fugitivas'!#REF!</f>
        <v>#REF!</v>
      </c>
      <c r="C132" s="107">
        <f>'Emissões Fugitivas'!B88</f>
        <v>0</v>
      </c>
      <c r="D132" s="107">
        <f>'Emissões Fugitivas'!C88</f>
        <v>0</v>
      </c>
      <c r="E132" s="107">
        <f>'Emissões Fugitivas'!D88</f>
        <v>0</v>
      </c>
      <c r="F132" s="107" t="str">
        <f>'Emissões Fugitivas'!E88</f>
        <v/>
      </c>
      <c r="G132" s="107" t="e">
        <f>'Emissões Fugitivas'!#REF!</f>
        <v>#REF!</v>
      </c>
      <c r="H132" s="107">
        <f>'Emissões Fugitivas'!G88</f>
        <v>0</v>
      </c>
      <c r="I132" s="107" t="str">
        <f>'Emissões Fugitivas'!H88</f>
        <v/>
      </c>
      <c r="J132" s="22" t="e">
        <f>IF(VLOOKUP(B132,Identificação!#REF!,3,FALSE)="",2,VLOOKUP(B132,Identificação!#REF!,3,FALSE))</f>
        <v>#REF!</v>
      </c>
      <c r="K132" s="22" t="str">
        <f t="shared" si="7"/>
        <v/>
      </c>
      <c r="L132" s="22" t="str">
        <f t="shared" si="8"/>
        <v/>
      </c>
      <c r="M132" s="22" t="str">
        <f t="shared" si="9"/>
        <v/>
      </c>
      <c r="N132" s="112" t="str">
        <f t="shared" si="17"/>
        <v/>
      </c>
      <c r="O132" s="112" t="str">
        <f>IF(C132=$B$68,$E$96*H132*'Fatores de Emissão'!$E$260,"")</f>
        <v/>
      </c>
      <c r="P132" s="112" t="str">
        <f>IF(C132=$B$68,$E$95*H132*'Fatores de Emissão'!$E$261,"")</f>
        <v/>
      </c>
      <c r="Q132" s="112" t="str">
        <f>IF(C132=$B$69,$E$98*H132*'Fatores de Emissão'!$E$260/1000,"")</f>
        <v/>
      </c>
      <c r="R132" s="112" t="str">
        <f>IF(C132=$B$69,$E$97*H132*'Fatores de Emissão'!$E$261/1000,"")</f>
        <v/>
      </c>
      <c r="S132" s="113" t="str">
        <f t="shared" si="10"/>
        <v/>
      </c>
      <c r="T132" s="113" t="str">
        <f t="shared" si="11"/>
        <v/>
      </c>
      <c r="U132" s="113" t="str">
        <f t="shared" si="12"/>
        <v/>
      </c>
      <c r="V132" s="22" t="str">
        <f t="shared" si="15"/>
        <v/>
      </c>
      <c r="W132" s="22" t="e">
        <f t="shared" si="13"/>
        <v>#N/A</v>
      </c>
      <c r="X132" s="22" t="e">
        <f t="shared" si="16"/>
        <v>#N/A</v>
      </c>
    </row>
    <row r="133" spans="2:24" x14ac:dyDescent="0.25">
      <c r="B133" s="107" t="e">
        <f>'Emissões Fugitivas'!#REF!</f>
        <v>#REF!</v>
      </c>
      <c r="C133" s="107">
        <f>'Emissões Fugitivas'!B89</f>
        <v>0</v>
      </c>
      <c r="D133" s="107">
        <f>'Emissões Fugitivas'!C89</f>
        <v>0</v>
      </c>
      <c r="E133" s="107">
        <f>'Emissões Fugitivas'!D89</f>
        <v>0</v>
      </c>
      <c r="F133" s="107" t="str">
        <f>'Emissões Fugitivas'!E89</f>
        <v/>
      </c>
      <c r="G133" s="107" t="e">
        <f>'Emissões Fugitivas'!#REF!</f>
        <v>#REF!</v>
      </c>
      <c r="H133" s="107">
        <f>'Emissões Fugitivas'!G89</f>
        <v>0</v>
      </c>
      <c r="I133" s="107" t="str">
        <f>'Emissões Fugitivas'!H89</f>
        <v/>
      </c>
      <c r="J133" s="22" t="e">
        <f>IF(VLOOKUP(B133,Identificação!#REF!,3,FALSE)="",2,VLOOKUP(B133,Identificação!#REF!,3,FALSE))</f>
        <v>#REF!</v>
      </c>
      <c r="K133" s="22" t="str">
        <f t="shared" si="7"/>
        <v/>
      </c>
      <c r="L133" s="22" t="str">
        <f t="shared" si="8"/>
        <v/>
      </c>
      <c r="M133" s="22" t="str">
        <f t="shared" si="9"/>
        <v/>
      </c>
      <c r="N133" s="112" t="str">
        <f t="shared" si="17"/>
        <v/>
      </c>
      <c r="O133" s="112" t="str">
        <f>IF(C133=$B$68,$E$96*H133*'Fatores de Emissão'!$E$260,"")</f>
        <v/>
      </c>
      <c r="P133" s="112" t="str">
        <f>IF(C133=$B$68,$E$95*H133*'Fatores de Emissão'!$E$261,"")</f>
        <v/>
      </c>
      <c r="Q133" s="112" t="str">
        <f>IF(C133=$B$69,$E$98*H133*'Fatores de Emissão'!$E$260/1000,"")</f>
        <v/>
      </c>
      <c r="R133" s="112" t="str">
        <f>IF(C133=$B$69,$E$97*H133*'Fatores de Emissão'!$E$261/1000,"")</f>
        <v/>
      </c>
      <c r="S133" s="113" t="str">
        <f t="shared" si="10"/>
        <v/>
      </c>
      <c r="T133" s="113" t="str">
        <f t="shared" si="11"/>
        <v/>
      </c>
      <c r="U133" s="113" t="str">
        <f t="shared" si="12"/>
        <v/>
      </c>
      <c r="V133" s="22" t="str">
        <f t="shared" si="15"/>
        <v/>
      </c>
      <c r="W133" s="22" t="e">
        <f t="shared" si="13"/>
        <v>#N/A</v>
      </c>
      <c r="X133" s="22" t="e">
        <f t="shared" si="16"/>
        <v>#N/A</v>
      </c>
    </row>
    <row r="134" spans="2:24" x14ac:dyDescent="0.25">
      <c r="B134" s="107" t="e">
        <f>'Emissões Fugitivas'!#REF!</f>
        <v>#REF!</v>
      </c>
      <c r="C134" s="107">
        <f>'Emissões Fugitivas'!B90</f>
        <v>0</v>
      </c>
      <c r="D134" s="107">
        <f>'Emissões Fugitivas'!C90</f>
        <v>0</v>
      </c>
      <c r="E134" s="107">
        <f>'Emissões Fugitivas'!D90</f>
        <v>0</v>
      </c>
      <c r="F134" s="107" t="str">
        <f>'Emissões Fugitivas'!E90</f>
        <v/>
      </c>
      <c r="G134" s="107" t="e">
        <f>'Emissões Fugitivas'!#REF!</f>
        <v>#REF!</v>
      </c>
      <c r="H134" s="107">
        <f>'Emissões Fugitivas'!G90</f>
        <v>0</v>
      </c>
      <c r="I134" s="107" t="str">
        <f>'Emissões Fugitivas'!H90</f>
        <v/>
      </c>
      <c r="J134" s="22" t="e">
        <f>IF(VLOOKUP(B134,Identificação!#REF!,3,FALSE)="",2,VLOOKUP(B134,Identificação!#REF!,3,FALSE))</f>
        <v>#REF!</v>
      </c>
      <c r="K134" s="22" t="str">
        <f t="shared" si="7"/>
        <v/>
      </c>
      <c r="L134" s="22" t="str">
        <f t="shared" si="8"/>
        <v/>
      </c>
      <c r="M134" s="22" t="str">
        <f t="shared" si="9"/>
        <v/>
      </c>
      <c r="N134" s="112" t="str">
        <f t="shared" si="17"/>
        <v/>
      </c>
      <c r="O134" s="112" t="str">
        <f>IF(C134=$B$68,$E$96*H134*'Fatores de Emissão'!$E$260,"")</f>
        <v/>
      </c>
      <c r="P134" s="112" t="str">
        <f>IF(C134=$B$68,$E$95*H134*'Fatores de Emissão'!$E$261,"")</f>
        <v/>
      </c>
      <c r="Q134" s="112" t="str">
        <f>IF(C134=$B$69,$E$98*H134*'Fatores de Emissão'!$E$260/1000,"")</f>
        <v/>
      </c>
      <c r="R134" s="112" t="str">
        <f>IF(C134=$B$69,$E$97*H134*'Fatores de Emissão'!$E$261/1000,"")</f>
        <v/>
      </c>
      <c r="S134" s="113" t="str">
        <f t="shared" si="10"/>
        <v/>
      </c>
      <c r="T134" s="113" t="str">
        <f t="shared" si="11"/>
        <v/>
      </c>
      <c r="U134" s="113" t="str">
        <f t="shared" si="12"/>
        <v/>
      </c>
      <c r="V134" s="22" t="str">
        <f t="shared" si="15"/>
        <v/>
      </c>
      <c r="W134" s="22" t="e">
        <f t="shared" si="13"/>
        <v>#N/A</v>
      </c>
      <c r="X134" s="22" t="e">
        <f t="shared" si="16"/>
        <v>#N/A</v>
      </c>
    </row>
    <row r="135" spans="2:24" x14ac:dyDescent="0.25">
      <c r="B135" s="107" t="e">
        <f>'Emissões Fugitivas'!#REF!</f>
        <v>#REF!</v>
      </c>
      <c r="C135" s="107">
        <f>'Emissões Fugitivas'!B91</f>
        <v>0</v>
      </c>
      <c r="D135" s="107">
        <f>'Emissões Fugitivas'!C91</f>
        <v>0</v>
      </c>
      <c r="E135" s="107">
        <f>'Emissões Fugitivas'!D91</f>
        <v>0</v>
      </c>
      <c r="F135" s="107" t="str">
        <f>'Emissões Fugitivas'!E91</f>
        <v/>
      </c>
      <c r="G135" s="107" t="e">
        <f>'Emissões Fugitivas'!#REF!</f>
        <v>#REF!</v>
      </c>
      <c r="H135" s="107">
        <f>'Emissões Fugitivas'!G91</f>
        <v>0</v>
      </c>
      <c r="I135" s="107" t="str">
        <f>'Emissões Fugitivas'!H91</f>
        <v/>
      </c>
      <c r="J135" s="22" t="e">
        <f>IF(VLOOKUP(B135,Identificação!#REF!,3,FALSE)="",2,VLOOKUP(B135,Identificação!#REF!,3,FALSE))</f>
        <v>#REF!</v>
      </c>
      <c r="K135" s="22" t="str">
        <f t="shared" si="7"/>
        <v/>
      </c>
      <c r="L135" s="22" t="str">
        <f t="shared" si="8"/>
        <v/>
      </c>
      <c r="M135" s="22" t="str">
        <f t="shared" si="9"/>
        <v/>
      </c>
      <c r="N135" s="112" t="str">
        <f t="shared" si="17"/>
        <v/>
      </c>
      <c r="O135" s="112" t="str">
        <f>IF(C135=$B$68,$E$96*H135*'Fatores de Emissão'!$E$260,"")</f>
        <v/>
      </c>
      <c r="P135" s="112" t="str">
        <f>IF(C135=$B$68,$E$95*H135*'Fatores de Emissão'!$E$261,"")</f>
        <v/>
      </c>
      <c r="Q135" s="112" t="str">
        <f>IF(C135=$B$69,$E$98*H135*'Fatores de Emissão'!$E$260/1000,"")</f>
        <v/>
      </c>
      <c r="R135" s="112" t="str">
        <f>IF(C135=$B$69,$E$97*H135*'Fatores de Emissão'!$E$261/1000,"")</f>
        <v/>
      </c>
      <c r="S135" s="113" t="str">
        <f t="shared" si="10"/>
        <v/>
      </c>
      <c r="T135" s="113" t="str">
        <f t="shared" si="11"/>
        <v/>
      </c>
      <c r="U135" s="113" t="str">
        <f t="shared" si="12"/>
        <v/>
      </c>
      <c r="V135" s="22" t="str">
        <f t="shared" si="15"/>
        <v/>
      </c>
      <c r="W135" s="22" t="e">
        <f t="shared" si="13"/>
        <v>#N/A</v>
      </c>
      <c r="X135" s="22" t="e">
        <f t="shared" si="16"/>
        <v>#N/A</v>
      </c>
    </row>
    <row r="136" spans="2:24" x14ac:dyDescent="0.25">
      <c r="B136" s="107" t="e">
        <f>'Emissões Fugitivas'!#REF!</f>
        <v>#REF!</v>
      </c>
      <c r="C136" s="107">
        <f>'Emissões Fugitivas'!B92</f>
        <v>0</v>
      </c>
      <c r="D136" s="107">
        <f>'Emissões Fugitivas'!C92</f>
        <v>0</v>
      </c>
      <c r="E136" s="107">
        <f>'Emissões Fugitivas'!D92</f>
        <v>0</v>
      </c>
      <c r="F136" s="107" t="str">
        <f>'Emissões Fugitivas'!E92</f>
        <v/>
      </c>
      <c r="G136" s="107" t="e">
        <f>'Emissões Fugitivas'!#REF!</f>
        <v>#REF!</v>
      </c>
      <c r="H136" s="107">
        <f>'Emissões Fugitivas'!G92</f>
        <v>0</v>
      </c>
      <c r="I136" s="107" t="str">
        <f>'Emissões Fugitivas'!H92</f>
        <v/>
      </c>
      <c r="J136" s="22" t="e">
        <f>IF(VLOOKUP(B136,Identificação!#REF!,3,FALSE)="",2,VLOOKUP(B136,Identificação!#REF!,3,FALSE))</f>
        <v>#REF!</v>
      </c>
      <c r="K136" s="22" t="str">
        <f t="shared" si="7"/>
        <v/>
      </c>
      <c r="L136" s="22" t="str">
        <f t="shared" si="8"/>
        <v/>
      </c>
      <c r="M136" s="22" t="str">
        <f t="shared" si="9"/>
        <v/>
      </c>
      <c r="N136" s="112" t="str">
        <f t="shared" si="17"/>
        <v/>
      </c>
      <c r="O136" s="112" t="str">
        <f>IF(C136=$B$68,$E$96*H136*'Fatores de Emissão'!$E$260,"")</f>
        <v/>
      </c>
      <c r="P136" s="112" t="str">
        <f>IF(C136=$B$68,$E$95*H136*'Fatores de Emissão'!$E$261,"")</f>
        <v/>
      </c>
      <c r="Q136" s="112" t="str">
        <f>IF(C136=$B$69,$E$98*H136*'Fatores de Emissão'!$E$260/1000,"")</f>
        <v/>
      </c>
      <c r="R136" s="112" t="str">
        <f>IF(C136=$B$69,$E$97*H136*'Fatores de Emissão'!$E$261/1000,"")</f>
        <v/>
      </c>
      <c r="S136" s="113" t="str">
        <f t="shared" si="10"/>
        <v/>
      </c>
      <c r="T136" s="113" t="str">
        <f t="shared" si="11"/>
        <v/>
      </c>
      <c r="U136" s="113" t="str">
        <f t="shared" si="12"/>
        <v/>
      </c>
      <c r="V136" s="22" t="str">
        <f t="shared" si="15"/>
        <v/>
      </c>
      <c r="W136" s="22" t="e">
        <f t="shared" si="13"/>
        <v>#N/A</v>
      </c>
      <c r="X136" s="22" t="e">
        <f t="shared" si="16"/>
        <v>#N/A</v>
      </c>
    </row>
    <row r="137" spans="2:24" x14ac:dyDescent="0.25">
      <c r="B137" s="107" t="e">
        <f>'Emissões Fugitivas'!#REF!</f>
        <v>#REF!</v>
      </c>
      <c r="C137" s="107">
        <f>'Emissões Fugitivas'!B93</f>
        <v>0</v>
      </c>
      <c r="D137" s="107">
        <f>'Emissões Fugitivas'!C93</f>
        <v>0</v>
      </c>
      <c r="E137" s="107">
        <f>'Emissões Fugitivas'!D93</f>
        <v>0</v>
      </c>
      <c r="F137" s="107" t="str">
        <f>'Emissões Fugitivas'!E93</f>
        <v/>
      </c>
      <c r="G137" s="107" t="e">
        <f>'Emissões Fugitivas'!#REF!</f>
        <v>#REF!</v>
      </c>
      <c r="H137" s="107">
        <f>'Emissões Fugitivas'!G93</f>
        <v>0</v>
      </c>
      <c r="I137" s="107" t="str">
        <f>'Emissões Fugitivas'!H93</f>
        <v/>
      </c>
      <c r="J137" s="22" t="e">
        <f>IF(VLOOKUP(B137,Identificação!#REF!,3,FALSE)="",2,VLOOKUP(B137,Identificação!#REF!,3,FALSE))</f>
        <v>#REF!</v>
      </c>
      <c r="K137" s="22" t="str">
        <f t="shared" si="7"/>
        <v/>
      </c>
      <c r="L137" s="22" t="str">
        <f t="shared" si="8"/>
        <v/>
      </c>
      <c r="M137" s="22" t="str">
        <f t="shared" si="9"/>
        <v/>
      </c>
      <c r="N137" s="112" t="str">
        <f t="shared" si="17"/>
        <v/>
      </c>
      <c r="O137" s="112" t="str">
        <f>IF(C137=$B$68,$E$96*H137*'Fatores de Emissão'!$E$260,"")</f>
        <v/>
      </c>
      <c r="P137" s="112" t="str">
        <f>IF(C137=$B$68,$E$95*H137*'Fatores de Emissão'!$E$261,"")</f>
        <v/>
      </c>
      <c r="Q137" s="112" t="str">
        <f>IF(C137=$B$69,$E$98*H137*'Fatores de Emissão'!$E$260/1000,"")</f>
        <v/>
      </c>
      <c r="R137" s="112" t="str">
        <f>IF(C137=$B$69,$E$97*H137*'Fatores de Emissão'!$E$261/1000,"")</f>
        <v/>
      </c>
      <c r="S137" s="113" t="str">
        <f t="shared" si="10"/>
        <v/>
      </c>
      <c r="T137" s="113" t="str">
        <f t="shared" si="11"/>
        <v/>
      </c>
      <c r="U137" s="113" t="str">
        <f t="shared" si="12"/>
        <v/>
      </c>
      <c r="V137" s="22" t="str">
        <f t="shared" si="15"/>
        <v/>
      </c>
      <c r="W137" s="22" t="e">
        <f t="shared" si="13"/>
        <v>#N/A</v>
      </c>
      <c r="X137" s="22" t="e">
        <f t="shared" si="16"/>
        <v>#N/A</v>
      </c>
    </row>
    <row r="138" spans="2:24" x14ac:dyDescent="0.25">
      <c r="B138" s="107" t="e">
        <f>'Emissões Fugitivas'!#REF!</f>
        <v>#REF!</v>
      </c>
      <c r="C138" s="107">
        <f>'Emissões Fugitivas'!B94</f>
        <v>0</v>
      </c>
      <c r="D138" s="107">
        <f>'Emissões Fugitivas'!C94</f>
        <v>0</v>
      </c>
      <c r="E138" s="107">
        <f>'Emissões Fugitivas'!D94</f>
        <v>0</v>
      </c>
      <c r="F138" s="107" t="str">
        <f>'Emissões Fugitivas'!E94</f>
        <v/>
      </c>
      <c r="G138" s="107" t="e">
        <f>'Emissões Fugitivas'!#REF!</f>
        <v>#REF!</v>
      </c>
      <c r="H138" s="107">
        <f>'Emissões Fugitivas'!G94</f>
        <v>0</v>
      </c>
      <c r="I138" s="107" t="str">
        <f>'Emissões Fugitivas'!H94</f>
        <v/>
      </c>
      <c r="J138" s="22" t="e">
        <f>IF(VLOOKUP(B138,Identificação!#REF!,3,FALSE)="",2,VLOOKUP(B138,Identificação!#REF!,3,FALSE))</f>
        <v>#REF!</v>
      </c>
      <c r="K138" s="22" t="str">
        <f t="shared" si="7"/>
        <v/>
      </c>
      <c r="L138" s="22" t="str">
        <f t="shared" si="8"/>
        <v/>
      </c>
      <c r="M138" s="22" t="str">
        <f t="shared" si="9"/>
        <v/>
      </c>
      <c r="N138" s="112" t="str">
        <f t="shared" si="17"/>
        <v/>
      </c>
      <c r="O138" s="112" t="str">
        <f>IF(C138=$B$68,$E$96*H138*'Fatores de Emissão'!$E$260,"")</f>
        <v/>
      </c>
      <c r="P138" s="112" t="str">
        <f>IF(C138=$B$68,$E$95*H138*'Fatores de Emissão'!$E$261,"")</f>
        <v/>
      </c>
      <c r="Q138" s="112" t="str">
        <f>IF(C138=$B$69,$E$98*H138*'Fatores de Emissão'!$E$260/1000,"")</f>
        <v/>
      </c>
      <c r="R138" s="112" t="str">
        <f>IF(C138=$B$69,$E$97*H138*'Fatores de Emissão'!$E$261/1000,"")</f>
        <v/>
      </c>
      <c r="S138" s="113" t="str">
        <f t="shared" si="10"/>
        <v/>
      </c>
      <c r="T138" s="113" t="str">
        <f t="shared" si="11"/>
        <v/>
      </c>
      <c r="U138" s="113" t="str">
        <f t="shared" si="12"/>
        <v/>
      </c>
      <c r="V138" s="22" t="str">
        <f t="shared" si="15"/>
        <v/>
      </c>
      <c r="W138" s="22" t="e">
        <f t="shared" si="13"/>
        <v>#N/A</v>
      </c>
      <c r="X138" s="22" t="e">
        <f t="shared" si="16"/>
        <v>#N/A</v>
      </c>
    </row>
    <row r="139" spans="2:24" x14ac:dyDescent="0.25">
      <c r="B139" s="107" t="e">
        <f>'Emissões Fugitivas'!#REF!</f>
        <v>#REF!</v>
      </c>
      <c r="C139" s="107">
        <f>'Emissões Fugitivas'!B95</f>
        <v>0</v>
      </c>
      <c r="D139" s="107">
        <f>'Emissões Fugitivas'!C95</f>
        <v>0</v>
      </c>
      <c r="E139" s="107">
        <f>'Emissões Fugitivas'!D95</f>
        <v>0</v>
      </c>
      <c r="F139" s="107" t="str">
        <f>'Emissões Fugitivas'!E95</f>
        <v/>
      </c>
      <c r="G139" s="107" t="e">
        <f>'Emissões Fugitivas'!#REF!</f>
        <v>#REF!</v>
      </c>
      <c r="H139" s="107">
        <f>'Emissões Fugitivas'!G95</f>
        <v>0</v>
      </c>
      <c r="I139" s="107" t="str">
        <f>'Emissões Fugitivas'!H95</f>
        <v/>
      </c>
      <c r="J139" s="22" t="e">
        <f>IF(VLOOKUP(B139,Identificação!#REF!,3,FALSE)="",2,VLOOKUP(B139,Identificação!#REF!,3,FALSE))</f>
        <v>#REF!</v>
      </c>
      <c r="K139" s="22" t="str">
        <f t="shared" si="7"/>
        <v/>
      </c>
      <c r="L139" s="22" t="str">
        <f t="shared" si="8"/>
        <v/>
      </c>
      <c r="M139" s="22" t="str">
        <f t="shared" si="9"/>
        <v/>
      </c>
      <c r="N139" s="112" t="str">
        <f t="shared" si="17"/>
        <v/>
      </c>
      <c r="O139" s="112" t="str">
        <f>IF(C139=$B$68,$E$96*H139*'Fatores de Emissão'!$E$260,"")</f>
        <v/>
      </c>
      <c r="P139" s="112" t="str">
        <f>IF(C139=$B$68,$E$95*H139*'Fatores de Emissão'!$E$261,"")</f>
        <v/>
      </c>
      <c r="Q139" s="112" t="str">
        <f>IF(C139=$B$69,$E$98*H139*'Fatores de Emissão'!$E$260/1000,"")</f>
        <v/>
      </c>
      <c r="R139" s="112" t="str">
        <f>IF(C139=$B$69,$E$97*H139*'Fatores de Emissão'!$E$261/1000,"")</f>
        <v/>
      </c>
      <c r="S139" s="113" t="str">
        <f t="shared" si="10"/>
        <v/>
      </c>
      <c r="T139" s="113" t="str">
        <f t="shared" si="11"/>
        <v/>
      </c>
      <c r="U139" s="113" t="str">
        <f t="shared" si="12"/>
        <v/>
      </c>
      <c r="V139" s="22" t="str">
        <f t="shared" si="15"/>
        <v/>
      </c>
      <c r="W139" s="22" t="e">
        <f t="shared" si="13"/>
        <v>#N/A</v>
      </c>
      <c r="X139" s="22" t="e">
        <f t="shared" si="16"/>
        <v>#N/A</v>
      </c>
    </row>
    <row r="140" spans="2:24" x14ac:dyDescent="0.25">
      <c r="B140" s="107" t="e">
        <f>'Emissões Fugitivas'!#REF!</f>
        <v>#REF!</v>
      </c>
      <c r="C140" s="107">
        <f>'Emissões Fugitivas'!B96</f>
        <v>0</v>
      </c>
      <c r="D140" s="107">
        <f>'Emissões Fugitivas'!C96</f>
        <v>0</v>
      </c>
      <c r="E140" s="107">
        <f>'Emissões Fugitivas'!D96</f>
        <v>0</v>
      </c>
      <c r="F140" s="107" t="str">
        <f>'Emissões Fugitivas'!E96</f>
        <v/>
      </c>
      <c r="G140" s="107" t="e">
        <f>'Emissões Fugitivas'!#REF!</f>
        <v>#REF!</v>
      </c>
      <c r="H140" s="107">
        <f>'Emissões Fugitivas'!G96</f>
        <v>0</v>
      </c>
      <c r="I140" s="107" t="str">
        <f>'Emissões Fugitivas'!H96</f>
        <v/>
      </c>
      <c r="J140" s="22" t="e">
        <f>IF(VLOOKUP(B140,Identificação!#REF!,3,FALSE)="",2,VLOOKUP(B140,Identificação!#REF!,3,FALSE))</f>
        <v>#REF!</v>
      </c>
      <c r="K140" s="22" t="str">
        <f t="shared" si="7"/>
        <v/>
      </c>
      <c r="L140" s="22" t="str">
        <f t="shared" si="8"/>
        <v/>
      </c>
      <c r="M140" s="22" t="str">
        <f t="shared" si="9"/>
        <v/>
      </c>
      <c r="N140" s="112" t="str">
        <f t="shared" si="17"/>
        <v/>
      </c>
      <c r="O140" s="112" t="str">
        <f>IF(C140=$B$68,$E$96*H140*'Fatores de Emissão'!$E$260,"")</f>
        <v/>
      </c>
      <c r="P140" s="112" t="str">
        <f>IF(C140=$B$68,$E$95*H140*'Fatores de Emissão'!$E$261,"")</f>
        <v/>
      </c>
      <c r="Q140" s="112" t="str">
        <f>IF(C140=$B$69,$E$98*H140*'Fatores de Emissão'!$E$260/1000,"")</f>
        <v/>
      </c>
      <c r="R140" s="112" t="str">
        <f>IF(C140=$B$69,$E$97*H140*'Fatores de Emissão'!$E$261/1000,"")</f>
        <v/>
      </c>
      <c r="S140" s="113" t="str">
        <f t="shared" si="10"/>
        <v/>
      </c>
      <c r="T140" s="113" t="str">
        <f t="shared" si="11"/>
        <v/>
      </c>
      <c r="U140" s="113" t="str">
        <f t="shared" si="12"/>
        <v/>
      </c>
      <c r="V140" s="22" t="str">
        <f t="shared" si="15"/>
        <v/>
      </c>
      <c r="W140" s="22" t="e">
        <f t="shared" si="13"/>
        <v>#N/A</v>
      </c>
      <c r="X140" s="22" t="e">
        <f t="shared" si="16"/>
        <v>#N/A</v>
      </c>
    </row>
    <row r="141" spans="2:24" x14ac:dyDescent="0.25">
      <c r="B141" s="107" t="e">
        <f>'Emissões Fugitivas'!#REF!</f>
        <v>#REF!</v>
      </c>
      <c r="C141" s="107">
        <f>'Emissões Fugitivas'!B97</f>
        <v>0</v>
      </c>
      <c r="D141" s="107">
        <f>'Emissões Fugitivas'!C97</f>
        <v>0</v>
      </c>
      <c r="E141" s="107">
        <f>'Emissões Fugitivas'!D97</f>
        <v>0</v>
      </c>
      <c r="F141" s="107" t="str">
        <f>'Emissões Fugitivas'!E97</f>
        <v/>
      </c>
      <c r="G141" s="107" t="e">
        <f>'Emissões Fugitivas'!#REF!</f>
        <v>#REF!</v>
      </c>
      <c r="H141" s="107">
        <f>'Emissões Fugitivas'!G97</f>
        <v>0</v>
      </c>
      <c r="I141" s="107" t="str">
        <f>'Emissões Fugitivas'!H97</f>
        <v/>
      </c>
      <c r="J141" s="22" t="e">
        <f>IF(VLOOKUP(B141,Identificação!#REF!,3,FALSE)="",2,VLOOKUP(B141,Identificação!#REF!,3,FALSE))</f>
        <v>#REF!</v>
      </c>
      <c r="K141" s="22" t="str">
        <f t="shared" si="7"/>
        <v/>
      </c>
      <c r="L141" s="22" t="str">
        <f t="shared" si="8"/>
        <v/>
      </c>
      <c r="M141" s="22" t="str">
        <f t="shared" si="9"/>
        <v/>
      </c>
      <c r="N141" s="112" t="str">
        <f t="shared" si="17"/>
        <v/>
      </c>
      <c r="O141" s="112" t="str">
        <f>IF(C141=$B$68,$E$96*H141*'Fatores de Emissão'!$E$260,"")</f>
        <v/>
      </c>
      <c r="P141" s="112" t="str">
        <f>IF(C141=$B$68,$E$95*H141*'Fatores de Emissão'!$E$261,"")</f>
        <v/>
      </c>
      <c r="Q141" s="112" t="str">
        <f>IF(C141=$B$69,$E$98*H141*'Fatores de Emissão'!$E$260/1000,"")</f>
        <v/>
      </c>
      <c r="R141" s="112" t="str">
        <f>IF(C141=$B$69,$E$97*H141*'Fatores de Emissão'!$E$261/1000,"")</f>
        <v/>
      </c>
      <c r="S141" s="113" t="str">
        <f t="shared" si="10"/>
        <v/>
      </c>
      <c r="T141" s="113" t="str">
        <f t="shared" si="11"/>
        <v/>
      </c>
      <c r="U141" s="113" t="str">
        <f t="shared" si="12"/>
        <v/>
      </c>
      <c r="V141" s="22" t="str">
        <f t="shared" si="15"/>
        <v/>
      </c>
      <c r="W141" s="22" t="e">
        <f t="shared" si="13"/>
        <v>#N/A</v>
      </c>
      <c r="X141" s="22" t="e">
        <f t="shared" si="16"/>
        <v>#N/A</v>
      </c>
    </row>
    <row r="142" spans="2:24" x14ac:dyDescent="0.25">
      <c r="B142" s="107" t="e">
        <f>'Emissões Fugitivas'!#REF!</f>
        <v>#REF!</v>
      </c>
      <c r="C142" s="107">
        <f>'Emissões Fugitivas'!B98</f>
        <v>0</v>
      </c>
      <c r="D142" s="107">
        <f>'Emissões Fugitivas'!C98</f>
        <v>0</v>
      </c>
      <c r="E142" s="107">
        <f>'Emissões Fugitivas'!D98</f>
        <v>0</v>
      </c>
      <c r="F142" s="107" t="str">
        <f>'Emissões Fugitivas'!E98</f>
        <v/>
      </c>
      <c r="G142" s="107" t="e">
        <f>'Emissões Fugitivas'!#REF!</f>
        <v>#REF!</v>
      </c>
      <c r="H142" s="107">
        <f>'Emissões Fugitivas'!G98</f>
        <v>0</v>
      </c>
      <c r="I142" s="107" t="str">
        <f>'Emissões Fugitivas'!H98</f>
        <v/>
      </c>
      <c r="J142" s="22" t="e">
        <f>IF(VLOOKUP(B142,Identificação!#REF!,3,FALSE)="",2,VLOOKUP(B142,Identificação!#REF!,3,FALSE))</f>
        <v>#REF!</v>
      </c>
      <c r="K142" s="22" t="str">
        <f t="shared" si="7"/>
        <v/>
      </c>
      <c r="L142" s="22" t="str">
        <f t="shared" si="8"/>
        <v/>
      </c>
      <c r="M142" s="22" t="str">
        <f t="shared" si="9"/>
        <v/>
      </c>
      <c r="N142" s="112" t="str">
        <f t="shared" si="17"/>
        <v/>
      </c>
      <c r="O142" s="112" t="str">
        <f>IF(C142=$B$68,$E$96*H142*'Fatores de Emissão'!$E$260,"")</f>
        <v/>
      </c>
      <c r="P142" s="112" t="str">
        <f>IF(C142=$B$68,$E$95*H142*'Fatores de Emissão'!$E$261,"")</f>
        <v/>
      </c>
      <c r="Q142" s="112" t="str">
        <f>IF(C142=$B$69,$E$98*H142*'Fatores de Emissão'!$E$260/1000,"")</f>
        <v/>
      </c>
      <c r="R142" s="112" t="str">
        <f>IF(C142=$B$69,$E$97*H142*'Fatores de Emissão'!$E$261/1000,"")</f>
        <v/>
      </c>
      <c r="S142" s="113" t="str">
        <f t="shared" si="10"/>
        <v/>
      </c>
      <c r="T142" s="113" t="str">
        <f t="shared" si="11"/>
        <v/>
      </c>
      <c r="U142" s="113" t="str">
        <f t="shared" si="12"/>
        <v/>
      </c>
      <c r="V142" s="22" t="str">
        <f t="shared" si="15"/>
        <v/>
      </c>
      <c r="W142" s="22" t="e">
        <f t="shared" si="13"/>
        <v>#N/A</v>
      </c>
      <c r="X142" s="22" t="e">
        <f t="shared" si="16"/>
        <v>#N/A</v>
      </c>
    </row>
    <row r="143" spans="2:24" x14ac:dyDescent="0.25">
      <c r="B143" s="107" t="e">
        <f>'Emissões Fugitivas'!#REF!</f>
        <v>#REF!</v>
      </c>
      <c r="C143" s="107">
        <f>'Emissões Fugitivas'!B99</f>
        <v>0</v>
      </c>
      <c r="D143" s="107">
        <f>'Emissões Fugitivas'!C99</f>
        <v>0</v>
      </c>
      <c r="E143" s="107">
        <f>'Emissões Fugitivas'!D99</f>
        <v>0</v>
      </c>
      <c r="F143" s="107" t="str">
        <f>'Emissões Fugitivas'!E99</f>
        <v/>
      </c>
      <c r="G143" s="107" t="e">
        <f>'Emissões Fugitivas'!#REF!</f>
        <v>#REF!</v>
      </c>
      <c r="H143" s="107">
        <f>'Emissões Fugitivas'!G99</f>
        <v>0</v>
      </c>
      <c r="I143" s="107" t="str">
        <f>'Emissões Fugitivas'!H99</f>
        <v/>
      </c>
      <c r="J143" s="22" t="e">
        <f>IF(VLOOKUP(B143,Identificação!#REF!,3,FALSE)="",2,VLOOKUP(B143,Identificação!#REF!,3,FALSE))</f>
        <v>#REF!</v>
      </c>
      <c r="K143" s="22" t="str">
        <f t="shared" si="7"/>
        <v/>
      </c>
      <c r="L143" s="22" t="str">
        <f t="shared" si="8"/>
        <v/>
      </c>
      <c r="M143" s="22" t="str">
        <f t="shared" si="9"/>
        <v/>
      </c>
      <c r="N143" s="112" t="str">
        <f t="shared" si="17"/>
        <v/>
      </c>
      <c r="O143" s="112" t="str">
        <f>IF(C143=$B$68,$E$96*H143*'Fatores de Emissão'!$E$260,"")</f>
        <v/>
      </c>
      <c r="P143" s="112" t="str">
        <f>IF(C143=$B$68,$E$95*H143*'Fatores de Emissão'!$E$261,"")</f>
        <v/>
      </c>
      <c r="Q143" s="112" t="str">
        <f>IF(C143=$B$69,$E$98*H143*'Fatores de Emissão'!$E$260/1000,"")</f>
        <v/>
      </c>
      <c r="R143" s="112" t="str">
        <f>IF(C143=$B$69,$E$97*H143*'Fatores de Emissão'!$E$261/1000,"")</f>
        <v/>
      </c>
      <c r="S143" s="113" t="str">
        <f t="shared" si="10"/>
        <v/>
      </c>
      <c r="T143" s="113" t="str">
        <f t="shared" si="11"/>
        <v/>
      </c>
      <c r="U143" s="113" t="str">
        <f t="shared" si="12"/>
        <v/>
      </c>
      <c r="V143" s="22" t="str">
        <f t="shared" si="15"/>
        <v/>
      </c>
      <c r="W143" s="22" t="e">
        <f t="shared" si="13"/>
        <v>#N/A</v>
      </c>
      <c r="X143" s="22" t="e">
        <f t="shared" si="16"/>
        <v>#N/A</v>
      </c>
    </row>
    <row r="144" spans="2:24" x14ac:dyDescent="0.25">
      <c r="B144" s="107" t="e">
        <f>'Emissões Fugitivas'!#REF!</f>
        <v>#REF!</v>
      </c>
      <c r="C144" s="107">
        <f>'Emissões Fugitivas'!B100</f>
        <v>0</v>
      </c>
      <c r="D144" s="107">
        <f>'Emissões Fugitivas'!C100</f>
        <v>0</v>
      </c>
      <c r="E144" s="107">
        <f>'Emissões Fugitivas'!D100</f>
        <v>0</v>
      </c>
      <c r="F144" s="107" t="str">
        <f>'Emissões Fugitivas'!E100</f>
        <v/>
      </c>
      <c r="G144" s="107" t="e">
        <f>'Emissões Fugitivas'!#REF!</f>
        <v>#REF!</v>
      </c>
      <c r="H144" s="107">
        <f>'Emissões Fugitivas'!G100</f>
        <v>0</v>
      </c>
      <c r="I144" s="107" t="str">
        <f>'Emissões Fugitivas'!H100</f>
        <v/>
      </c>
      <c r="J144" s="22" t="e">
        <f>IF(VLOOKUP(B144,Identificação!#REF!,3,FALSE)="",2,VLOOKUP(B144,Identificação!#REF!,3,FALSE))</f>
        <v>#REF!</v>
      </c>
      <c r="K144" s="22" t="str">
        <f t="shared" si="7"/>
        <v/>
      </c>
      <c r="L144" s="22" t="str">
        <f t="shared" si="8"/>
        <v/>
      </c>
      <c r="M144" s="22" t="str">
        <f t="shared" si="9"/>
        <v/>
      </c>
      <c r="N144" s="112" t="str">
        <f t="shared" si="17"/>
        <v/>
      </c>
      <c r="O144" s="112" t="str">
        <f>IF(C144=$B$68,$E$96*H144*'Fatores de Emissão'!$E$260,"")</f>
        <v/>
      </c>
      <c r="P144" s="112" t="str">
        <f>IF(C144=$B$68,$E$95*H144*'Fatores de Emissão'!$E$261,"")</f>
        <v/>
      </c>
      <c r="Q144" s="112" t="str">
        <f>IF(C144=$B$69,$E$98*H144*'Fatores de Emissão'!$E$260/1000,"")</f>
        <v/>
      </c>
      <c r="R144" s="112" t="str">
        <f>IF(C144=$B$69,$E$97*H144*'Fatores de Emissão'!$E$261/1000,"")</f>
        <v/>
      </c>
      <c r="S144" s="113" t="str">
        <f t="shared" si="10"/>
        <v/>
      </c>
      <c r="T144" s="113" t="str">
        <f t="shared" si="11"/>
        <v/>
      </c>
      <c r="U144" s="113" t="str">
        <f t="shared" si="12"/>
        <v/>
      </c>
      <c r="V144" s="22" t="str">
        <f t="shared" si="15"/>
        <v/>
      </c>
      <c r="W144" s="22" t="e">
        <f t="shared" si="13"/>
        <v>#N/A</v>
      </c>
      <c r="X144" s="22" t="e">
        <f t="shared" si="16"/>
        <v>#N/A</v>
      </c>
    </row>
    <row r="145" spans="2:24" x14ac:dyDescent="0.25">
      <c r="B145" s="107" t="e">
        <f>'Emissões Fugitivas'!#REF!</f>
        <v>#REF!</v>
      </c>
      <c r="C145" s="107">
        <f>'Emissões Fugitivas'!B101</f>
        <v>0</v>
      </c>
      <c r="D145" s="107">
        <f>'Emissões Fugitivas'!C101</f>
        <v>0</v>
      </c>
      <c r="E145" s="107">
        <f>'Emissões Fugitivas'!D101</f>
        <v>0</v>
      </c>
      <c r="F145" s="107" t="str">
        <f>'Emissões Fugitivas'!E101</f>
        <v/>
      </c>
      <c r="G145" s="107" t="e">
        <f>'Emissões Fugitivas'!#REF!</f>
        <v>#REF!</v>
      </c>
      <c r="H145" s="107">
        <f>'Emissões Fugitivas'!G101</f>
        <v>0</v>
      </c>
      <c r="I145" s="107" t="str">
        <f>'Emissões Fugitivas'!H101</f>
        <v/>
      </c>
      <c r="J145" s="22" t="e">
        <f>IF(VLOOKUP(B145,Identificação!#REF!,3,FALSE)="",2,VLOOKUP(B145,Identificação!#REF!,3,FALSE))</f>
        <v>#REF!</v>
      </c>
      <c r="K145" s="22" t="str">
        <f t="shared" si="7"/>
        <v/>
      </c>
      <c r="L145" s="22" t="str">
        <f t="shared" si="8"/>
        <v/>
      </c>
      <c r="M145" s="22" t="str">
        <f t="shared" si="9"/>
        <v/>
      </c>
      <c r="N145" s="112" t="str">
        <f t="shared" si="17"/>
        <v/>
      </c>
      <c r="O145" s="112" t="str">
        <f>IF(C145=$B$68,$E$96*H145*'Fatores de Emissão'!$E$260,"")</f>
        <v/>
      </c>
      <c r="P145" s="112" t="str">
        <f>IF(C145=$B$68,$E$95*H145*'Fatores de Emissão'!$E$261,"")</f>
        <v/>
      </c>
      <c r="Q145" s="112" t="str">
        <f>IF(C145=$B$69,$E$98*H145*'Fatores de Emissão'!$E$260/1000,"")</f>
        <v/>
      </c>
      <c r="R145" s="112" t="str">
        <f>IF(C145=$B$69,$E$97*H145*'Fatores de Emissão'!$E$261/1000,"")</f>
        <v/>
      </c>
      <c r="S145" s="113" t="str">
        <f t="shared" si="10"/>
        <v/>
      </c>
      <c r="T145" s="113" t="str">
        <f t="shared" si="11"/>
        <v/>
      </c>
      <c r="U145" s="113" t="str">
        <f t="shared" si="12"/>
        <v/>
      </c>
      <c r="V145" s="22" t="str">
        <f t="shared" si="15"/>
        <v/>
      </c>
      <c r="W145" s="22" t="e">
        <f t="shared" si="13"/>
        <v>#N/A</v>
      </c>
      <c r="X145" s="22" t="e">
        <f t="shared" si="16"/>
        <v>#N/A</v>
      </c>
    </row>
    <row r="146" spans="2:24" x14ac:dyDescent="0.25">
      <c r="B146" s="107" t="e">
        <f>'Emissões Fugitivas'!#REF!</f>
        <v>#REF!</v>
      </c>
      <c r="C146" s="107">
        <f>'Emissões Fugitivas'!B102</f>
        <v>0</v>
      </c>
      <c r="D146" s="107">
        <f>'Emissões Fugitivas'!C102</f>
        <v>0</v>
      </c>
      <c r="E146" s="107">
        <f>'Emissões Fugitivas'!D102</f>
        <v>0</v>
      </c>
      <c r="F146" s="107" t="str">
        <f>'Emissões Fugitivas'!E102</f>
        <v/>
      </c>
      <c r="G146" s="107" t="e">
        <f>'Emissões Fugitivas'!#REF!</f>
        <v>#REF!</v>
      </c>
      <c r="H146" s="107">
        <f>'Emissões Fugitivas'!G102</f>
        <v>0</v>
      </c>
      <c r="I146" s="107" t="str">
        <f>'Emissões Fugitivas'!H102</f>
        <v/>
      </c>
      <c r="J146" s="22" t="e">
        <f>IF(VLOOKUP(B146,Identificação!#REF!,3,FALSE)="",2,VLOOKUP(B146,Identificação!#REF!,3,FALSE))</f>
        <v>#REF!</v>
      </c>
      <c r="K146" s="22" t="str">
        <f t="shared" si="7"/>
        <v/>
      </c>
      <c r="L146" s="22" t="str">
        <f t="shared" si="8"/>
        <v/>
      </c>
      <c r="M146" s="22" t="str">
        <f t="shared" si="9"/>
        <v/>
      </c>
      <c r="N146" s="112" t="str">
        <f t="shared" si="17"/>
        <v/>
      </c>
      <c r="O146" s="112" t="str">
        <f>IF(C146=$B$68,$E$96*H146*'Fatores de Emissão'!$E$260,"")</f>
        <v/>
      </c>
      <c r="P146" s="112" t="str">
        <f>IF(C146=$B$68,$E$95*H146*'Fatores de Emissão'!$E$261,"")</f>
        <v/>
      </c>
      <c r="Q146" s="112" t="str">
        <f>IF(C146=$B$69,$E$98*H146*'Fatores de Emissão'!$E$260/1000,"")</f>
        <v/>
      </c>
      <c r="R146" s="112" t="str">
        <f>IF(C146=$B$69,$E$97*H146*'Fatores de Emissão'!$E$261/1000,"")</f>
        <v/>
      </c>
      <c r="S146" s="113" t="str">
        <f t="shared" si="10"/>
        <v/>
      </c>
      <c r="T146" s="113" t="str">
        <f t="shared" si="11"/>
        <v/>
      </c>
      <c r="U146" s="113" t="str">
        <f t="shared" si="12"/>
        <v/>
      </c>
      <c r="V146" s="22" t="str">
        <f t="shared" si="15"/>
        <v/>
      </c>
      <c r="W146" s="22" t="e">
        <f t="shared" si="13"/>
        <v>#N/A</v>
      </c>
      <c r="X146" s="22" t="e">
        <f t="shared" si="16"/>
        <v>#N/A</v>
      </c>
    </row>
    <row r="147" spans="2:24" x14ac:dyDescent="0.25">
      <c r="B147" s="107" t="e">
        <f>'Emissões Fugitivas'!#REF!</f>
        <v>#REF!</v>
      </c>
      <c r="C147" s="107">
        <f>'Emissões Fugitivas'!B103</f>
        <v>0</v>
      </c>
      <c r="D147" s="107">
        <f>'Emissões Fugitivas'!C103</f>
        <v>0</v>
      </c>
      <c r="E147" s="107">
        <f>'Emissões Fugitivas'!D103</f>
        <v>0</v>
      </c>
      <c r="F147" s="107" t="str">
        <f>'Emissões Fugitivas'!E103</f>
        <v/>
      </c>
      <c r="G147" s="107" t="e">
        <f>'Emissões Fugitivas'!#REF!</f>
        <v>#REF!</v>
      </c>
      <c r="H147" s="107">
        <f>'Emissões Fugitivas'!G103</f>
        <v>0</v>
      </c>
      <c r="I147" s="107" t="str">
        <f>'Emissões Fugitivas'!H103</f>
        <v/>
      </c>
      <c r="J147" s="22" t="e">
        <f>IF(VLOOKUP(B147,Identificação!#REF!,3,FALSE)="",2,VLOOKUP(B147,Identificação!#REF!,3,FALSE))</f>
        <v>#REF!</v>
      </c>
      <c r="K147" s="22" t="str">
        <f t="shared" si="7"/>
        <v/>
      </c>
      <c r="L147" s="22" t="str">
        <f t="shared" si="8"/>
        <v/>
      </c>
      <c r="M147" s="22" t="str">
        <f t="shared" si="9"/>
        <v/>
      </c>
      <c r="N147" s="112" t="str">
        <f t="shared" si="17"/>
        <v/>
      </c>
      <c r="O147" s="112" t="str">
        <f>IF(C147=$B$68,$E$96*H147*'Fatores de Emissão'!$E$260,"")</f>
        <v/>
      </c>
      <c r="P147" s="112" t="str">
        <f>IF(C147=$B$68,$E$95*H147*'Fatores de Emissão'!$E$261,"")</f>
        <v/>
      </c>
      <c r="Q147" s="112" t="str">
        <f>IF(C147=$B$69,$E$98*H147*'Fatores de Emissão'!$E$260/1000,"")</f>
        <v/>
      </c>
      <c r="R147" s="112" t="str">
        <f>IF(C147=$B$69,$E$97*H147*'Fatores de Emissão'!$E$261/1000,"")</f>
        <v/>
      </c>
      <c r="S147" s="113" t="str">
        <f t="shared" si="10"/>
        <v/>
      </c>
      <c r="T147" s="113" t="str">
        <f t="shared" si="11"/>
        <v/>
      </c>
      <c r="U147" s="113" t="str">
        <f t="shared" si="12"/>
        <v/>
      </c>
      <c r="V147" s="22" t="str">
        <f t="shared" si="15"/>
        <v/>
      </c>
      <c r="W147" s="22" t="e">
        <f t="shared" si="13"/>
        <v>#N/A</v>
      </c>
      <c r="X147" s="22" t="e">
        <f t="shared" si="16"/>
        <v>#N/A</v>
      </c>
    </row>
    <row r="148" spans="2:24" x14ac:dyDescent="0.25">
      <c r="B148" s="107" t="e">
        <f>'Emissões Fugitivas'!#REF!</f>
        <v>#REF!</v>
      </c>
      <c r="C148" s="107">
        <f>'Emissões Fugitivas'!B104</f>
        <v>0</v>
      </c>
      <c r="D148" s="107">
        <f>'Emissões Fugitivas'!C104</f>
        <v>0</v>
      </c>
      <c r="E148" s="107">
        <f>'Emissões Fugitivas'!D104</f>
        <v>0</v>
      </c>
      <c r="F148" s="107" t="str">
        <f>'Emissões Fugitivas'!E104</f>
        <v/>
      </c>
      <c r="G148" s="107" t="e">
        <f>'Emissões Fugitivas'!#REF!</f>
        <v>#REF!</v>
      </c>
      <c r="H148" s="107">
        <f>'Emissões Fugitivas'!G104</f>
        <v>0</v>
      </c>
      <c r="I148" s="107" t="str">
        <f>'Emissões Fugitivas'!H104</f>
        <v/>
      </c>
      <c r="J148" s="22" t="e">
        <f>IF(VLOOKUP(B148,Identificação!#REF!,3,FALSE)="",2,VLOOKUP(B148,Identificação!#REF!,3,FALSE))</f>
        <v>#REF!</v>
      </c>
      <c r="K148" s="22" t="str">
        <f t="shared" si="7"/>
        <v/>
      </c>
      <c r="L148" s="22" t="str">
        <f t="shared" si="8"/>
        <v/>
      </c>
      <c r="M148" s="22" t="str">
        <f t="shared" si="9"/>
        <v/>
      </c>
      <c r="N148" s="112" t="str">
        <f t="shared" si="17"/>
        <v/>
      </c>
      <c r="O148" s="112" t="str">
        <f>IF(C148=$B$68,$E$96*H148*'Fatores de Emissão'!$E$260,"")</f>
        <v/>
      </c>
      <c r="P148" s="112" t="str">
        <f>IF(C148=$B$68,$E$95*H148*'Fatores de Emissão'!$E$261,"")</f>
        <v/>
      </c>
      <c r="Q148" s="112" t="str">
        <f>IF(C148=$B$69,$E$98*H148*'Fatores de Emissão'!$E$260/1000,"")</f>
        <v/>
      </c>
      <c r="R148" s="112" t="str">
        <f>IF(C148=$B$69,$E$97*H148*'Fatores de Emissão'!$E$261/1000,"")</f>
        <v/>
      </c>
      <c r="S148" s="113" t="str">
        <f t="shared" si="10"/>
        <v/>
      </c>
      <c r="T148" s="113" t="str">
        <f t="shared" si="11"/>
        <v/>
      </c>
      <c r="U148" s="113" t="str">
        <f t="shared" si="12"/>
        <v/>
      </c>
      <c r="V148" s="22" t="str">
        <f t="shared" si="15"/>
        <v/>
      </c>
      <c r="W148" s="22" t="e">
        <f t="shared" si="13"/>
        <v>#N/A</v>
      </c>
      <c r="X148" s="22" t="e">
        <f t="shared" si="16"/>
        <v>#N/A</v>
      </c>
    </row>
    <row r="149" spans="2:24" x14ac:dyDescent="0.25">
      <c r="B149" s="107" t="e">
        <f>'Emissões Fugitivas'!#REF!</f>
        <v>#REF!</v>
      </c>
      <c r="C149" s="107">
        <f>'Emissões Fugitivas'!B105</f>
        <v>0</v>
      </c>
      <c r="D149" s="107">
        <f>'Emissões Fugitivas'!C105</f>
        <v>0</v>
      </c>
      <c r="E149" s="107">
        <f>'Emissões Fugitivas'!D105</f>
        <v>0</v>
      </c>
      <c r="F149" s="107" t="str">
        <f>'Emissões Fugitivas'!E105</f>
        <v/>
      </c>
      <c r="G149" s="107" t="e">
        <f>'Emissões Fugitivas'!#REF!</f>
        <v>#REF!</v>
      </c>
      <c r="H149" s="107">
        <f>'Emissões Fugitivas'!G105</f>
        <v>0</v>
      </c>
      <c r="I149" s="107" t="str">
        <f>'Emissões Fugitivas'!H105</f>
        <v/>
      </c>
      <c r="J149" s="22" t="e">
        <f>IF(VLOOKUP(B149,Identificação!#REF!,3,FALSE)="",2,VLOOKUP(B149,Identificação!#REF!,3,FALSE))</f>
        <v>#REF!</v>
      </c>
      <c r="K149" s="22" t="str">
        <f t="shared" ref="K149:K180" si="18">IF(C149=$B$66,$E$87,IF(C149=$B$67,$E$91,""))</f>
        <v/>
      </c>
      <c r="L149" s="22" t="str">
        <f t="shared" ref="L149:L180" si="19">IF(C149=$B$66,$E$88,IF(C149=$B$67,$E$92,""))</f>
        <v/>
      </c>
      <c r="M149" s="22" t="str">
        <f t="shared" ref="M149:M180" si="20">IF(C149=$B$66,$E$89,IF(C149=$B$67,$E$93,""))</f>
        <v/>
      </c>
      <c r="N149" s="112" t="str">
        <f t="shared" si="17"/>
        <v/>
      </c>
      <c r="O149" s="112" t="str">
        <f>IF(C149=$B$68,$E$96*H149*'Fatores de Emissão'!$E$260,"")</f>
        <v/>
      </c>
      <c r="P149" s="112" t="str">
        <f>IF(C149=$B$68,$E$95*H149*'Fatores de Emissão'!$E$261,"")</f>
        <v/>
      </c>
      <c r="Q149" s="112" t="str">
        <f>IF(C149=$B$69,$E$98*H149*'Fatores de Emissão'!$E$260/1000,"")</f>
        <v/>
      </c>
      <c r="R149" s="112" t="str">
        <f>IF(C149=$B$69,$E$97*H149*'Fatores de Emissão'!$E$261/1000,"")</f>
        <v/>
      </c>
      <c r="S149" s="113" t="str">
        <f t="shared" ref="S149:S180" si="21">IF($C149=S$115,$E$102*$H149,"")</f>
        <v/>
      </c>
      <c r="T149" s="113" t="str">
        <f t="shared" ref="T149:T180" si="22">IF($C149=T$115,$E$110*$H149,"")</f>
        <v/>
      </c>
      <c r="U149" s="113" t="str">
        <f t="shared" ref="U149:U180" si="23">IF($C149=U$115,$E$106*$H149,"")</f>
        <v/>
      </c>
      <c r="V149" s="22" t="str">
        <f t="shared" si="15"/>
        <v/>
      </c>
      <c r="W149" s="22" t="e">
        <f t="shared" ref="W149:W180" si="24">IF(VLOOKUP(C149,$B$59:$D$80,3,FALSE)="",E149,VLOOKUP(C149,$B$59:$D$80,3,FALSE))</f>
        <v>#N/A</v>
      </c>
      <c r="X149" s="22" t="e">
        <f t="shared" si="16"/>
        <v>#N/A</v>
      </c>
    </row>
    <row r="150" spans="2:24" x14ac:dyDescent="0.25">
      <c r="B150" s="107" t="e">
        <f>'Emissões Fugitivas'!#REF!</f>
        <v>#REF!</v>
      </c>
      <c r="C150" s="107">
        <f>'Emissões Fugitivas'!B106</f>
        <v>0</v>
      </c>
      <c r="D150" s="107">
        <f>'Emissões Fugitivas'!C106</f>
        <v>0</v>
      </c>
      <c r="E150" s="107">
        <f>'Emissões Fugitivas'!D106</f>
        <v>0</v>
      </c>
      <c r="F150" s="107" t="str">
        <f>'Emissões Fugitivas'!E106</f>
        <v/>
      </c>
      <c r="G150" s="107" t="e">
        <f>'Emissões Fugitivas'!#REF!</f>
        <v>#REF!</v>
      </c>
      <c r="H150" s="107">
        <f>'Emissões Fugitivas'!G106</f>
        <v>0</v>
      </c>
      <c r="I150" s="107" t="str">
        <f>'Emissões Fugitivas'!H106</f>
        <v/>
      </c>
      <c r="J150" s="22" t="e">
        <f>IF(VLOOKUP(B150,Identificação!#REF!,3,FALSE)="",2,VLOOKUP(B150,Identificação!#REF!,3,FALSE))</f>
        <v>#REF!</v>
      </c>
      <c r="K150" s="22" t="str">
        <f t="shared" si="18"/>
        <v/>
      </c>
      <c r="L150" s="22" t="str">
        <f t="shared" si="19"/>
        <v/>
      </c>
      <c r="M150" s="22" t="str">
        <f t="shared" si="20"/>
        <v/>
      </c>
      <c r="N150" s="112" t="str">
        <f t="shared" si="17"/>
        <v/>
      </c>
      <c r="O150" s="112" t="str">
        <f>IF(C150=$B$68,$E$96*H150*'Fatores de Emissão'!$E$260,"")</f>
        <v/>
      </c>
      <c r="P150" s="112" t="str">
        <f>IF(C150=$B$68,$E$95*H150*'Fatores de Emissão'!$E$261,"")</f>
        <v/>
      </c>
      <c r="Q150" s="112" t="str">
        <f>IF(C150=$B$69,$E$98*H150*'Fatores de Emissão'!$E$260/1000,"")</f>
        <v/>
      </c>
      <c r="R150" s="112" t="str">
        <f>IF(C150=$B$69,$E$97*H150*'Fatores de Emissão'!$E$261/1000,"")</f>
        <v/>
      </c>
      <c r="S150" s="113" t="str">
        <f t="shared" si="21"/>
        <v/>
      </c>
      <c r="T150" s="113" t="str">
        <f t="shared" si="22"/>
        <v/>
      </c>
      <c r="U150" s="113" t="str">
        <f t="shared" si="23"/>
        <v/>
      </c>
      <c r="V150" s="22" t="str">
        <f t="shared" si="15"/>
        <v/>
      </c>
      <c r="W150" s="22" t="e">
        <f t="shared" si="24"/>
        <v>#N/A</v>
      </c>
      <c r="X150" s="22" t="e">
        <f t="shared" si="16"/>
        <v>#N/A</v>
      </c>
    </row>
    <row r="151" spans="2:24" x14ac:dyDescent="0.25">
      <c r="B151" s="107" t="e">
        <f>'Emissões Fugitivas'!#REF!</f>
        <v>#REF!</v>
      </c>
      <c r="C151" s="107">
        <f>'Emissões Fugitivas'!B107</f>
        <v>0</v>
      </c>
      <c r="D151" s="107">
        <f>'Emissões Fugitivas'!C107</f>
        <v>0</v>
      </c>
      <c r="E151" s="107">
        <f>'Emissões Fugitivas'!D107</f>
        <v>0</v>
      </c>
      <c r="F151" s="107" t="str">
        <f>'Emissões Fugitivas'!E107</f>
        <v/>
      </c>
      <c r="G151" s="107" t="e">
        <f>'Emissões Fugitivas'!#REF!</f>
        <v>#REF!</v>
      </c>
      <c r="H151" s="107">
        <f>'Emissões Fugitivas'!G107</f>
        <v>0</v>
      </c>
      <c r="I151" s="107" t="str">
        <f>'Emissões Fugitivas'!H107</f>
        <v/>
      </c>
      <c r="J151" s="22" t="e">
        <f>IF(VLOOKUP(B151,Identificação!#REF!,3,FALSE)="",2,VLOOKUP(B151,Identificação!#REF!,3,FALSE))</f>
        <v>#REF!</v>
      </c>
      <c r="K151" s="22" t="str">
        <f t="shared" si="18"/>
        <v/>
      </c>
      <c r="L151" s="22" t="str">
        <f t="shared" si="19"/>
        <v/>
      </c>
      <c r="M151" s="22" t="str">
        <f t="shared" si="20"/>
        <v/>
      </c>
      <c r="N151" s="112" t="str">
        <f t="shared" si="17"/>
        <v/>
      </c>
      <c r="O151" s="112" t="str">
        <f>IF(C151=$B$68,$E$96*H151*'Fatores de Emissão'!$E$260,"")</f>
        <v/>
      </c>
      <c r="P151" s="112" t="str">
        <f>IF(C151=$B$68,$E$95*H151*'Fatores de Emissão'!$E$261,"")</f>
        <v/>
      </c>
      <c r="Q151" s="112" t="str">
        <f>IF(C151=$B$69,$E$98*H151*'Fatores de Emissão'!$E$260/1000,"")</f>
        <v/>
      </c>
      <c r="R151" s="112" t="str">
        <f>IF(C151=$B$69,$E$97*H151*'Fatores de Emissão'!$E$261/1000,"")</f>
        <v/>
      </c>
      <c r="S151" s="113" t="str">
        <f t="shared" si="21"/>
        <v/>
      </c>
      <c r="T151" s="113" t="str">
        <f t="shared" si="22"/>
        <v/>
      </c>
      <c r="U151" s="113" t="str">
        <f t="shared" si="23"/>
        <v/>
      </c>
      <c r="V151" s="22" t="str">
        <f t="shared" si="15"/>
        <v/>
      </c>
      <c r="W151" s="22" t="e">
        <f t="shared" si="24"/>
        <v>#N/A</v>
      </c>
      <c r="X151" s="22" t="e">
        <f t="shared" si="16"/>
        <v>#N/A</v>
      </c>
    </row>
    <row r="152" spans="2:24" x14ac:dyDescent="0.25">
      <c r="B152" s="107" t="e">
        <f>'Emissões Fugitivas'!#REF!</f>
        <v>#REF!</v>
      </c>
      <c r="C152" s="107">
        <f>'Emissões Fugitivas'!B108</f>
        <v>0</v>
      </c>
      <c r="D152" s="107">
        <f>'Emissões Fugitivas'!C108</f>
        <v>0</v>
      </c>
      <c r="E152" s="107">
        <f>'Emissões Fugitivas'!D108</f>
        <v>0</v>
      </c>
      <c r="F152" s="107" t="str">
        <f>'Emissões Fugitivas'!E108</f>
        <v/>
      </c>
      <c r="G152" s="107" t="e">
        <f>'Emissões Fugitivas'!#REF!</f>
        <v>#REF!</v>
      </c>
      <c r="H152" s="107">
        <f>'Emissões Fugitivas'!G108</f>
        <v>0</v>
      </c>
      <c r="I152" s="107" t="str">
        <f>'Emissões Fugitivas'!H108</f>
        <v/>
      </c>
      <c r="J152" s="22" t="e">
        <f>IF(VLOOKUP(B152,Identificação!#REF!,3,FALSE)="",2,VLOOKUP(B152,Identificação!#REF!,3,FALSE))</f>
        <v>#REF!</v>
      </c>
      <c r="K152" s="22" t="str">
        <f t="shared" si="18"/>
        <v/>
      </c>
      <c r="L152" s="22" t="str">
        <f t="shared" si="19"/>
        <v/>
      </c>
      <c r="M152" s="22" t="str">
        <f t="shared" si="20"/>
        <v/>
      </c>
      <c r="N152" s="112" t="str">
        <f t="shared" si="17"/>
        <v/>
      </c>
      <c r="O152" s="112" t="str">
        <f>IF(C152=$B$68,$E$96*H152*'Fatores de Emissão'!$E$260,"")</f>
        <v/>
      </c>
      <c r="P152" s="112" t="str">
        <f>IF(C152=$B$68,$E$95*H152*'Fatores de Emissão'!$E$261,"")</f>
        <v/>
      </c>
      <c r="Q152" s="112" t="str">
        <f>IF(C152=$B$69,$E$98*H152*'Fatores de Emissão'!$E$260/1000,"")</f>
        <v/>
      </c>
      <c r="R152" s="112" t="str">
        <f>IF(C152=$B$69,$E$97*H152*'Fatores de Emissão'!$E$261/1000,"")</f>
        <v/>
      </c>
      <c r="S152" s="113" t="str">
        <f t="shared" si="21"/>
        <v/>
      </c>
      <c r="T152" s="113" t="str">
        <f t="shared" si="22"/>
        <v/>
      </c>
      <c r="U152" s="113" t="str">
        <f t="shared" si="23"/>
        <v/>
      </c>
      <c r="V152" s="22" t="str">
        <f t="shared" si="15"/>
        <v/>
      </c>
      <c r="W152" s="22" t="e">
        <f t="shared" si="24"/>
        <v>#N/A</v>
      </c>
      <c r="X152" s="22" t="e">
        <f t="shared" si="16"/>
        <v>#N/A</v>
      </c>
    </row>
    <row r="153" spans="2:24" x14ac:dyDescent="0.25">
      <c r="B153" s="107" t="e">
        <f>'Emissões Fugitivas'!#REF!</f>
        <v>#REF!</v>
      </c>
      <c r="C153" s="107">
        <f>'Emissões Fugitivas'!B109</f>
        <v>0</v>
      </c>
      <c r="D153" s="107">
        <f>'Emissões Fugitivas'!C109</f>
        <v>0</v>
      </c>
      <c r="E153" s="107">
        <f>'Emissões Fugitivas'!D109</f>
        <v>0</v>
      </c>
      <c r="F153" s="107" t="str">
        <f>'Emissões Fugitivas'!E109</f>
        <v/>
      </c>
      <c r="G153" s="107" t="e">
        <f>'Emissões Fugitivas'!#REF!</f>
        <v>#REF!</v>
      </c>
      <c r="H153" s="107">
        <f>'Emissões Fugitivas'!G109</f>
        <v>0</v>
      </c>
      <c r="I153" s="107" t="str">
        <f>'Emissões Fugitivas'!H109</f>
        <v/>
      </c>
      <c r="J153" s="22" t="e">
        <f>IF(VLOOKUP(B153,Identificação!#REF!,3,FALSE)="",2,VLOOKUP(B153,Identificação!#REF!,3,FALSE))</f>
        <v>#REF!</v>
      </c>
      <c r="K153" s="22" t="str">
        <f t="shared" si="18"/>
        <v/>
      </c>
      <c r="L153" s="22" t="str">
        <f t="shared" si="19"/>
        <v/>
      </c>
      <c r="M153" s="22" t="str">
        <f t="shared" si="20"/>
        <v/>
      </c>
      <c r="N153" s="112" t="str">
        <f t="shared" si="17"/>
        <v/>
      </c>
      <c r="O153" s="112" t="str">
        <f>IF(C153=$B$68,$E$96*H153*'Fatores de Emissão'!$E$260,"")</f>
        <v/>
      </c>
      <c r="P153" s="112" t="str">
        <f>IF(C153=$B$68,$E$95*H153*'Fatores de Emissão'!$E$261,"")</f>
        <v/>
      </c>
      <c r="Q153" s="112" t="str">
        <f>IF(C153=$B$69,$E$98*H153*'Fatores de Emissão'!$E$260/1000,"")</f>
        <v/>
      </c>
      <c r="R153" s="112" t="str">
        <f>IF(C153=$B$69,$E$97*H153*'Fatores de Emissão'!$E$261/1000,"")</f>
        <v/>
      </c>
      <c r="S153" s="113" t="str">
        <f t="shared" si="21"/>
        <v/>
      </c>
      <c r="T153" s="113" t="str">
        <f t="shared" si="22"/>
        <v/>
      </c>
      <c r="U153" s="113" t="str">
        <f t="shared" si="23"/>
        <v/>
      </c>
      <c r="V153" s="22" t="str">
        <f t="shared" si="15"/>
        <v/>
      </c>
      <c r="W153" s="22" t="e">
        <f t="shared" si="24"/>
        <v>#N/A</v>
      </c>
      <c r="X153" s="22" t="e">
        <f t="shared" si="16"/>
        <v>#N/A</v>
      </c>
    </row>
    <row r="154" spans="2:24" x14ac:dyDescent="0.25">
      <c r="B154" s="107" t="e">
        <f>'Emissões Fugitivas'!#REF!</f>
        <v>#REF!</v>
      </c>
      <c r="C154" s="107">
        <f>'Emissões Fugitivas'!B110</f>
        <v>0</v>
      </c>
      <c r="D154" s="107">
        <f>'Emissões Fugitivas'!C110</f>
        <v>0</v>
      </c>
      <c r="E154" s="107">
        <f>'Emissões Fugitivas'!D110</f>
        <v>0</v>
      </c>
      <c r="F154" s="107" t="str">
        <f>'Emissões Fugitivas'!E110</f>
        <v/>
      </c>
      <c r="G154" s="107" t="e">
        <f>'Emissões Fugitivas'!#REF!</f>
        <v>#REF!</v>
      </c>
      <c r="H154" s="107">
        <f>'Emissões Fugitivas'!G110</f>
        <v>0</v>
      </c>
      <c r="I154" s="107" t="str">
        <f>'Emissões Fugitivas'!H110</f>
        <v/>
      </c>
      <c r="J154" s="22" t="e">
        <f>IF(VLOOKUP(B154,Identificação!#REF!,3,FALSE)="",2,VLOOKUP(B154,Identificação!#REF!,3,FALSE))</f>
        <v>#REF!</v>
      </c>
      <c r="K154" s="22" t="str">
        <f t="shared" si="18"/>
        <v/>
      </c>
      <c r="L154" s="22" t="str">
        <f t="shared" si="19"/>
        <v/>
      </c>
      <c r="M154" s="22" t="str">
        <f t="shared" si="20"/>
        <v/>
      </c>
      <c r="N154" s="112" t="str">
        <f t="shared" si="17"/>
        <v/>
      </c>
      <c r="O154" s="112" t="str">
        <f>IF(C154=$B$68,$E$96*H154*'Fatores de Emissão'!$E$260,"")</f>
        <v/>
      </c>
      <c r="P154" s="112" t="str">
        <f>IF(C154=$B$68,$E$95*H154*'Fatores de Emissão'!$E$261,"")</f>
        <v/>
      </c>
      <c r="Q154" s="112" t="str">
        <f>IF(C154=$B$69,$E$98*H154*'Fatores de Emissão'!$E$260/1000,"")</f>
        <v/>
      </c>
      <c r="R154" s="112" t="str">
        <f>IF(C154=$B$69,$E$97*H154*'Fatores de Emissão'!$E$261/1000,"")</f>
        <v/>
      </c>
      <c r="S154" s="113" t="str">
        <f t="shared" si="21"/>
        <v/>
      </c>
      <c r="T154" s="113" t="str">
        <f t="shared" si="22"/>
        <v/>
      </c>
      <c r="U154" s="113" t="str">
        <f t="shared" si="23"/>
        <v/>
      </c>
      <c r="V154" s="22" t="str">
        <f t="shared" si="15"/>
        <v/>
      </c>
      <c r="W154" s="22" t="e">
        <f t="shared" si="24"/>
        <v>#N/A</v>
      </c>
      <c r="X154" s="22" t="e">
        <f t="shared" si="16"/>
        <v>#N/A</v>
      </c>
    </row>
    <row r="155" spans="2:24" x14ac:dyDescent="0.25">
      <c r="B155" s="107" t="e">
        <f>'Emissões Fugitivas'!#REF!</f>
        <v>#REF!</v>
      </c>
      <c r="C155" s="107">
        <f>'Emissões Fugitivas'!B111</f>
        <v>0</v>
      </c>
      <c r="D155" s="107">
        <f>'Emissões Fugitivas'!C111</f>
        <v>0</v>
      </c>
      <c r="E155" s="107">
        <f>'Emissões Fugitivas'!D111</f>
        <v>0</v>
      </c>
      <c r="F155" s="107" t="str">
        <f>'Emissões Fugitivas'!E111</f>
        <v/>
      </c>
      <c r="G155" s="107" t="e">
        <f>'Emissões Fugitivas'!#REF!</f>
        <v>#REF!</v>
      </c>
      <c r="H155" s="107">
        <f>'Emissões Fugitivas'!G111</f>
        <v>0</v>
      </c>
      <c r="I155" s="107" t="str">
        <f>'Emissões Fugitivas'!H111</f>
        <v/>
      </c>
      <c r="J155" s="22" t="e">
        <f>IF(VLOOKUP(B155,Identificação!#REF!,3,FALSE)="",2,VLOOKUP(B155,Identificação!#REF!,3,FALSE))</f>
        <v>#REF!</v>
      </c>
      <c r="K155" s="22" t="str">
        <f t="shared" si="18"/>
        <v/>
      </c>
      <c r="L155" s="22" t="str">
        <f t="shared" si="19"/>
        <v/>
      </c>
      <c r="M155" s="22" t="str">
        <f t="shared" si="20"/>
        <v/>
      </c>
      <c r="N155" s="112" t="str">
        <f t="shared" si="17"/>
        <v/>
      </c>
      <c r="O155" s="112" t="str">
        <f>IF(C155=$B$68,$E$96*H155*'Fatores de Emissão'!$E$260,"")</f>
        <v/>
      </c>
      <c r="P155" s="112" t="str">
        <f>IF(C155=$B$68,$E$95*H155*'Fatores de Emissão'!$E$261,"")</f>
        <v/>
      </c>
      <c r="Q155" s="112" t="str">
        <f>IF(C155=$B$69,$E$98*H155*'Fatores de Emissão'!$E$260/1000,"")</f>
        <v/>
      </c>
      <c r="R155" s="112" t="str">
        <f>IF(C155=$B$69,$E$97*H155*'Fatores de Emissão'!$E$261/1000,"")</f>
        <v/>
      </c>
      <c r="S155" s="113" t="str">
        <f t="shared" si="21"/>
        <v/>
      </c>
      <c r="T155" s="113" t="str">
        <f t="shared" si="22"/>
        <v/>
      </c>
      <c r="U155" s="113" t="str">
        <f t="shared" si="23"/>
        <v/>
      </c>
      <c r="V155" s="22" t="str">
        <f t="shared" si="15"/>
        <v/>
      </c>
      <c r="W155" s="22" t="e">
        <f t="shared" si="24"/>
        <v>#N/A</v>
      </c>
      <c r="X155" s="22" t="e">
        <f t="shared" si="16"/>
        <v>#N/A</v>
      </c>
    </row>
    <row r="156" spans="2:24" x14ac:dyDescent="0.25">
      <c r="B156" s="107" t="e">
        <f>'Emissões Fugitivas'!#REF!</f>
        <v>#REF!</v>
      </c>
      <c r="C156" s="107">
        <f>'Emissões Fugitivas'!B112</f>
        <v>0</v>
      </c>
      <c r="D156" s="107">
        <f>'Emissões Fugitivas'!C112</f>
        <v>0</v>
      </c>
      <c r="E156" s="107">
        <f>'Emissões Fugitivas'!D112</f>
        <v>0</v>
      </c>
      <c r="F156" s="107" t="str">
        <f>'Emissões Fugitivas'!E112</f>
        <v/>
      </c>
      <c r="G156" s="107" t="e">
        <f>'Emissões Fugitivas'!#REF!</f>
        <v>#REF!</v>
      </c>
      <c r="H156" s="107">
        <f>'Emissões Fugitivas'!G112</f>
        <v>0</v>
      </c>
      <c r="I156" s="107" t="str">
        <f>'Emissões Fugitivas'!H112</f>
        <v/>
      </c>
      <c r="J156" s="22" t="e">
        <f>IF(VLOOKUP(B156,Identificação!#REF!,3,FALSE)="",2,VLOOKUP(B156,Identificação!#REF!,3,FALSE))</f>
        <v>#REF!</v>
      </c>
      <c r="K156" s="22" t="str">
        <f t="shared" si="18"/>
        <v/>
      </c>
      <c r="L156" s="22" t="str">
        <f t="shared" si="19"/>
        <v/>
      </c>
      <c r="M156" s="22" t="str">
        <f t="shared" si="20"/>
        <v/>
      </c>
      <c r="N156" s="112" t="str">
        <f t="shared" si="17"/>
        <v/>
      </c>
      <c r="O156" s="112" t="str">
        <f>IF(C156=$B$68,$E$96*H156*'Fatores de Emissão'!$E$260,"")</f>
        <v/>
      </c>
      <c r="P156" s="112" t="str">
        <f>IF(C156=$B$68,$E$95*H156*'Fatores de Emissão'!$E$261,"")</f>
        <v/>
      </c>
      <c r="Q156" s="112" t="str">
        <f>IF(C156=$B$69,$E$98*H156*'Fatores de Emissão'!$E$260/1000,"")</f>
        <v/>
      </c>
      <c r="R156" s="112" t="str">
        <f>IF(C156=$B$69,$E$97*H156*'Fatores de Emissão'!$E$261/1000,"")</f>
        <v/>
      </c>
      <c r="S156" s="113" t="str">
        <f t="shared" si="21"/>
        <v/>
      </c>
      <c r="T156" s="113" t="str">
        <f t="shared" si="22"/>
        <v/>
      </c>
      <c r="U156" s="113" t="str">
        <f t="shared" si="23"/>
        <v/>
      </c>
      <c r="V156" s="22" t="str">
        <f t="shared" si="15"/>
        <v/>
      </c>
      <c r="W156" s="22" t="e">
        <f t="shared" si="24"/>
        <v>#N/A</v>
      </c>
      <c r="X156" s="22" t="e">
        <f t="shared" si="16"/>
        <v>#N/A</v>
      </c>
    </row>
    <row r="157" spans="2:24" x14ac:dyDescent="0.25">
      <c r="B157" s="107" t="e">
        <f>'Emissões Fugitivas'!#REF!</f>
        <v>#REF!</v>
      </c>
      <c r="C157" s="107">
        <f>'Emissões Fugitivas'!B113</f>
        <v>0</v>
      </c>
      <c r="D157" s="107">
        <f>'Emissões Fugitivas'!C113</f>
        <v>0</v>
      </c>
      <c r="E157" s="107">
        <f>'Emissões Fugitivas'!D113</f>
        <v>0</v>
      </c>
      <c r="F157" s="107" t="str">
        <f>'Emissões Fugitivas'!E113</f>
        <v/>
      </c>
      <c r="G157" s="107" t="e">
        <f>'Emissões Fugitivas'!#REF!</f>
        <v>#REF!</v>
      </c>
      <c r="H157" s="107">
        <f>'Emissões Fugitivas'!G113</f>
        <v>0</v>
      </c>
      <c r="I157" s="107" t="str">
        <f>'Emissões Fugitivas'!H113</f>
        <v/>
      </c>
      <c r="J157" s="22" t="e">
        <f>IF(VLOOKUP(B157,Identificação!#REF!,3,FALSE)="",2,VLOOKUP(B157,Identificação!#REF!,3,FALSE))</f>
        <v>#REF!</v>
      </c>
      <c r="K157" s="22" t="str">
        <f t="shared" si="18"/>
        <v/>
      </c>
      <c r="L157" s="22" t="str">
        <f t="shared" si="19"/>
        <v/>
      </c>
      <c r="M157" s="22" t="str">
        <f t="shared" si="20"/>
        <v/>
      </c>
      <c r="N157" s="112" t="str">
        <f t="shared" si="17"/>
        <v/>
      </c>
      <c r="O157" s="112" t="str">
        <f>IF(C157=$B$68,$E$96*H157*'Fatores de Emissão'!$E$260,"")</f>
        <v/>
      </c>
      <c r="P157" s="112" t="str">
        <f>IF(C157=$B$68,$E$95*H157*'Fatores de Emissão'!$E$261,"")</f>
        <v/>
      </c>
      <c r="Q157" s="112" t="str">
        <f>IF(C157=$B$69,$E$98*H157*'Fatores de Emissão'!$E$260/1000,"")</f>
        <v/>
      </c>
      <c r="R157" s="112" t="str">
        <f>IF(C157=$B$69,$E$97*H157*'Fatores de Emissão'!$E$261/1000,"")</f>
        <v/>
      </c>
      <c r="S157" s="113" t="str">
        <f t="shared" si="21"/>
        <v/>
      </c>
      <c r="T157" s="113" t="str">
        <f t="shared" si="22"/>
        <v/>
      </c>
      <c r="U157" s="113" t="str">
        <f t="shared" si="23"/>
        <v/>
      </c>
      <c r="V157" s="22" t="str">
        <f t="shared" si="15"/>
        <v/>
      </c>
      <c r="W157" s="22" t="e">
        <f t="shared" si="24"/>
        <v>#N/A</v>
      </c>
      <c r="X157" s="22" t="e">
        <f t="shared" si="16"/>
        <v>#N/A</v>
      </c>
    </row>
    <row r="158" spans="2:24" x14ac:dyDescent="0.25">
      <c r="B158" s="107" t="e">
        <f>'Emissões Fugitivas'!#REF!</f>
        <v>#REF!</v>
      </c>
      <c r="C158" s="107">
        <f>'Emissões Fugitivas'!B114</f>
        <v>0</v>
      </c>
      <c r="D158" s="107">
        <f>'Emissões Fugitivas'!C114</f>
        <v>0</v>
      </c>
      <c r="E158" s="107">
        <f>'Emissões Fugitivas'!D114</f>
        <v>0</v>
      </c>
      <c r="F158" s="107" t="str">
        <f>'Emissões Fugitivas'!E114</f>
        <v/>
      </c>
      <c r="G158" s="107" t="e">
        <f>'Emissões Fugitivas'!#REF!</f>
        <v>#REF!</v>
      </c>
      <c r="H158" s="107">
        <f>'Emissões Fugitivas'!G114</f>
        <v>0</v>
      </c>
      <c r="I158" s="107" t="str">
        <f>'Emissões Fugitivas'!H114</f>
        <v/>
      </c>
      <c r="J158" s="22" t="e">
        <f>IF(VLOOKUP(B158,Identificação!#REF!,3,FALSE)="",2,VLOOKUP(B158,Identificação!#REF!,3,FALSE))</f>
        <v>#REF!</v>
      </c>
      <c r="K158" s="22" t="str">
        <f t="shared" si="18"/>
        <v/>
      </c>
      <c r="L158" s="22" t="str">
        <f t="shared" si="19"/>
        <v/>
      </c>
      <c r="M158" s="22" t="str">
        <f t="shared" si="20"/>
        <v/>
      </c>
      <c r="N158" s="112" t="str">
        <f t="shared" si="17"/>
        <v/>
      </c>
      <c r="O158" s="112" t="str">
        <f>IF(C158=$B$68,$E$96*H158*'Fatores de Emissão'!$E$260,"")</f>
        <v/>
      </c>
      <c r="P158" s="112" t="str">
        <f>IF(C158=$B$68,$E$95*H158*'Fatores de Emissão'!$E$261,"")</f>
        <v/>
      </c>
      <c r="Q158" s="112" t="str">
        <f>IF(C158=$B$69,$E$98*H158*'Fatores de Emissão'!$E$260/1000,"")</f>
        <v/>
      </c>
      <c r="R158" s="112" t="str">
        <f>IF(C158=$B$69,$E$97*H158*'Fatores de Emissão'!$E$261/1000,"")</f>
        <v/>
      </c>
      <c r="S158" s="113" t="str">
        <f t="shared" si="21"/>
        <v/>
      </c>
      <c r="T158" s="113" t="str">
        <f t="shared" si="22"/>
        <v/>
      </c>
      <c r="U158" s="113" t="str">
        <f t="shared" si="23"/>
        <v/>
      </c>
      <c r="V158" s="22" t="str">
        <f t="shared" si="15"/>
        <v/>
      </c>
      <c r="W158" s="22" t="e">
        <f t="shared" si="24"/>
        <v>#N/A</v>
      </c>
      <c r="X158" s="22" t="e">
        <f t="shared" si="16"/>
        <v>#N/A</v>
      </c>
    </row>
    <row r="159" spans="2:24" x14ac:dyDescent="0.25">
      <c r="B159" s="107" t="e">
        <f>'Emissões Fugitivas'!#REF!</f>
        <v>#REF!</v>
      </c>
      <c r="C159" s="107">
        <f>'Emissões Fugitivas'!B115</f>
        <v>0</v>
      </c>
      <c r="D159" s="107">
        <f>'Emissões Fugitivas'!C115</f>
        <v>0</v>
      </c>
      <c r="E159" s="107">
        <f>'Emissões Fugitivas'!D115</f>
        <v>0</v>
      </c>
      <c r="F159" s="107" t="str">
        <f>'Emissões Fugitivas'!E115</f>
        <v/>
      </c>
      <c r="G159" s="107" t="e">
        <f>'Emissões Fugitivas'!#REF!</f>
        <v>#REF!</v>
      </c>
      <c r="H159" s="107">
        <f>'Emissões Fugitivas'!G115</f>
        <v>0</v>
      </c>
      <c r="I159" s="107" t="str">
        <f>'Emissões Fugitivas'!H115</f>
        <v/>
      </c>
      <c r="J159" s="22" t="e">
        <f>IF(VLOOKUP(B159,Identificação!#REF!,3,FALSE)="",2,VLOOKUP(B159,Identificação!#REF!,3,FALSE))</f>
        <v>#REF!</v>
      </c>
      <c r="K159" s="22" t="str">
        <f t="shared" si="18"/>
        <v/>
      </c>
      <c r="L159" s="22" t="str">
        <f t="shared" si="19"/>
        <v/>
      </c>
      <c r="M159" s="22" t="str">
        <f t="shared" si="20"/>
        <v/>
      </c>
      <c r="N159" s="112" t="str">
        <f t="shared" si="17"/>
        <v/>
      </c>
      <c r="O159" s="112" t="str">
        <f>IF(C159=$B$68,$E$96*H159*'Fatores de Emissão'!$E$260,"")</f>
        <v/>
      </c>
      <c r="P159" s="112" t="str">
        <f>IF(C159=$B$68,$E$95*H159*'Fatores de Emissão'!$E$261,"")</f>
        <v/>
      </c>
      <c r="Q159" s="112" t="str">
        <f>IF(C159=$B$69,$E$98*H159*'Fatores de Emissão'!$E$260/1000,"")</f>
        <v/>
      </c>
      <c r="R159" s="112" t="str">
        <f>IF(C159=$B$69,$E$97*H159*'Fatores de Emissão'!$E$261/1000,"")</f>
        <v/>
      </c>
      <c r="S159" s="113" t="str">
        <f t="shared" si="21"/>
        <v/>
      </c>
      <c r="T159" s="113" t="str">
        <f t="shared" si="22"/>
        <v/>
      </c>
      <c r="U159" s="113" t="str">
        <f t="shared" si="23"/>
        <v/>
      </c>
      <c r="V159" s="22" t="str">
        <f t="shared" si="15"/>
        <v/>
      </c>
      <c r="W159" s="22" t="e">
        <f t="shared" si="24"/>
        <v>#N/A</v>
      </c>
      <c r="X159" s="22" t="e">
        <f t="shared" si="16"/>
        <v>#N/A</v>
      </c>
    </row>
    <row r="160" spans="2:24" x14ac:dyDescent="0.25">
      <c r="B160" s="107" t="e">
        <f>'Emissões Fugitivas'!#REF!</f>
        <v>#REF!</v>
      </c>
      <c r="C160" s="107">
        <f>'Emissões Fugitivas'!B116</f>
        <v>0</v>
      </c>
      <c r="D160" s="107">
        <f>'Emissões Fugitivas'!C116</f>
        <v>0</v>
      </c>
      <c r="E160" s="107">
        <f>'Emissões Fugitivas'!D116</f>
        <v>0</v>
      </c>
      <c r="F160" s="107" t="str">
        <f>'Emissões Fugitivas'!E116</f>
        <v/>
      </c>
      <c r="G160" s="107" t="e">
        <f>'Emissões Fugitivas'!#REF!</f>
        <v>#REF!</v>
      </c>
      <c r="H160" s="107">
        <f>'Emissões Fugitivas'!G116</f>
        <v>0</v>
      </c>
      <c r="I160" s="107" t="str">
        <f>'Emissões Fugitivas'!H116</f>
        <v/>
      </c>
      <c r="J160" s="22" t="e">
        <f>IF(VLOOKUP(B160,Identificação!#REF!,3,FALSE)="",2,VLOOKUP(B160,Identificação!#REF!,3,FALSE))</f>
        <v>#REF!</v>
      </c>
      <c r="K160" s="22" t="str">
        <f t="shared" si="18"/>
        <v/>
      </c>
      <c r="L160" s="22" t="str">
        <f t="shared" si="19"/>
        <v/>
      </c>
      <c r="M160" s="22" t="str">
        <f t="shared" si="20"/>
        <v/>
      </c>
      <c r="N160" s="112" t="str">
        <f t="shared" si="17"/>
        <v/>
      </c>
      <c r="O160" s="112" t="str">
        <f>IF(C160=$B$68,$E$96*H160*'Fatores de Emissão'!$E$260,"")</f>
        <v/>
      </c>
      <c r="P160" s="112" t="str">
        <f>IF(C160=$B$68,$E$95*H160*'Fatores de Emissão'!$E$261,"")</f>
        <v/>
      </c>
      <c r="Q160" s="112" t="str">
        <f>IF(C160=$B$69,$E$98*H160*'Fatores de Emissão'!$E$260/1000,"")</f>
        <v/>
      </c>
      <c r="R160" s="112" t="str">
        <f>IF(C160=$B$69,$E$97*H160*'Fatores de Emissão'!$E$261/1000,"")</f>
        <v/>
      </c>
      <c r="S160" s="113" t="str">
        <f t="shared" si="21"/>
        <v/>
      </c>
      <c r="T160" s="113" t="str">
        <f t="shared" si="22"/>
        <v/>
      </c>
      <c r="U160" s="113" t="str">
        <f t="shared" si="23"/>
        <v/>
      </c>
      <c r="V160" s="22" t="str">
        <f t="shared" si="15"/>
        <v/>
      </c>
      <c r="W160" s="22" t="e">
        <f t="shared" si="24"/>
        <v>#N/A</v>
      </c>
      <c r="X160" s="22" t="e">
        <f t="shared" si="16"/>
        <v>#N/A</v>
      </c>
    </row>
    <row r="161" spans="2:24" x14ac:dyDescent="0.25">
      <c r="B161" s="107" t="e">
        <f>'Emissões Fugitivas'!#REF!</f>
        <v>#REF!</v>
      </c>
      <c r="C161" s="107">
        <f>'Emissões Fugitivas'!B117</f>
        <v>0</v>
      </c>
      <c r="D161" s="107">
        <f>'Emissões Fugitivas'!C117</f>
        <v>0</v>
      </c>
      <c r="E161" s="107">
        <f>'Emissões Fugitivas'!D117</f>
        <v>0</v>
      </c>
      <c r="F161" s="107" t="str">
        <f>'Emissões Fugitivas'!E117</f>
        <v/>
      </c>
      <c r="G161" s="107" t="e">
        <f>'Emissões Fugitivas'!#REF!</f>
        <v>#REF!</v>
      </c>
      <c r="H161" s="107">
        <f>'Emissões Fugitivas'!G117</f>
        <v>0</v>
      </c>
      <c r="I161" s="107" t="str">
        <f>'Emissões Fugitivas'!H117</f>
        <v/>
      </c>
      <c r="J161" s="22" t="e">
        <f>IF(VLOOKUP(B161,Identificação!#REF!,3,FALSE)="",2,VLOOKUP(B161,Identificação!#REF!,3,FALSE))</f>
        <v>#REF!</v>
      </c>
      <c r="K161" s="22" t="str">
        <f t="shared" si="18"/>
        <v/>
      </c>
      <c r="L161" s="22" t="str">
        <f t="shared" si="19"/>
        <v/>
      </c>
      <c r="M161" s="22" t="str">
        <f t="shared" si="20"/>
        <v/>
      </c>
      <c r="N161" s="112" t="str">
        <f t="shared" si="17"/>
        <v/>
      </c>
      <c r="O161" s="112" t="str">
        <f>IF(C161=$B$68,$E$96*H161*'Fatores de Emissão'!$E$260,"")</f>
        <v/>
      </c>
      <c r="P161" s="112" t="str">
        <f>IF(C161=$B$68,$E$95*H161*'Fatores de Emissão'!$E$261,"")</f>
        <v/>
      </c>
      <c r="Q161" s="112" t="str">
        <f>IF(C161=$B$69,$E$98*H161*'Fatores de Emissão'!$E$260/1000,"")</f>
        <v/>
      </c>
      <c r="R161" s="112" t="str">
        <f>IF(C161=$B$69,$E$97*H161*'Fatores de Emissão'!$E$261/1000,"")</f>
        <v/>
      </c>
      <c r="S161" s="113" t="str">
        <f t="shared" si="21"/>
        <v/>
      </c>
      <c r="T161" s="113" t="str">
        <f t="shared" si="22"/>
        <v/>
      </c>
      <c r="U161" s="113" t="str">
        <f t="shared" si="23"/>
        <v/>
      </c>
      <c r="V161" s="22" t="str">
        <f t="shared" si="15"/>
        <v/>
      </c>
      <c r="W161" s="22" t="e">
        <f t="shared" si="24"/>
        <v>#N/A</v>
      </c>
      <c r="X161" s="22" t="e">
        <f t="shared" si="16"/>
        <v>#N/A</v>
      </c>
    </row>
    <row r="162" spans="2:24" x14ac:dyDescent="0.25">
      <c r="B162" s="107" t="e">
        <f>'Emissões Fugitivas'!#REF!</f>
        <v>#REF!</v>
      </c>
      <c r="C162" s="107">
        <f>'Emissões Fugitivas'!B118</f>
        <v>0</v>
      </c>
      <c r="D162" s="107">
        <f>'Emissões Fugitivas'!C118</f>
        <v>0</v>
      </c>
      <c r="E162" s="107">
        <f>'Emissões Fugitivas'!D118</f>
        <v>0</v>
      </c>
      <c r="F162" s="107" t="str">
        <f>'Emissões Fugitivas'!E118</f>
        <v/>
      </c>
      <c r="G162" s="107" t="e">
        <f>'Emissões Fugitivas'!#REF!</f>
        <v>#REF!</v>
      </c>
      <c r="H162" s="107">
        <f>'Emissões Fugitivas'!G118</f>
        <v>0</v>
      </c>
      <c r="I162" s="107" t="str">
        <f>'Emissões Fugitivas'!H118</f>
        <v/>
      </c>
      <c r="J162" s="22" t="e">
        <f>IF(VLOOKUP(B162,Identificação!#REF!,3,FALSE)="",2,VLOOKUP(B162,Identificação!#REF!,3,FALSE))</f>
        <v>#REF!</v>
      </c>
      <c r="K162" s="22" t="str">
        <f t="shared" si="18"/>
        <v/>
      </c>
      <c r="L162" s="22" t="str">
        <f t="shared" si="19"/>
        <v/>
      </c>
      <c r="M162" s="22" t="str">
        <f t="shared" si="20"/>
        <v/>
      </c>
      <c r="N162" s="112" t="str">
        <f t="shared" si="17"/>
        <v/>
      </c>
      <c r="O162" s="112" t="str">
        <f>IF(C162=$B$68,$E$96*H162*'Fatores de Emissão'!$E$260,"")</f>
        <v/>
      </c>
      <c r="P162" s="112" t="str">
        <f>IF(C162=$B$68,$E$95*H162*'Fatores de Emissão'!$E$261,"")</f>
        <v/>
      </c>
      <c r="Q162" s="112" t="str">
        <f>IF(C162=$B$69,$E$98*H162*'Fatores de Emissão'!$E$260/1000,"")</f>
        <v/>
      </c>
      <c r="R162" s="112" t="str">
        <f>IF(C162=$B$69,$E$97*H162*'Fatores de Emissão'!$E$261/1000,"")</f>
        <v/>
      </c>
      <c r="S162" s="113" t="str">
        <f t="shared" si="21"/>
        <v/>
      </c>
      <c r="T162" s="113" t="str">
        <f t="shared" si="22"/>
        <v/>
      </c>
      <c r="U162" s="113" t="str">
        <f t="shared" si="23"/>
        <v/>
      </c>
      <c r="V162" s="22" t="str">
        <f t="shared" si="15"/>
        <v/>
      </c>
      <c r="W162" s="22" t="e">
        <f t="shared" si="24"/>
        <v>#N/A</v>
      </c>
      <c r="X162" s="22" t="e">
        <f t="shared" si="16"/>
        <v>#N/A</v>
      </c>
    </row>
    <row r="163" spans="2:24" x14ac:dyDescent="0.25">
      <c r="B163" s="107" t="e">
        <f>'Emissões Fugitivas'!#REF!</f>
        <v>#REF!</v>
      </c>
      <c r="C163" s="107">
        <f>'Emissões Fugitivas'!B119</f>
        <v>0</v>
      </c>
      <c r="D163" s="107">
        <f>'Emissões Fugitivas'!C119</f>
        <v>0</v>
      </c>
      <c r="E163" s="107">
        <f>'Emissões Fugitivas'!D119</f>
        <v>0</v>
      </c>
      <c r="F163" s="107" t="str">
        <f>'Emissões Fugitivas'!E119</f>
        <v/>
      </c>
      <c r="G163" s="107" t="e">
        <f>'Emissões Fugitivas'!#REF!</f>
        <v>#REF!</v>
      </c>
      <c r="H163" s="107">
        <f>'Emissões Fugitivas'!G119</f>
        <v>0</v>
      </c>
      <c r="I163" s="107" t="str">
        <f>'Emissões Fugitivas'!H119</f>
        <v/>
      </c>
      <c r="J163" s="22" t="e">
        <f>IF(VLOOKUP(B163,Identificação!#REF!,3,FALSE)="",2,VLOOKUP(B163,Identificação!#REF!,3,FALSE))</f>
        <v>#REF!</v>
      </c>
      <c r="K163" s="22" t="str">
        <f t="shared" si="18"/>
        <v/>
      </c>
      <c r="L163" s="22" t="str">
        <f t="shared" si="19"/>
        <v/>
      </c>
      <c r="M163" s="22" t="str">
        <f t="shared" si="20"/>
        <v/>
      </c>
      <c r="N163" s="112" t="str">
        <f t="shared" si="17"/>
        <v/>
      </c>
      <c r="O163" s="112" t="str">
        <f>IF(C163=$B$68,$E$96*H163*'Fatores de Emissão'!$E$260,"")</f>
        <v/>
      </c>
      <c r="P163" s="112" t="str">
        <f>IF(C163=$B$68,$E$95*H163*'Fatores de Emissão'!$E$261,"")</f>
        <v/>
      </c>
      <c r="Q163" s="112" t="str">
        <f>IF(C163=$B$69,$E$98*H163*'Fatores de Emissão'!$E$260/1000,"")</f>
        <v/>
      </c>
      <c r="R163" s="112" t="str">
        <f>IF(C163=$B$69,$E$97*H163*'Fatores de Emissão'!$E$261/1000,"")</f>
        <v/>
      </c>
      <c r="S163" s="113" t="str">
        <f t="shared" si="21"/>
        <v/>
      </c>
      <c r="T163" s="113" t="str">
        <f t="shared" si="22"/>
        <v/>
      </c>
      <c r="U163" s="113" t="str">
        <f t="shared" si="23"/>
        <v/>
      </c>
      <c r="V163" s="22" t="str">
        <f t="shared" si="15"/>
        <v/>
      </c>
      <c r="W163" s="22" t="e">
        <f t="shared" si="24"/>
        <v>#N/A</v>
      </c>
      <c r="X163" s="22" t="e">
        <f t="shared" si="16"/>
        <v>#N/A</v>
      </c>
    </row>
    <row r="164" spans="2:24" x14ac:dyDescent="0.25">
      <c r="B164" s="107" t="e">
        <f>'Emissões Fugitivas'!#REF!</f>
        <v>#REF!</v>
      </c>
      <c r="C164" s="107">
        <f>'Emissões Fugitivas'!B120</f>
        <v>0</v>
      </c>
      <c r="D164" s="107">
        <f>'Emissões Fugitivas'!C120</f>
        <v>0</v>
      </c>
      <c r="E164" s="107">
        <f>'Emissões Fugitivas'!D120</f>
        <v>0</v>
      </c>
      <c r="F164" s="107" t="str">
        <f>'Emissões Fugitivas'!E120</f>
        <v/>
      </c>
      <c r="G164" s="107" t="e">
        <f>'Emissões Fugitivas'!#REF!</f>
        <v>#REF!</v>
      </c>
      <c r="H164" s="107">
        <f>'Emissões Fugitivas'!G120</f>
        <v>0</v>
      </c>
      <c r="I164" s="107" t="str">
        <f>'Emissões Fugitivas'!H120</f>
        <v/>
      </c>
      <c r="J164" s="22" t="e">
        <f>IF(VLOOKUP(B164,Identificação!#REF!,3,FALSE)="",2,VLOOKUP(B164,Identificação!#REF!,3,FALSE))</f>
        <v>#REF!</v>
      </c>
      <c r="K164" s="22" t="str">
        <f t="shared" si="18"/>
        <v/>
      </c>
      <c r="L164" s="22" t="str">
        <f t="shared" si="19"/>
        <v/>
      </c>
      <c r="M164" s="22" t="str">
        <f t="shared" si="20"/>
        <v/>
      </c>
      <c r="N164" s="112" t="str">
        <f t="shared" si="17"/>
        <v/>
      </c>
      <c r="O164" s="112" t="str">
        <f>IF(C164=$B$68,$E$96*H164*'Fatores de Emissão'!$E$260,"")</f>
        <v/>
      </c>
      <c r="P164" s="112" t="str">
        <f>IF(C164=$B$68,$E$95*H164*'Fatores de Emissão'!$E$261,"")</f>
        <v/>
      </c>
      <c r="Q164" s="112" t="str">
        <f>IF(C164=$B$69,$E$98*H164*'Fatores de Emissão'!$E$260/1000,"")</f>
        <v/>
      </c>
      <c r="R164" s="112" t="str">
        <f>IF(C164=$B$69,$E$97*H164*'Fatores de Emissão'!$E$261/1000,"")</f>
        <v/>
      </c>
      <c r="S164" s="113" t="str">
        <f t="shared" si="21"/>
        <v/>
      </c>
      <c r="T164" s="113" t="str">
        <f t="shared" si="22"/>
        <v/>
      </c>
      <c r="U164" s="113" t="str">
        <f t="shared" si="23"/>
        <v/>
      </c>
      <c r="V164" s="22" t="str">
        <f t="shared" si="15"/>
        <v/>
      </c>
      <c r="W164" s="22" t="e">
        <f t="shared" si="24"/>
        <v>#N/A</v>
      </c>
      <c r="X164" s="22" t="e">
        <f t="shared" si="16"/>
        <v>#N/A</v>
      </c>
    </row>
    <row r="165" spans="2:24" x14ac:dyDescent="0.25">
      <c r="B165" s="107" t="e">
        <f>'Emissões Fugitivas'!#REF!</f>
        <v>#REF!</v>
      </c>
      <c r="C165" s="107">
        <f>'Emissões Fugitivas'!B121</f>
        <v>0</v>
      </c>
      <c r="D165" s="107">
        <f>'Emissões Fugitivas'!C121</f>
        <v>0</v>
      </c>
      <c r="E165" s="107">
        <f>'Emissões Fugitivas'!D121</f>
        <v>0</v>
      </c>
      <c r="F165" s="107" t="str">
        <f>'Emissões Fugitivas'!E121</f>
        <v/>
      </c>
      <c r="G165" s="107" t="e">
        <f>'Emissões Fugitivas'!#REF!</f>
        <v>#REF!</v>
      </c>
      <c r="H165" s="107">
        <f>'Emissões Fugitivas'!G121</f>
        <v>0</v>
      </c>
      <c r="I165" s="107" t="str">
        <f>'Emissões Fugitivas'!H121</f>
        <v/>
      </c>
      <c r="J165" s="22" t="e">
        <f>IF(VLOOKUP(B165,Identificação!#REF!,3,FALSE)="",2,VLOOKUP(B165,Identificação!#REF!,3,FALSE))</f>
        <v>#REF!</v>
      </c>
      <c r="K165" s="22" t="str">
        <f t="shared" si="18"/>
        <v/>
      </c>
      <c r="L165" s="22" t="str">
        <f t="shared" si="19"/>
        <v/>
      </c>
      <c r="M165" s="22" t="str">
        <f t="shared" si="20"/>
        <v/>
      </c>
      <c r="N165" s="112" t="str">
        <f t="shared" si="17"/>
        <v/>
      </c>
      <c r="O165" s="112" t="str">
        <f>IF(C165=$B$68,$E$96*H165*'Fatores de Emissão'!$E$260,"")</f>
        <v/>
      </c>
      <c r="P165" s="112" t="str">
        <f>IF(C165=$B$68,$E$95*H165*'Fatores de Emissão'!$E$261,"")</f>
        <v/>
      </c>
      <c r="Q165" s="112" t="str">
        <f>IF(C165=$B$69,$E$98*H165*'Fatores de Emissão'!$E$260/1000,"")</f>
        <v/>
      </c>
      <c r="R165" s="112" t="str">
        <f>IF(C165=$B$69,$E$97*H165*'Fatores de Emissão'!$E$261/1000,"")</f>
        <v/>
      </c>
      <c r="S165" s="113" t="str">
        <f t="shared" si="21"/>
        <v/>
      </c>
      <c r="T165" s="113" t="str">
        <f t="shared" si="22"/>
        <v/>
      </c>
      <c r="U165" s="113" t="str">
        <f t="shared" si="23"/>
        <v/>
      </c>
      <c r="V165" s="22" t="str">
        <f t="shared" si="15"/>
        <v/>
      </c>
      <c r="W165" s="22" t="e">
        <f t="shared" si="24"/>
        <v>#N/A</v>
      </c>
      <c r="X165" s="22" t="e">
        <f t="shared" si="16"/>
        <v>#N/A</v>
      </c>
    </row>
    <row r="166" spans="2:24" x14ac:dyDescent="0.25">
      <c r="B166" s="107" t="e">
        <f>'Emissões Fugitivas'!#REF!</f>
        <v>#REF!</v>
      </c>
      <c r="C166" s="107">
        <f>'Emissões Fugitivas'!B122</f>
        <v>0</v>
      </c>
      <c r="D166" s="107">
        <f>'Emissões Fugitivas'!C122</f>
        <v>0</v>
      </c>
      <c r="E166" s="107">
        <f>'Emissões Fugitivas'!D122</f>
        <v>0</v>
      </c>
      <c r="F166" s="107" t="str">
        <f>'Emissões Fugitivas'!E122</f>
        <v/>
      </c>
      <c r="G166" s="107" t="e">
        <f>'Emissões Fugitivas'!#REF!</f>
        <v>#REF!</v>
      </c>
      <c r="H166" s="107">
        <f>'Emissões Fugitivas'!G122</f>
        <v>0</v>
      </c>
      <c r="I166" s="107" t="str">
        <f>'Emissões Fugitivas'!H122</f>
        <v/>
      </c>
      <c r="J166" s="22" t="e">
        <f>IF(VLOOKUP(B166,Identificação!#REF!,3,FALSE)="",2,VLOOKUP(B166,Identificação!#REF!,3,FALSE))</f>
        <v>#REF!</v>
      </c>
      <c r="K166" s="22" t="str">
        <f t="shared" si="18"/>
        <v/>
      </c>
      <c r="L166" s="22" t="str">
        <f t="shared" si="19"/>
        <v/>
      </c>
      <c r="M166" s="22" t="str">
        <f t="shared" si="20"/>
        <v/>
      </c>
      <c r="N166" s="112" t="str">
        <f t="shared" si="17"/>
        <v/>
      </c>
      <c r="O166" s="112" t="str">
        <f>IF(C166=$B$68,$E$96*H166*'Fatores de Emissão'!$E$260,"")</f>
        <v/>
      </c>
      <c r="P166" s="112" t="str">
        <f>IF(C166=$B$68,$E$95*H166*'Fatores de Emissão'!$E$261,"")</f>
        <v/>
      </c>
      <c r="Q166" s="112" t="str">
        <f>IF(C166=$B$69,$E$98*H166*'Fatores de Emissão'!$E$260/1000,"")</f>
        <v/>
      </c>
      <c r="R166" s="112" t="str">
        <f>IF(C166=$B$69,$E$97*H166*'Fatores de Emissão'!$E$261/1000,"")</f>
        <v/>
      </c>
      <c r="S166" s="113" t="str">
        <f t="shared" si="21"/>
        <v/>
      </c>
      <c r="T166" s="113" t="str">
        <f t="shared" si="22"/>
        <v/>
      </c>
      <c r="U166" s="113" t="str">
        <f t="shared" si="23"/>
        <v/>
      </c>
      <c r="V166" s="22" t="str">
        <f t="shared" si="15"/>
        <v/>
      </c>
      <c r="W166" s="22" t="e">
        <f t="shared" si="24"/>
        <v>#N/A</v>
      </c>
      <c r="X166" s="22" t="e">
        <f t="shared" si="16"/>
        <v>#N/A</v>
      </c>
    </row>
    <row r="167" spans="2:24" x14ac:dyDescent="0.25">
      <c r="B167" s="107" t="e">
        <f>'Emissões Fugitivas'!#REF!</f>
        <v>#REF!</v>
      </c>
      <c r="C167" s="107">
        <f>'Emissões Fugitivas'!B123</f>
        <v>0</v>
      </c>
      <c r="D167" s="107">
        <f>'Emissões Fugitivas'!C123</f>
        <v>0</v>
      </c>
      <c r="E167" s="107">
        <f>'Emissões Fugitivas'!D123</f>
        <v>0</v>
      </c>
      <c r="F167" s="107" t="str">
        <f>'Emissões Fugitivas'!E123</f>
        <v/>
      </c>
      <c r="G167" s="107" t="e">
        <f>'Emissões Fugitivas'!#REF!</f>
        <v>#REF!</v>
      </c>
      <c r="H167" s="107">
        <f>'Emissões Fugitivas'!G123</f>
        <v>0</v>
      </c>
      <c r="I167" s="107" t="str">
        <f>'Emissões Fugitivas'!H123</f>
        <v/>
      </c>
      <c r="J167" s="22" t="e">
        <f>IF(VLOOKUP(B167,Identificação!#REF!,3,FALSE)="",2,VLOOKUP(B167,Identificação!#REF!,3,FALSE))</f>
        <v>#REF!</v>
      </c>
      <c r="K167" s="22" t="str">
        <f t="shared" si="18"/>
        <v/>
      </c>
      <c r="L167" s="22" t="str">
        <f t="shared" si="19"/>
        <v/>
      </c>
      <c r="M167" s="22" t="str">
        <f t="shared" si="20"/>
        <v/>
      </c>
      <c r="N167" s="112" t="str">
        <f t="shared" si="17"/>
        <v/>
      </c>
      <c r="O167" s="112" t="str">
        <f>IF(C167=$B$68,$E$96*H167*'Fatores de Emissão'!$E$260,"")</f>
        <v/>
      </c>
      <c r="P167" s="112" t="str">
        <f>IF(C167=$B$68,$E$95*H167*'Fatores de Emissão'!$E$261,"")</f>
        <v/>
      </c>
      <c r="Q167" s="112" t="str">
        <f>IF(C167=$B$69,$E$98*H167*'Fatores de Emissão'!$E$260/1000,"")</f>
        <v/>
      </c>
      <c r="R167" s="112" t="str">
        <f>IF(C167=$B$69,$E$97*H167*'Fatores de Emissão'!$E$261/1000,"")</f>
        <v/>
      </c>
      <c r="S167" s="113" t="str">
        <f t="shared" si="21"/>
        <v/>
      </c>
      <c r="T167" s="113" t="str">
        <f t="shared" si="22"/>
        <v/>
      </c>
      <c r="U167" s="113" t="str">
        <f t="shared" si="23"/>
        <v/>
      </c>
      <c r="V167" s="22" t="str">
        <f t="shared" si="15"/>
        <v/>
      </c>
      <c r="W167" s="22" t="e">
        <f t="shared" si="24"/>
        <v>#N/A</v>
      </c>
      <c r="X167" s="22" t="e">
        <f t="shared" si="16"/>
        <v>#N/A</v>
      </c>
    </row>
    <row r="168" spans="2:24" x14ac:dyDescent="0.25">
      <c r="B168" s="107" t="e">
        <f>'Emissões Fugitivas'!#REF!</f>
        <v>#REF!</v>
      </c>
      <c r="C168" s="107">
        <f>'Emissões Fugitivas'!B124</f>
        <v>0</v>
      </c>
      <c r="D168" s="107">
        <f>'Emissões Fugitivas'!C124</f>
        <v>0</v>
      </c>
      <c r="E168" s="107">
        <f>'Emissões Fugitivas'!D124</f>
        <v>0</v>
      </c>
      <c r="F168" s="107" t="str">
        <f>'Emissões Fugitivas'!E124</f>
        <v/>
      </c>
      <c r="G168" s="107" t="e">
        <f>'Emissões Fugitivas'!#REF!</f>
        <v>#REF!</v>
      </c>
      <c r="H168" s="107">
        <f>'Emissões Fugitivas'!G124</f>
        <v>0</v>
      </c>
      <c r="I168" s="107" t="str">
        <f>'Emissões Fugitivas'!H124</f>
        <v/>
      </c>
      <c r="J168" s="22" t="e">
        <f>IF(VLOOKUP(B168,Identificação!#REF!,3,FALSE)="",2,VLOOKUP(B168,Identificação!#REF!,3,FALSE))</f>
        <v>#REF!</v>
      </c>
      <c r="K168" s="22" t="str">
        <f t="shared" si="18"/>
        <v/>
      </c>
      <c r="L168" s="22" t="str">
        <f t="shared" si="19"/>
        <v/>
      </c>
      <c r="M168" s="22" t="str">
        <f t="shared" si="20"/>
        <v/>
      </c>
      <c r="N168" s="112" t="str">
        <f t="shared" si="17"/>
        <v/>
      </c>
      <c r="O168" s="112" t="str">
        <f>IF(C168=$B$68,$E$96*H168*'Fatores de Emissão'!$E$260,"")</f>
        <v/>
      </c>
      <c r="P168" s="112" t="str">
        <f>IF(C168=$B$68,$E$95*H168*'Fatores de Emissão'!$E$261,"")</f>
        <v/>
      </c>
      <c r="Q168" s="112" t="str">
        <f>IF(C168=$B$69,$E$98*H168*'Fatores de Emissão'!$E$260/1000,"")</f>
        <v/>
      </c>
      <c r="R168" s="112" t="str">
        <f>IF(C168=$B$69,$E$97*H168*'Fatores de Emissão'!$E$261/1000,"")</f>
        <v/>
      </c>
      <c r="S168" s="113" t="str">
        <f t="shared" si="21"/>
        <v/>
      </c>
      <c r="T168" s="113" t="str">
        <f t="shared" si="22"/>
        <v/>
      </c>
      <c r="U168" s="113" t="str">
        <f t="shared" si="23"/>
        <v/>
      </c>
      <c r="V168" s="22" t="str">
        <f t="shared" si="15"/>
        <v/>
      </c>
      <c r="W168" s="22" t="e">
        <f t="shared" si="24"/>
        <v>#N/A</v>
      </c>
      <c r="X168" s="22" t="e">
        <f t="shared" si="16"/>
        <v>#N/A</v>
      </c>
    </row>
    <row r="169" spans="2:24" x14ac:dyDescent="0.25">
      <c r="B169" s="107" t="e">
        <f>'Emissões Fugitivas'!#REF!</f>
        <v>#REF!</v>
      </c>
      <c r="C169" s="107">
        <f>'Emissões Fugitivas'!B125</f>
        <v>0</v>
      </c>
      <c r="D169" s="107">
        <f>'Emissões Fugitivas'!C125</f>
        <v>0</v>
      </c>
      <c r="E169" s="107">
        <f>'Emissões Fugitivas'!D125</f>
        <v>0</v>
      </c>
      <c r="F169" s="107" t="str">
        <f>'Emissões Fugitivas'!E125</f>
        <v/>
      </c>
      <c r="G169" s="107" t="e">
        <f>'Emissões Fugitivas'!#REF!</f>
        <v>#REF!</v>
      </c>
      <c r="H169" s="107">
        <f>'Emissões Fugitivas'!G125</f>
        <v>0</v>
      </c>
      <c r="I169" s="107" t="str">
        <f>'Emissões Fugitivas'!H125</f>
        <v/>
      </c>
      <c r="J169" s="22" t="e">
        <f>IF(VLOOKUP(B169,Identificação!#REF!,3,FALSE)="",2,VLOOKUP(B169,Identificação!#REF!,3,FALSE))</f>
        <v>#REF!</v>
      </c>
      <c r="K169" s="22" t="str">
        <f t="shared" si="18"/>
        <v/>
      </c>
      <c r="L169" s="22" t="str">
        <f t="shared" si="19"/>
        <v/>
      </c>
      <c r="M169" s="22" t="str">
        <f t="shared" si="20"/>
        <v/>
      </c>
      <c r="N169" s="112" t="str">
        <f t="shared" si="17"/>
        <v/>
      </c>
      <c r="O169" s="112" t="str">
        <f>IF(C169=$B$68,$E$96*H169*'Fatores de Emissão'!$E$260,"")</f>
        <v/>
      </c>
      <c r="P169" s="112" t="str">
        <f>IF(C169=$B$68,$E$95*H169*'Fatores de Emissão'!$E$261,"")</f>
        <v/>
      </c>
      <c r="Q169" s="112" t="str">
        <f>IF(C169=$B$69,$E$98*H169*'Fatores de Emissão'!$E$260/1000,"")</f>
        <v/>
      </c>
      <c r="R169" s="112" t="str">
        <f>IF(C169=$B$69,$E$97*H169*'Fatores de Emissão'!$E$261/1000,"")</f>
        <v/>
      </c>
      <c r="S169" s="113" t="str">
        <f t="shared" si="21"/>
        <v/>
      </c>
      <c r="T169" s="113" t="str">
        <f t="shared" si="22"/>
        <v/>
      </c>
      <c r="U169" s="113" t="str">
        <f t="shared" si="23"/>
        <v/>
      </c>
      <c r="V169" s="22" t="str">
        <f t="shared" si="15"/>
        <v/>
      </c>
      <c r="W169" s="22" t="e">
        <f t="shared" si="24"/>
        <v>#N/A</v>
      </c>
      <c r="X169" s="22" t="e">
        <f t="shared" si="16"/>
        <v>#N/A</v>
      </c>
    </row>
    <row r="170" spans="2:24" x14ac:dyDescent="0.25">
      <c r="B170" s="107" t="e">
        <f>'Emissões Fugitivas'!#REF!</f>
        <v>#REF!</v>
      </c>
      <c r="C170" s="107">
        <f>'Emissões Fugitivas'!B126</f>
        <v>0</v>
      </c>
      <c r="D170" s="107">
        <f>'Emissões Fugitivas'!C126</f>
        <v>0</v>
      </c>
      <c r="E170" s="107">
        <f>'Emissões Fugitivas'!D126</f>
        <v>0</v>
      </c>
      <c r="F170" s="107" t="str">
        <f>'Emissões Fugitivas'!E126</f>
        <v/>
      </c>
      <c r="G170" s="107" t="e">
        <f>'Emissões Fugitivas'!#REF!</f>
        <v>#REF!</v>
      </c>
      <c r="H170" s="107">
        <f>'Emissões Fugitivas'!G126</f>
        <v>0</v>
      </c>
      <c r="I170" s="107" t="str">
        <f>'Emissões Fugitivas'!H126</f>
        <v/>
      </c>
      <c r="J170" s="22" t="e">
        <f>IF(VLOOKUP(B170,Identificação!#REF!,3,FALSE)="",2,VLOOKUP(B170,Identificação!#REF!,3,FALSE))</f>
        <v>#REF!</v>
      </c>
      <c r="K170" s="22" t="str">
        <f t="shared" si="18"/>
        <v/>
      </c>
      <c r="L170" s="22" t="str">
        <f t="shared" si="19"/>
        <v/>
      </c>
      <c r="M170" s="22" t="str">
        <f t="shared" si="20"/>
        <v/>
      </c>
      <c r="N170" s="112" t="str">
        <f t="shared" si="17"/>
        <v/>
      </c>
      <c r="O170" s="112" t="str">
        <f>IF(C170=$B$68,$E$96*H170*'Fatores de Emissão'!$E$260,"")</f>
        <v/>
      </c>
      <c r="P170" s="112" t="str">
        <f>IF(C170=$B$68,$E$95*H170*'Fatores de Emissão'!$E$261,"")</f>
        <v/>
      </c>
      <c r="Q170" s="112" t="str">
        <f>IF(C170=$B$69,$E$98*H170*'Fatores de Emissão'!$E$260/1000,"")</f>
        <v/>
      </c>
      <c r="R170" s="112" t="str">
        <f>IF(C170=$B$69,$E$97*H170*'Fatores de Emissão'!$E$261/1000,"")</f>
        <v/>
      </c>
      <c r="S170" s="113" t="str">
        <f t="shared" si="21"/>
        <v/>
      </c>
      <c r="T170" s="113" t="str">
        <f t="shared" si="22"/>
        <v/>
      </c>
      <c r="U170" s="113" t="str">
        <f t="shared" si="23"/>
        <v/>
      </c>
      <c r="V170" s="22" t="str">
        <f t="shared" si="15"/>
        <v/>
      </c>
      <c r="W170" s="22" t="e">
        <f t="shared" si="24"/>
        <v>#N/A</v>
      </c>
      <c r="X170" s="22" t="e">
        <f t="shared" si="16"/>
        <v>#N/A</v>
      </c>
    </row>
    <row r="171" spans="2:24" x14ac:dyDescent="0.25">
      <c r="B171" s="107" t="e">
        <f>'Emissões Fugitivas'!#REF!</f>
        <v>#REF!</v>
      </c>
      <c r="C171" s="107">
        <f>'Emissões Fugitivas'!B127</f>
        <v>0</v>
      </c>
      <c r="D171" s="107">
        <f>'Emissões Fugitivas'!C127</f>
        <v>0</v>
      </c>
      <c r="E171" s="107">
        <f>'Emissões Fugitivas'!D127</f>
        <v>0</v>
      </c>
      <c r="F171" s="107" t="str">
        <f>'Emissões Fugitivas'!E127</f>
        <v/>
      </c>
      <c r="G171" s="107" t="e">
        <f>'Emissões Fugitivas'!#REF!</f>
        <v>#REF!</v>
      </c>
      <c r="H171" s="107">
        <f>'Emissões Fugitivas'!G127</f>
        <v>0</v>
      </c>
      <c r="I171" s="107" t="str">
        <f>'Emissões Fugitivas'!H127</f>
        <v/>
      </c>
      <c r="J171" s="22" t="e">
        <f>IF(VLOOKUP(B171,Identificação!#REF!,3,FALSE)="",2,VLOOKUP(B171,Identificação!#REF!,3,FALSE))</f>
        <v>#REF!</v>
      </c>
      <c r="K171" s="22" t="str">
        <f t="shared" si="18"/>
        <v/>
      </c>
      <c r="L171" s="22" t="str">
        <f t="shared" si="19"/>
        <v/>
      </c>
      <c r="M171" s="22" t="str">
        <f t="shared" si="20"/>
        <v/>
      </c>
      <c r="N171" s="112" t="str">
        <f t="shared" si="17"/>
        <v/>
      </c>
      <c r="O171" s="112" t="str">
        <f>IF(C171=$B$68,$E$96*H171*'Fatores de Emissão'!$E$260,"")</f>
        <v/>
      </c>
      <c r="P171" s="112" t="str">
        <f>IF(C171=$B$68,$E$95*H171*'Fatores de Emissão'!$E$261,"")</f>
        <v/>
      </c>
      <c r="Q171" s="112" t="str">
        <f>IF(C171=$B$69,$E$98*H171*'Fatores de Emissão'!$E$260/1000,"")</f>
        <v/>
      </c>
      <c r="R171" s="112" t="str">
        <f>IF(C171=$B$69,$E$97*H171*'Fatores de Emissão'!$E$261/1000,"")</f>
        <v/>
      </c>
      <c r="S171" s="113" t="str">
        <f t="shared" si="21"/>
        <v/>
      </c>
      <c r="T171" s="113" t="str">
        <f t="shared" si="22"/>
        <v/>
      </c>
      <c r="U171" s="113" t="str">
        <f t="shared" si="23"/>
        <v/>
      </c>
      <c r="V171" s="22" t="str">
        <f t="shared" si="15"/>
        <v/>
      </c>
      <c r="W171" s="22" t="e">
        <f t="shared" si="24"/>
        <v>#N/A</v>
      </c>
      <c r="X171" s="22" t="e">
        <f t="shared" si="16"/>
        <v>#N/A</v>
      </c>
    </row>
    <row r="172" spans="2:24" x14ac:dyDescent="0.25">
      <c r="B172" s="107" t="e">
        <f>'Emissões Fugitivas'!#REF!</f>
        <v>#REF!</v>
      </c>
      <c r="C172" s="107">
        <f>'Emissões Fugitivas'!B128</f>
        <v>0</v>
      </c>
      <c r="D172" s="107">
        <f>'Emissões Fugitivas'!C128</f>
        <v>0</v>
      </c>
      <c r="E172" s="107">
        <f>'Emissões Fugitivas'!D128</f>
        <v>0</v>
      </c>
      <c r="F172" s="107" t="str">
        <f>'Emissões Fugitivas'!E128</f>
        <v/>
      </c>
      <c r="G172" s="107" t="e">
        <f>'Emissões Fugitivas'!#REF!</f>
        <v>#REF!</v>
      </c>
      <c r="H172" s="107">
        <f>'Emissões Fugitivas'!G128</f>
        <v>0</v>
      </c>
      <c r="I172" s="107" t="str">
        <f>'Emissões Fugitivas'!H128</f>
        <v/>
      </c>
      <c r="J172" s="22" t="e">
        <f>IF(VLOOKUP(B172,Identificação!#REF!,3,FALSE)="",2,VLOOKUP(B172,Identificação!#REF!,3,FALSE))</f>
        <v>#REF!</v>
      </c>
      <c r="K172" s="22" t="str">
        <f t="shared" si="18"/>
        <v/>
      </c>
      <c r="L172" s="22" t="str">
        <f t="shared" si="19"/>
        <v/>
      </c>
      <c r="M172" s="22" t="str">
        <f t="shared" si="20"/>
        <v/>
      </c>
      <c r="N172" s="112" t="str">
        <f t="shared" si="17"/>
        <v/>
      </c>
      <c r="O172" s="112" t="str">
        <f>IF(C172=$B$68,$E$96*H172*'Fatores de Emissão'!$E$260,"")</f>
        <v/>
      </c>
      <c r="P172" s="112" t="str">
        <f>IF(C172=$B$68,$E$95*H172*'Fatores de Emissão'!$E$261,"")</f>
        <v/>
      </c>
      <c r="Q172" s="112" t="str">
        <f>IF(C172=$B$69,$E$98*H172*'Fatores de Emissão'!$E$260/1000,"")</f>
        <v/>
      </c>
      <c r="R172" s="112" t="str">
        <f>IF(C172=$B$69,$E$97*H172*'Fatores de Emissão'!$E$261/1000,"")</f>
        <v/>
      </c>
      <c r="S172" s="113" t="str">
        <f t="shared" si="21"/>
        <v/>
      </c>
      <c r="T172" s="113" t="str">
        <f t="shared" si="22"/>
        <v/>
      </c>
      <c r="U172" s="113" t="str">
        <f t="shared" si="23"/>
        <v/>
      </c>
      <c r="V172" s="22" t="str">
        <f t="shared" si="15"/>
        <v/>
      </c>
      <c r="W172" s="22" t="e">
        <f t="shared" si="24"/>
        <v>#N/A</v>
      </c>
      <c r="X172" s="22" t="e">
        <f t="shared" si="16"/>
        <v>#N/A</v>
      </c>
    </row>
    <row r="173" spans="2:24" x14ac:dyDescent="0.25">
      <c r="B173" s="107" t="e">
        <f>'Emissões Fugitivas'!#REF!</f>
        <v>#REF!</v>
      </c>
      <c r="C173" s="107">
        <f>'Emissões Fugitivas'!B129</f>
        <v>0</v>
      </c>
      <c r="D173" s="107">
        <f>'Emissões Fugitivas'!C129</f>
        <v>0</v>
      </c>
      <c r="E173" s="107">
        <f>'Emissões Fugitivas'!D129</f>
        <v>0</v>
      </c>
      <c r="F173" s="107" t="str">
        <f>'Emissões Fugitivas'!E129</f>
        <v/>
      </c>
      <c r="G173" s="107" t="e">
        <f>'Emissões Fugitivas'!#REF!</f>
        <v>#REF!</v>
      </c>
      <c r="H173" s="107">
        <f>'Emissões Fugitivas'!G129</f>
        <v>0</v>
      </c>
      <c r="I173" s="107" t="str">
        <f>'Emissões Fugitivas'!H129</f>
        <v/>
      </c>
      <c r="J173" s="22" t="e">
        <f>IF(VLOOKUP(B173,Identificação!#REF!,3,FALSE)="",2,VLOOKUP(B173,Identificação!#REF!,3,FALSE))</f>
        <v>#REF!</v>
      </c>
      <c r="K173" s="22" t="str">
        <f t="shared" si="18"/>
        <v/>
      </c>
      <c r="L173" s="22" t="str">
        <f t="shared" si="19"/>
        <v/>
      </c>
      <c r="M173" s="22" t="str">
        <f t="shared" si="20"/>
        <v/>
      </c>
      <c r="N173" s="112" t="str">
        <f t="shared" si="17"/>
        <v/>
      </c>
      <c r="O173" s="112" t="str">
        <f>IF(C173=$B$68,$E$96*H173*'Fatores de Emissão'!$E$260,"")</f>
        <v/>
      </c>
      <c r="P173" s="112" t="str">
        <f>IF(C173=$B$68,$E$95*H173*'Fatores de Emissão'!$E$261,"")</f>
        <v/>
      </c>
      <c r="Q173" s="112" t="str">
        <f>IF(C173=$B$69,$E$98*H173*'Fatores de Emissão'!$E$260/1000,"")</f>
        <v/>
      </c>
      <c r="R173" s="112" t="str">
        <f>IF(C173=$B$69,$E$97*H173*'Fatores de Emissão'!$E$261/1000,"")</f>
        <v/>
      </c>
      <c r="S173" s="113" t="str">
        <f t="shared" si="21"/>
        <v/>
      </c>
      <c r="T173" s="113" t="str">
        <f t="shared" si="22"/>
        <v/>
      </c>
      <c r="U173" s="113" t="str">
        <f t="shared" si="23"/>
        <v/>
      </c>
      <c r="V173" s="22" t="str">
        <f t="shared" si="15"/>
        <v/>
      </c>
      <c r="W173" s="22" t="e">
        <f t="shared" si="24"/>
        <v>#N/A</v>
      </c>
      <c r="X173" s="22" t="e">
        <f t="shared" si="16"/>
        <v>#N/A</v>
      </c>
    </row>
    <row r="174" spans="2:24" x14ac:dyDescent="0.25">
      <c r="B174" s="107" t="e">
        <f>'Emissões Fugitivas'!#REF!</f>
        <v>#REF!</v>
      </c>
      <c r="C174" s="107">
        <f>'Emissões Fugitivas'!B130</f>
        <v>0</v>
      </c>
      <c r="D174" s="107">
        <f>'Emissões Fugitivas'!C130</f>
        <v>0</v>
      </c>
      <c r="E174" s="107">
        <f>'Emissões Fugitivas'!D130</f>
        <v>0</v>
      </c>
      <c r="F174" s="107" t="str">
        <f>'Emissões Fugitivas'!E130</f>
        <v/>
      </c>
      <c r="G174" s="107" t="e">
        <f>'Emissões Fugitivas'!#REF!</f>
        <v>#REF!</v>
      </c>
      <c r="H174" s="107">
        <f>'Emissões Fugitivas'!G130</f>
        <v>0</v>
      </c>
      <c r="I174" s="107" t="str">
        <f>'Emissões Fugitivas'!H130</f>
        <v/>
      </c>
      <c r="J174" s="22" t="e">
        <f>IF(VLOOKUP(B174,Identificação!#REF!,3,FALSE)="",2,VLOOKUP(B174,Identificação!#REF!,3,FALSE))</f>
        <v>#REF!</v>
      </c>
      <c r="K174" s="22" t="str">
        <f t="shared" si="18"/>
        <v/>
      </c>
      <c r="L174" s="22" t="str">
        <f t="shared" si="19"/>
        <v/>
      </c>
      <c r="M174" s="22" t="str">
        <f t="shared" si="20"/>
        <v/>
      </c>
      <c r="N174" s="112" t="str">
        <f t="shared" si="17"/>
        <v/>
      </c>
      <c r="O174" s="112" t="str">
        <f>IF(C174=$B$68,$E$96*H174*'Fatores de Emissão'!$E$260,"")</f>
        <v/>
      </c>
      <c r="P174" s="112" t="str">
        <f>IF(C174=$B$68,$E$95*H174*'Fatores de Emissão'!$E$261,"")</f>
        <v/>
      </c>
      <c r="Q174" s="112" t="str">
        <f>IF(C174=$B$69,$E$98*H174*'Fatores de Emissão'!$E$260/1000,"")</f>
        <v/>
      </c>
      <c r="R174" s="112" t="str">
        <f>IF(C174=$B$69,$E$97*H174*'Fatores de Emissão'!$E$261/1000,"")</f>
        <v/>
      </c>
      <c r="S174" s="113" t="str">
        <f t="shared" si="21"/>
        <v/>
      </c>
      <c r="T174" s="113" t="str">
        <f t="shared" si="22"/>
        <v/>
      </c>
      <c r="U174" s="113" t="str">
        <f t="shared" si="23"/>
        <v/>
      </c>
      <c r="V174" s="22" t="str">
        <f t="shared" si="15"/>
        <v/>
      </c>
      <c r="W174" s="22" t="e">
        <f t="shared" si="24"/>
        <v>#N/A</v>
      </c>
      <c r="X174" s="22" t="e">
        <f t="shared" si="16"/>
        <v>#N/A</v>
      </c>
    </row>
    <row r="175" spans="2:24" x14ac:dyDescent="0.25">
      <c r="B175" s="107" t="e">
        <f>'Emissões Fugitivas'!#REF!</f>
        <v>#REF!</v>
      </c>
      <c r="C175" s="107">
        <f>'Emissões Fugitivas'!B131</f>
        <v>0</v>
      </c>
      <c r="D175" s="107">
        <f>'Emissões Fugitivas'!C131</f>
        <v>0</v>
      </c>
      <c r="E175" s="107">
        <f>'Emissões Fugitivas'!D131</f>
        <v>0</v>
      </c>
      <c r="F175" s="107" t="str">
        <f>'Emissões Fugitivas'!E131</f>
        <v/>
      </c>
      <c r="G175" s="107" t="e">
        <f>'Emissões Fugitivas'!#REF!</f>
        <v>#REF!</v>
      </c>
      <c r="H175" s="107">
        <f>'Emissões Fugitivas'!G131</f>
        <v>0</v>
      </c>
      <c r="I175" s="107" t="str">
        <f>'Emissões Fugitivas'!H131</f>
        <v/>
      </c>
      <c r="J175" s="22" t="e">
        <f>IF(VLOOKUP(B175,Identificação!#REF!,3,FALSE)="",2,VLOOKUP(B175,Identificação!#REF!,3,FALSE))</f>
        <v>#REF!</v>
      </c>
      <c r="K175" s="22" t="str">
        <f t="shared" si="18"/>
        <v/>
      </c>
      <c r="L175" s="22" t="str">
        <f t="shared" si="19"/>
        <v/>
      </c>
      <c r="M175" s="22" t="str">
        <f t="shared" si="20"/>
        <v/>
      </c>
      <c r="N175" s="112" t="str">
        <f t="shared" si="17"/>
        <v/>
      </c>
      <c r="O175" s="112" t="str">
        <f>IF(C175=$B$68,$E$96*H175*'Fatores de Emissão'!$E$260,"")</f>
        <v/>
      </c>
      <c r="P175" s="112" t="str">
        <f>IF(C175=$B$68,$E$95*H175*'Fatores de Emissão'!$E$261,"")</f>
        <v/>
      </c>
      <c r="Q175" s="112" t="str">
        <f>IF(C175=$B$69,$E$98*H175*'Fatores de Emissão'!$E$260/1000,"")</f>
        <v/>
      </c>
      <c r="R175" s="112" t="str">
        <f>IF(C175=$B$69,$E$97*H175*'Fatores de Emissão'!$E$261/1000,"")</f>
        <v/>
      </c>
      <c r="S175" s="113" t="str">
        <f t="shared" si="21"/>
        <v/>
      </c>
      <c r="T175" s="113" t="str">
        <f t="shared" si="22"/>
        <v/>
      </c>
      <c r="U175" s="113" t="str">
        <f t="shared" si="23"/>
        <v/>
      </c>
      <c r="V175" s="22" t="str">
        <f t="shared" si="15"/>
        <v/>
      </c>
      <c r="W175" s="22" t="e">
        <f t="shared" si="24"/>
        <v>#N/A</v>
      </c>
      <c r="X175" s="22" t="e">
        <f t="shared" si="16"/>
        <v>#N/A</v>
      </c>
    </row>
    <row r="176" spans="2:24" x14ac:dyDescent="0.25">
      <c r="B176" s="107" t="e">
        <f>'Emissões Fugitivas'!#REF!</f>
        <v>#REF!</v>
      </c>
      <c r="C176" s="107">
        <f>'Emissões Fugitivas'!B132</f>
        <v>0</v>
      </c>
      <c r="D176" s="107">
        <f>'Emissões Fugitivas'!C132</f>
        <v>0</v>
      </c>
      <c r="E176" s="107">
        <f>'Emissões Fugitivas'!D132</f>
        <v>0</v>
      </c>
      <c r="F176" s="107" t="str">
        <f>'Emissões Fugitivas'!E132</f>
        <v/>
      </c>
      <c r="G176" s="107" t="e">
        <f>'Emissões Fugitivas'!#REF!</f>
        <v>#REF!</v>
      </c>
      <c r="H176" s="107">
        <f>'Emissões Fugitivas'!G132</f>
        <v>0</v>
      </c>
      <c r="I176" s="107" t="str">
        <f>'Emissões Fugitivas'!H132</f>
        <v/>
      </c>
      <c r="J176" s="22" t="e">
        <f>IF(VLOOKUP(B176,Identificação!#REF!,3,FALSE)="",2,VLOOKUP(B176,Identificação!#REF!,3,FALSE))</f>
        <v>#REF!</v>
      </c>
      <c r="K176" s="22" t="str">
        <f t="shared" si="18"/>
        <v/>
      </c>
      <c r="L176" s="22" t="str">
        <f t="shared" si="19"/>
        <v/>
      </c>
      <c r="M176" s="22" t="str">
        <f t="shared" si="20"/>
        <v/>
      </c>
      <c r="N176" s="112" t="str">
        <f t="shared" si="17"/>
        <v/>
      </c>
      <c r="O176" s="112" t="str">
        <f>IF(C176=$B$68,$E$96*H176*'Fatores de Emissão'!$E$260,"")</f>
        <v/>
      </c>
      <c r="P176" s="112" t="str">
        <f>IF(C176=$B$68,$E$95*H176*'Fatores de Emissão'!$E$261,"")</f>
        <v/>
      </c>
      <c r="Q176" s="112" t="str">
        <f>IF(C176=$B$69,$E$98*H176*'Fatores de Emissão'!$E$260/1000,"")</f>
        <v/>
      </c>
      <c r="R176" s="112" t="str">
        <f>IF(C176=$B$69,$E$97*H176*'Fatores de Emissão'!$E$261/1000,"")</f>
        <v/>
      </c>
      <c r="S176" s="113" t="str">
        <f t="shared" si="21"/>
        <v/>
      </c>
      <c r="T176" s="113" t="str">
        <f t="shared" si="22"/>
        <v/>
      </c>
      <c r="U176" s="113" t="str">
        <f t="shared" si="23"/>
        <v/>
      </c>
      <c r="V176" s="22" t="str">
        <f t="shared" si="15"/>
        <v/>
      </c>
      <c r="W176" s="22" t="e">
        <f t="shared" si="24"/>
        <v>#N/A</v>
      </c>
      <c r="X176" s="22" t="e">
        <f t="shared" si="16"/>
        <v>#N/A</v>
      </c>
    </row>
    <row r="177" spans="2:24" x14ac:dyDescent="0.25">
      <c r="B177" s="107" t="e">
        <f>'Emissões Fugitivas'!#REF!</f>
        <v>#REF!</v>
      </c>
      <c r="C177" s="107">
        <f>'Emissões Fugitivas'!B133</f>
        <v>0</v>
      </c>
      <c r="D177" s="107">
        <f>'Emissões Fugitivas'!C133</f>
        <v>0</v>
      </c>
      <c r="E177" s="107">
        <f>'Emissões Fugitivas'!D133</f>
        <v>0</v>
      </c>
      <c r="F177" s="107" t="str">
        <f>'Emissões Fugitivas'!E133</f>
        <v/>
      </c>
      <c r="G177" s="107" t="e">
        <f>'Emissões Fugitivas'!#REF!</f>
        <v>#REF!</v>
      </c>
      <c r="H177" s="107">
        <f>'Emissões Fugitivas'!G133</f>
        <v>0</v>
      </c>
      <c r="I177" s="107" t="str">
        <f>'Emissões Fugitivas'!H133</f>
        <v/>
      </c>
      <c r="J177" s="22" t="e">
        <f>IF(VLOOKUP(B177,Identificação!#REF!,3,FALSE)="",2,VLOOKUP(B177,Identificação!#REF!,3,FALSE))</f>
        <v>#REF!</v>
      </c>
      <c r="K177" s="22" t="str">
        <f t="shared" si="18"/>
        <v/>
      </c>
      <c r="L177" s="22" t="str">
        <f t="shared" si="19"/>
        <v/>
      </c>
      <c r="M177" s="22" t="str">
        <f t="shared" si="20"/>
        <v/>
      </c>
      <c r="N177" s="112" t="str">
        <f t="shared" si="17"/>
        <v/>
      </c>
      <c r="O177" s="112" t="str">
        <f>IF(C177=$B$68,$E$96*H177*'Fatores de Emissão'!$E$260,"")</f>
        <v/>
      </c>
      <c r="P177" s="112" t="str">
        <f>IF(C177=$B$68,$E$95*H177*'Fatores de Emissão'!$E$261,"")</f>
        <v/>
      </c>
      <c r="Q177" s="112" t="str">
        <f>IF(C177=$B$69,$E$98*H177*'Fatores de Emissão'!$E$260/1000,"")</f>
        <v/>
      </c>
      <c r="R177" s="112" t="str">
        <f>IF(C177=$B$69,$E$97*H177*'Fatores de Emissão'!$E$261/1000,"")</f>
        <v/>
      </c>
      <c r="S177" s="113" t="str">
        <f t="shared" si="21"/>
        <v/>
      </c>
      <c r="T177" s="113" t="str">
        <f t="shared" si="22"/>
        <v/>
      </c>
      <c r="U177" s="113" t="str">
        <f t="shared" si="23"/>
        <v/>
      </c>
      <c r="V177" s="22" t="str">
        <f t="shared" si="15"/>
        <v/>
      </c>
      <c r="W177" s="22" t="e">
        <f t="shared" si="24"/>
        <v>#N/A</v>
      </c>
      <c r="X177" s="22" t="e">
        <f t="shared" si="16"/>
        <v>#N/A</v>
      </c>
    </row>
    <row r="178" spans="2:24" x14ac:dyDescent="0.25">
      <c r="B178" s="107" t="e">
        <f>'Emissões Fugitivas'!#REF!</f>
        <v>#REF!</v>
      </c>
      <c r="C178" s="107">
        <f>'Emissões Fugitivas'!B134</f>
        <v>0</v>
      </c>
      <c r="D178" s="107">
        <f>'Emissões Fugitivas'!C134</f>
        <v>0</v>
      </c>
      <c r="E178" s="107">
        <f>'Emissões Fugitivas'!D134</f>
        <v>0</v>
      </c>
      <c r="F178" s="107" t="str">
        <f>'Emissões Fugitivas'!E134</f>
        <v/>
      </c>
      <c r="G178" s="107" t="e">
        <f>'Emissões Fugitivas'!#REF!</f>
        <v>#REF!</v>
      </c>
      <c r="H178" s="107">
        <f>'Emissões Fugitivas'!G134</f>
        <v>0</v>
      </c>
      <c r="I178" s="107" t="str">
        <f>'Emissões Fugitivas'!H134</f>
        <v/>
      </c>
      <c r="J178" s="22" t="e">
        <f>IF(VLOOKUP(B178,Identificação!#REF!,3,FALSE)="",2,VLOOKUP(B178,Identificação!#REF!,3,FALSE))</f>
        <v>#REF!</v>
      </c>
      <c r="K178" s="22" t="str">
        <f t="shared" si="18"/>
        <v/>
      </c>
      <c r="L178" s="22" t="str">
        <f t="shared" si="19"/>
        <v/>
      </c>
      <c r="M178" s="22" t="str">
        <f t="shared" si="20"/>
        <v/>
      </c>
      <c r="N178" s="112" t="str">
        <f t="shared" si="17"/>
        <v/>
      </c>
      <c r="O178" s="112" t="str">
        <f>IF(C178=$B$68,$E$96*H178*'Fatores de Emissão'!$E$260,"")</f>
        <v/>
      </c>
      <c r="P178" s="112" t="str">
        <f>IF(C178=$B$68,$E$95*H178*'Fatores de Emissão'!$E$261,"")</f>
        <v/>
      </c>
      <c r="Q178" s="112" t="str">
        <f>IF(C178=$B$69,$E$98*H178*'Fatores de Emissão'!$E$260/1000,"")</f>
        <v/>
      </c>
      <c r="R178" s="112" t="str">
        <f>IF(C178=$B$69,$E$97*H178*'Fatores de Emissão'!$E$261/1000,"")</f>
        <v/>
      </c>
      <c r="S178" s="113" t="str">
        <f t="shared" si="21"/>
        <v/>
      </c>
      <c r="T178" s="113" t="str">
        <f t="shared" si="22"/>
        <v/>
      </c>
      <c r="U178" s="113" t="str">
        <f t="shared" si="23"/>
        <v/>
      </c>
      <c r="V178" s="22" t="str">
        <f t="shared" si="15"/>
        <v/>
      </c>
      <c r="W178" s="22" t="e">
        <f t="shared" si="24"/>
        <v>#N/A</v>
      </c>
      <c r="X178" s="22" t="e">
        <f t="shared" si="16"/>
        <v>#N/A</v>
      </c>
    </row>
    <row r="179" spans="2:24" x14ac:dyDescent="0.25">
      <c r="B179" s="107" t="e">
        <f>'Emissões Fugitivas'!#REF!</f>
        <v>#REF!</v>
      </c>
      <c r="C179" s="107">
        <f>'Emissões Fugitivas'!B135</f>
        <v>0</v>
      </c>
      <c r="D179" s="107">
        <f>'Emissões Fugitivas'!C135</f>
        <v>0</v>
      </c>
      <c r="E179" s="107">
        <f>'Emissões Fugitivas'!D135</f>
        <v>0</v>
      </c>
      <c r="F179" s="107" t="str">
        <f>'Emissões Fugitivas'!E135</f>
        <v/>
      </c>
      <c r="G179" s="107" t="e">
        <f>'Emissões Fugitivas'!#REF!</f>
        <v>#REF!</v>
      </c>
      <c r="H179" s="107">
        <f>'Emissões Fugitivas'!G135</f>
        <v>0</v>
      </c>
      <c r="I179" s="107" t="str">
        <f>'Emissões Fugitivas'!H135</f>
        <v/>
      </c>
      <c r="J179" s="22" t="e">
        <f>IF(VLOOKUP(B179,Identificação!#REF!,3,FALSE)="",2,VLOOKUP(B179,Identificação!#REF!,3,FALSE))</f>
        <v>#REF!</v>
      </c>
      <c r="K179" s="22" t="str">
        <f t="shared" si="18"/>
        <v/>
      </c>
      <c r="L179" s="22" t="str">
        <f t="shared" si="19"/>
        <v/>
      </c>
      <c r="M179" s="22" t="str">
        <f t="shared" si="20"/>
        <v/>
      </c>
      <c r="N179" s="112" t="str">
        <f t="shared" si="17"/>
        <v/>
      </c>
      <c r="O179" s="112" t="str">
        <f>IF(C179=$B$68,$E$96*H179*'Fatores de Emissão'!$E$260,"")</f>
        <v/>
      </c>
      <c r="P179" s="112" t="str">
        <f>IF(C179=$B$68,$E$95*H179*'Fatores de Emissão'!$E$261,"")</f>
        <v/>
      </c>
      <c r="Q179" s="112" t="str">
        <f>IF(C179=$B$69,$E$98*H179*'Fatores de Emissão'!$E$260/1000,"")</f>
        <v/>
      </c>
      <c r="R179" s="112" t="str">
        <f>IF(C179=$B$69,$E$97*H179*'Fatores de Emissão'!$E$261/1000,"")</f>
        <v/>
      </c>
      <c r="S179" s="113" t="str">
        <f t="shared" si="21"/>
        <v/>
      </c>
      <c r="T179" s="113" t="str">
        <f t="shared" si="22"/>
        <v/>
      </c>
      <c r="U179" s="113" t="str">
        <f t="shared" si="23"/>
        <v/>
      </c>
      <c r="V179" s="22" t="str">
        <f t="shared" si="15"/>
        <v/>
      </c>
      <c r="W179" s="22" t="e">
        <f t="shared" si="24"/>
        <v>#N/A</v>
      </c>
      <c r="X179" s="22" t="e">
        <f t="shared" si="16"/>
        <v>#N/A</v>
      </c>
    </row>
    <row r="180" spans="2:24" x14ac:dyDescent="0.25">
      <c r="B180" s="107" t="e">
        <f>'Emissões Fugitivas'!#REF!</f>
        <v>#REF!</v>
      </c>
      <c r="C180" s="107">
        <f>'Emissões Fugitivas'!B136</f>
        <v>0</v>
      </c>
      <c r="D180" s="107">
        <f>'Emissões Fugitivas'!C136</f>
        <v>0</v>
      </c>
      <c r="E180" s="107">
        <f>'Emissões Fugitivas'!D136</f>
        <v>0</v>
      </c>
      <c r="F180" s="107" t="str">
        <f>'Emissões Fugitivas'!E136</f>
        <v/>
      </c>
      <c r="G180" s="107" t="e">
        <f>'Emissões Fugitivas'!#REF!</f>
        <v>#REF!</v>
      </c>
      <c r="H180" s="107">
        <f>'Emissões Fugitivas'!G136</f>
        <v>0</v>
      </c>
      <c r="I180" s="107" t="str">
        <f>'Emissões Fugitivas'!H136</f>
        <v/>
      </c>
      <c r="J180" s="22" t="e">
        <f>IF(VLOOKUP(B180,Identificação!#REF!,3,FALSE)="",2,VLOOKUP(B180,Identificação!#REF!,3,FALSE))</f>
        <v>#REF!</v>
      </c>
      <c r="K180" s="22" t="str">
        <f t="shared" si="18"/>
        <v/>
      </c>
      <c r="L180" s="22" t="str">
        <f t="shared" si="19"/>
        <v/>
      </c>
      <c r="M180" s="22" t="str">
        <f t="shared" si="20"/>
        <v/>
      </c>
      <c r="N180" s="112" t="str">
        <f t="shared" si="17"/>
        <v/>
      </c>
      <c r="O180" s="112" t="str">
        <f>IF(C180=$B$68,$E$96*H180*'Fatores de Emissão'!$E$260,"")</f>
        <v/>
      </c>
      <c r="P180" s="112" t="str">
        <f>IF(C180=$B$68,$E$95*H180*'Fatores de Emissão'!$E$261,"")</f>
        <v/>
      </c>
      <c r="Q180" s="112" t="str">
        <f>IF(C180=$B$69,$E$98*H180*'Fatores de Emissão'!$E$260/1000,"")</f>
        <v/>
      </c>
      <c r="R180" s="112" t="str">
        <f>IF(C180=$B$69,$E$97*H180*'Fatores de Emissão'!$E$261/1000,"")</f>
        <v/>
      </c>
      <c r="S180" s="113" t="str">
        <f t="shared" si="21"/>
        <v/>
      </c>
      <c r="T180" s="113" t="str">
        <f t="shared" si="22"/>
        <v/>
      </c>
      <c r="U180" s="113" t="str">
        <f t="shared" si="23"/>
        <v/>
      </c>
      <c r="V180" s="22" t="str">
        <f t="shared" si="15"/>
        <v/>
      </c>
      <c r="W180" s="22" t="e">
        <f t="shared" si="24"/>
        <v>#N/A</v>
      </c>
      <c r="X180" s="22" t="e">
        <f t="shared" si="16"/>
        <v>#N/A</v>
      </c>
    </row>
    <row r="181" spans="2:24" x14ac:dyDescent="0.25">
      <c r="B181" s="107" t="e">
        <f>'Emissões Fugitivas'!#REF!</f>
        <v>#REF!</v>
      </c>
      <c r="C181" s="107">
        <f>'Emissões Fugitivas'!B137</f>
        <v>0</v>
      </c>
      <c r="D181" s="107">
        <f>'Emissões Fugitivas'!C137</f>
        <v>0</v>
      </c>
      <c r="E181" s="107">
        <f>'Emissões Fugitivas'!D137</f>
        <v>0</v>
      </c>
      <c r="F181" s="107" t="str">
        <f>'Emissões Fugitivas'!E137</f>
        <v/>
      </c>
      <c r="G181" s="107" t="e">
        <f>'Emissões Fugitivas'!#REF!</f>
        <v>#REF!</v>
      </c>
      <c r="H181" s="107">
        <f>'Emissões Fugitivas'!G137</f>
        <v>0</v>
      </c>
      <c r="I181" s="107" t="str">
        <f>'Emissões Fugitivas'!H137</f>
        <v/>
      </c>
      <c r="J181" s="22" t="e">
        <f>IF(VLOOKUP(B181,Identificação!#REF!,3,FALSE)="",2,VLOOKUP(B181,Identificação!#REF!,3,FALSE))</f>
        <v>#REF!</v>
      </c>
      <c r="K181" s="22" t="str">
        <f t="shared" ref="K181:K217" si="25">IF(C181=$B$66,$E$87,IF(C181=$B$67,$E$91,""))</f>
        <v/>
      </c>
      <c r="L181" s="22" t="str">
        <f t="shared" ref="L181:L217" si="26">IF(C181=$B$66,$E$88,IF(C181=$B$67,$E$92,""))</f>
        <v/>
      </c>
      <c r="M181" s="22" t="str">
        <f t="shared" ref="M181:M217" si="27">IF(C181=$B$66,$E$89,IF(C181=$B$67,$E$93,""))</f>
        <v/>
      </c>
      <c r="N181" s="112" t="str">
        <f t="shared" si="17"/>
        <v/>
      </c>
      <c r="O181" s="112" t="str">
        <f>IF(C181=$B$68,$E$96*H181*'Fatores de Emissão'!$E$260,"")</f>
        <v/>
      </c>
      <c r="P181" s="112" t="str">
        <f>IF(C181=$B$68,$E$95*H181*'Fatores de Emissão'!$E$261,"")</f>
        <v/>
      </c>
      <c r="Q181" s="112" t="str">
        <f>IF(C181=$B$69,$E$98*H181*'Fatores de Emissão'!$E$260/1000,"")</f>
        <v/>
      </c>
      <c r="R181" s="112" t="str">
        <f>IF(C181=$B$69,$E$97*H181*'Fatores de Emissão'!$E$261/1000,"")</f>
        <v/>
      </c>
      <c r="S181" s="113" t="str">
        <f t="shared" ref="S181:S217" si="28">IF($C181=S$115,$E$102*$H181,"")</f>
        <v/>
      </c>
      <c r="T181" s="113" t="str">
        <f t="shared" ref="T181:T217" si="29">IF($C181=T$115,$E$110*$H181,"")</f>
        <v/>
      </c>
      <c r="U181" s="113" t="str">
        <f t="shared" ref="U181:U217" si="30">IF($C181=U$115,$E$106*$H181,"")</f>
        <v/>
      </c>
      <c r="V181" s="22" t="str">
        <f t="shared" si="15"/>
        <v/>
      </c>
      <c r="W181" s="22" t="e">
        <f t="shared" ref="W181:W217" si="31">IF(VLOOKUP(C181,$B$59:$D$80,3,FALSE)="",E181,VLOOKUP(C181,$B$59:$D$80,3,FALSE))</f>
        <v>#N/A</v>
      </c>
      <c r="X181" s="22" t="e">
        <f t="shared" si="16"/>
        <v>#N/A</v>
      </c>
    </row>
    <row r="182" spans="2:24" x14ac:dyDescent="0.25">
      <c r="B182" s="107" t="e">
        <f>'Emissões Fugitivas'!#REF!</f>
        <v>#REF!</v>
      </c>
      <c r="C182" s="107">
        <f>'Emissões Fugitivas'!B138</f>
        <v>0</v>
      </c>
      <c r="D182" s="107">
        <f>'Emissões Fugitivas'!C138</f>
        <v>0</v>
      </c>
      <c r="E182" s="107">
        <f>'Emissões Fugitivas'!D138</f>
        <v>0</v>
      </c>
      <c r="F182" s="107" t="str">
        <f>'Emissões Fugitivas'!E138</f>
        <v/>
      </c>
      <c r="G182" s="107" t="e">
        <f>'Emissões Fugitivas'!#REF!</f>
        <v>#REF!</v>
      </c>
      <c r="H182" s="107">
        <f>'Emissões Fugitivas'!G138</f>
        <v>0</v>
      </c>
      <c r="I182" s="107" t="str">
        <f>'Emissões Fugitivas'!H138</f>
        <v/>
      </c>
      <c r="J182" s="22" t="e">
        <f>IF(VLOOKUP(B182,Identificação!#REF!,3,FALSE)="",2,VLOOKUP(B182,Identificação!#REF!,3,FALSE))</f>
        <v>#REF!</v>
      </c>
      <c r="K182" s="22" t="str">
        <f t="shared" si="25"/>
        <v/>
      </c>
      <c r="L182" s="22" t="str">
        <f t="shared" si="26"/>
        <v/>
      </c>
      <c r="M182" s="22" t="str">
        <f t="shared" si="27"/>
        <v/>
      </c>
      <c r="N182" s="112" t="str">
        <f t="shared" si="17"/>
        <v/>
      </c>
      <c r="O182" s="112" t="str">
        <f>IF(C182=$B$68,$E$96*H182*'Fatores de Emissão'!$E$260,"")</f>
        <v/>
      </c>
      <c r="P182" s="112" t="str">
        <f>IF(C182=$B$68,$E$95*H182*'Fatores de Emissão'!$E$261,"")</f>
        <v/>
      </c>
      <c r="Q182" s="112" t="str">
        <f>IF(C182=$B$69,$E$98*H182*'Fatores de Emissão'!$E$260/1000,"")</f>
        <v/>
      </c>
      <c r="R182" s="112" t="str">
        <f>IF(C182=$B$69,$E$97*H182*'Fatores de Emissão'!$E$261/1000,"")</f>
        <v/>
      </c>
      <c r="S182" s="113" t="str">
        <f t="shared" si="28"/>
        <v/>
      </c>
      <c r="T182" s="113" t="str">
        <f t="shared" si="29"/>
        <v/>
      </c>
      <c r="U182" s="113" t="str">
        <f t="shared" si="30"/>
        <v/>
      </c>
      <c r="V182" s="22" t="str">
        <f t="shared" ref="V182:V216" si="32">IF(H182&gt;0,H182,"")</f>
        <v/>
      </c>
      <c r="W182" s="22" t="e">
        <f t="shared" si="31"/>
        <v>#N/A</v>
      </c>
      <c r="X182" s="22" t="e">
        <f t="shared" ref="X182:X216" si="33">IF(W182=0,SUM(N182:U182),V182*W182)</f>
        <v>#N/A</v>
      </c>
    </row>
    <row r="183" spans="2:24" x14ac:dyDescent="0.25">
      <c r="B183" s="107" t="e">
        <f>'Emissões Fugitivas'!#REF!</f>
        <v>#REF!</v>
      </c>
      <c r="C183" s="107">
        <f>'Emissões Fugitivas'!B139</f>
        <v>0</v>
      </c>
      <c r="D183" s="107">
        <f>'Emissões Fugitivas'!C139</f>
        <v>0</v>
      </c>
      <c r="E183" s="107">
        <f>'Emissões Fugitivas'!D139</f>
        <v>0</v>
      </c>
      <c r="F183" s="107" t="str">
        <f>'Emissões Fugitivas'!E139</f>
        <v/>
      </c>
      <c r="G183" s="107" t="e">
        <f>'Emissões Fugitivas'!#REF!</f>
        <v>#REF!</v>
      </c>
      <c r="H183" s="107">
        <f>'Emissões Fugitivas'!G139</f>
        <v>0</v>
      </c>
      <c r="I183" s="107" t="str">
        <f>'Emissões Fugitivas'!H139</f>
        <v/>
      </c>
      <c r="J183" s="22" t="e">
        <f>IF(VLOOKUP(B183,Identificação!#REF!,3,FALSE)="",2,VLOOKUP(B183,Identificação!#REF!,3,FALSE))</f>
        <v>#REF!</v>
      </c>
      <c r="K183" s="22" t="str">
        <f t="shared" si="25"/>
        <v/>
      </c>
      <c r="L183" s="22" t="str">
        <f t="shared" si="26"/>
        <v/>
      </c>
      <c r="M183" s="22" t="str">
        <f t="shared" si="27"/>
        <v/>
      </c>
      <c r="N183" s="112" t="str">
        <f t="shared" si="17"/>
        <v/>
      </c>
      <c r="O183" s="112" t="str">
        <f>IF(C183=$B$68,$E$96*H183*'Fatores de Emissão'!$E$260,"")</f>
        <v/>
      </c>
      <c r="P183" s="112" t="str">
        <f>IF(C183=$B$68,$E$95*H183*'Fatores de Emissão'!$E$261,"")</f>
        <v/>
      </c>
      <c r="Q183" s="112" t="str">
        <f>IF(C183=$B$69,$E$98*H183*'Fatores de Emissão'!$E$260/1000,"")</f>
        <v/>
      </c>
      <c r="R183" s="112" t="str">
        <f>IF(C183=$B$69,$E$97*H183*'Fatores de Emissão'!$E$261/1000,"")</f>
        <v/>
      </c>
      <c r="S183" s="113" t="str">
        <f t="shared" si="28"/>
        <v/>
      </c>
      <c r="T183" s="113" t="str">
        <f t="shared" si="29"/>
        <v/>
      </c>
      <c r="U183" s="113" t="str">
        <f t="shared" si="30"/>
        <v/>
      </c>
      <c r="V183" s="22" t="str">
        <f t="shared" si="32"/>
        <v/>
      </c>
      <c r="W183" s="22" t="e">
        <f t="shared" si="31"/>
        <v>#N/A</v>
      </c>
      <c r="X183" s="22" t="e">
        <f t="shared" si="33"/>
        <v>#N/A</v>
      </c>
    </row>
    <row r="184" spans="2:24" x14ac:dyDescent="0.25">
      <c r="B184" s="107" t="e">
        <f>'Emissões Fugitivas'!#REF!</f>
        <v>#REF!</v>
      </c>
      <c r="C184" s="107">
        <f>'Emissões Fugitivas'!B140</f>
        <v>0</v>
      </c>
      <c r="D184" s="107">
        <f>'Emissões Fugitivas'!C140</f>
        <v>0</v>
      </c>
      <c r="E184" s="107">
        <f>'Emissões Fugitivas'!D140</f>
        <v>0</v>
      </c>
      <c r="F184" s="107" t="str">
        <f>'Emissões Fugitivas'!E140</f>
        <v/>
      </c>
      <c r="G184" s="107" t="e">
        <f>'Emissões Fugitivas'!#REF!</f>
        <v>#REF!</v>
      </c>
      <c r="H184" s="107">
        <f>'Emissões Fugitivas'!G140</f>
        <v>0</v>
      </c>
      <c r="I184" s="107" t="str">
        <f>'Emissões Fugitivas'!H140</f>
        <v/>
      </c>
      <c r="J184" s="22" t="e">
        <f>IF(VLOOKUP(B184,Identificação!#REF!,3,FALSE)="",2,VLOOKUP(B184,Identificação!#REF!,3,FALSE))</f>
        <v>#REF!</v>
      </c>
      <c r="K184" s="22" t="str">
        <f t="shared" si="25"/>
        <v/>
      </c>
      <c r="L184" s="22" t="str">
        <f t="shared" si="26"/>
        <v/>
      </c>
      <c r="M184" s="22" t="str">
        <f t="shared" si="27"/>
        <v/>
      </c>
      <c r="N184" s="112" t="str">
        <f t="shared" si="17"/>
        <v/>
      </c>
      <c r="O184" s="112" t="str">
        <f>IF(C184=$B$68,$E$96*H184*'Fatores de Emissão'!$E$260,"")</f>
        <v/>
      </c>
      <c r="P184" s="112" t="str">
        <f>IF(C184=$B$68,$E$95*H184*'Fatores de Emissão'!$E$261,"")</f>
        <v/>
      </c>
      <c r="Q184" s="112" t="str">
        <f>IF(C184=$B$69,$E$98*H184*'Fatores de Emissão'!$E$260/1000,"")</f>
        <v/>
      </c>
      <c r="R184" s="112" t="str">
        <f>IF(C184=$B$69,$E$97*H184*'Fatores de Emissão'!$E$261/1000,"")</f>
        <v/>
      </c>
      <c r="S184" s="113" t="str">
        <f t="shared" si="28"/>
        <v/>
      </c>
      <c r="T184" s="113" t="str">
        <f t="shared" si="29"/>
        <v/>
      </c>
      <c r="U184" s="113" t="str">
        <f t="shared" si="30"/>
        <v/>
      </c>
      <c r="V184" s="22" t="str">
        <f t="shared" si="32"/>
        <v/>
      </c>
      <c r="W184" s="22" t="e">
        <f t="shared" si="31"/>
        <v>#N/A</v>
      </c>
      <c r="X184" s="22" t="e">
        <f t="shared" si="33"/>
        <v>#N/A</v>
      </c>
    </row>
    <row r="185" spans="2:24" x14ac:dyDescent="0.25">
      <c r="B185" s="107" t="e">
        <f>'Emissões Fugitivas'!#REF!</f>
        <v>#REF!</v>
      </c>
      <c r="C185" s="107">
        <f>'Emissões Fugitivas'!B141</f>
        <v>0</v>
      </c>
      <c r="D185" s="107">
        <f>'Emissões Fugitivas'!C141</f>
        <v>0</v>
      </c>
      <c r="E185" s="107">
        <f>'Emissões Fugitivas'!D141</f>
        <v>0</v>
      </c>
      <c r="F185" s="107" t="str">
        <f>'Emissões Fugitivas'!E141</f>
        <v/>
      </c>
      <c r="G185" s="107" t="e">
        <f>'Emissões Fugitivas'!#REF!</f>
        <v>#REF!</v>
      </c>
      <c r="H185" s="107">
        <f>'Emissões Fugitivas'!G141</f>
        <v>0</v>
      </c>
      <c r="I185" s="107" t="str">
        <f>'Emissões Fugitivas'!H141</f>
        <v/>
      </c>
      <c r="J185" s="22" t="e">
        <f>IF(VLOOKUP(B185,Identificação!#REF!,3,FALSE)="",2,VLOOKUP(B185,Identificação!#REF!,3,FALSE))</f>
        <v>#REF!</v>
      </c>
      <c r="K185" s="22" t="str">
        <f t="shared" si="25"/>
        <v/>
      </c>
      <c r="L185" s="22" t="str">
        <f t="shared" si="26"/>
        <v/>
      </c>
      <c r="M185" s="22" t="str">
        <f t="shared" si="27"/>
        <v/>
      </c>
      <c r="N185" s="112" t="str">
        <f t="shared" si="17"/>
        <v/>
      </c>
      <c r="O185" s="112" t="str">
        <f>IF(C185=$B$68,$E$96*H185*'Fatores de Emissão'!$E$260,"")</f>
        <v/>
      </c>
      <c r="P185" s="112" t="str">
        <f>IF(C185=$B$68,$E$95*H185*'Fatores de Emissão'!$E$261,"")</f>
        <v/>
      </c>
      <c r="Q185" s="112" t="str">
        <f>IF(C185=$B$69,$E$98*H185*'Fatores de Emissão'!$E$260/1000,"")</f>
        <v/>
      </c>
      <c r="R185" s="112" t="str">
        <f>IF(C185=$B$69,$E$97*H185*'Fatores de Emissão'!$E$261/1000,"")</f>
        <v/>
      </c>
      <c r="S185" s="113" t="str">
        <f t="shared" si="28"/>
        <v/>
      </c>
      <c r="T185" s="113" t="str">
        <f t="shared" si="29"/>
        <v/>
      </c>
      <c r="U185" s="113" t="str">
        <f t="shared" si="30"/>
        <v/>
      </c>
      <c r="V185" s="22" t="str">
        <f t="shared" si="32"/>
        <v/>
      </c>
      <c r="W185" s="22" t="e">
        <f t="shared" si="31"/>
        <v>#N/A</v>
      </c>
      <c r="X185" s="22" t="e">
        <f t="shared" si="33"/>
        <v>#N/A</v>
      </c>
    </row>
    <row r="186" spans="2:24" x14ac:dyDescent="0.25">
      <c r="B186" s="107" t="e">
        <f>'Emissões Fugitivas'!#REF!</f>
        <v>#REF!</v>
      </c>
      <c r="C186" s="107">
        <f>'Emissões Fugitivas'!B142</f>
        <v>0</v>
      </c>
      <c r="D186" s="107">
        <f>'Emissões Fugitivas'!C142</f>
        <v>0</v>
      </c>
      <c r="E186" s="107">
        <f>'Emissões Fugitivas'!D142</f>
        <v>0</v>
      </c>
      <c r="F186" s="107" t="str">
        <f>'Emissões Fugitivas'!E142</f>
        <v/>
      </c>
      <c r="G186" s="107" t="e">
        <f>'Emissões Fugitivas'!#REF!</f>
        <v>#REF!</v>
      </c>
      <c r="H186" s="107">
        <f>'Emissões Fugitivas'!G142</f>
        <v>0</v>
      </c>
      <c r="I186" s="107" t="str">
        <f>'Emissões Fugitivas'!H142</f>
        <v/>
      </c>
      <c r="J186" s="22" t="e">
        <f>IF(VLOOKUP(B186,Identificação!#REF!,3,FALSE)="",2,VLOOKUP(B186,Identificação!#REF!,3,FALSE))</f>
        <v>#REF!</v>
      </c>
      <c r="K186" s="22" t="str">
        <f t="shared" si="25"/>
        <v/>
      </c>
      <c r="L186" s="22" t="str">
        <f t="shared" si="26"/>
        <v/>
      </c>
      <c r="M186" s="22" t="str">
        <f t="shared" si="27"/>
        <v/>
      </c>
      <c r="N186" s="112" t="str">
        <f t="shared" si="17"/>
        <v/>
      </c>
      <c r="O186" s="112" t="str">
        <f>IF(C186=$B$68,$E$96*H186*'Fatores de Emissão'!$E$260,"")</f>
        <v/>
      </c>
      <c r="P186" s="112" t="str">
        <f>IF(C186=$B$68,$E$95*H186*'Fatores de Emissão'!$E$261,"")</f>
        <v/>
      </c>
      <c r="Q186" s="112" t="str">
        <f>IF(C186=$B$69,$E$98*H186*'Fatores de Emissão'!$E$260/1000,"")</f>
        <v/>
      </c>
      <c r="R186" s="112" t="str">
        <f>IF(C186=$B$69,$E$97*H186*'Fatores de Emissão'!$E$261/1000,"")</f>
        <v/>
      </c>
      <c r="S186" s="113" t="str">
        <f t="shared" si="28"/>
        <v/>
      </c>
      <c r="T186" s="113" t="str">
        <f t="shared" si="29"/>
        <v/>
      </c>
      <c r="U186" s="113" t="str">
        <f t="shared" si="30"/>
        <v/>
      </c>
      <c r="V186" s="22" t="str">
        <f t="shared" si="32"/>
        <v/>
      </c>
      <c r="W186" s="22" t="e">
        <f t="shared" si="31"/>
        <v>#N/A</v>
      </c>
      <c r="X186" s="22" t="e">
        <f t="shared" si="33"/>
        <v>#N/A</v>
      </c>
    </row>
    <row r="187" spans="2:24" x14ac:dyDescent="0.25">
      <c r="B187" s="107" t="e">
        <f>'Emissões Fugitivas'!#REF!</f>
        <v>#REF!</v>
      </c>
      <c r="C187" s="107">
        <f>'Emissões Fugitivas'!B143</f>
        <v>0</v>
      </c>
      <c r="D187" s="107">
        <f>'Emissões Fugitivas'!C143</f>
        <v>0</v>
      </c>
      <c r="E187" s="107">
        <f>'Emissões Fugitivas'!D143</f>
        <v>0</v>
      </c>
      <c r="F187" s="107" t="str">
        <f>'Emissões Fugitivas'!E143</f>
        <v/>
      </c>
      <c r="G187" s="107" t="e">
        <f>'Emissões Fugitivas'!#REF!</f>
        <v>#REF!</v>
      </c>
      <c r="H187" s="107">
        <f>'Emissões Fugitivas'!G143</f>
        <v>0</v>
      </c>
      <c r="I187" s="107" t="str">
        <f>'Emissões Fugitivas'!H143</f>
        <v/>
      </c>
      <c r="J187" s="22" t="e">
        <f>IF(VLOOKUP(B187,Identificação!#REF!,3,FALSE)="",2,VLOOKUP(B187,Identificação!#REF!,3,FALSE))</f>
        <v>#REF!</v>
      </c>
      <c r="K187" s="22" t="str">
        <f t="shared" si="25"/>
        <v/>
      </c>
      <c r="L187" s="22" t="str">
        <f t="shared" si="26"/>
        <v/>
      </c>
      <c r="M187" s="22" t="str">
        <f t="shared" si="27"/>
        <v/>
      </c>
      <c r="N187" s="112" t="str">
        <f t="shared" si="17"/>
        <v/>
      </c>
      <c r="O187" s="112" t="str">
        <f>IF(C187=$B$68,$E$96*H187*'Fatores de Emissão'!$E$260,"")</f>
        <v/>
      </c>
      <c r="P187" s="112" t="str">
        <f>IF(C187=$B$68,$E$95*H187*'Fatores de Emissão'!$E$261,"")</f>
        <v/>
      </c>
      <c r="Q187" s="112" t="str">
        <f>IF(C187=$B$69,$E$98*H187*'Fatores de Emissão'!$E$260/1000,"")</f>
        <v/>
      </c>
      <c r="R187" s="112" t="str">
        <f>IF(C187=$B$69,$E$97*H187*'Fatores de Emissão'!$E$261/1000,"")</f>
        <v/>
      </c>
      <c r="S187" s="113" t="str">
        <f t="shared" si="28"/>
        <v/>
      </c>
      <c r="T187" s="113" t="str">
        <f t="shared" si="29"/>
        <v/>
      </c>
      <c r="U187" s="113" t="str">
        <f t="shared" si="30"/>
        <v/>
      </c>
      <c r="V187" s="22" t="str">
        <f t="shared" si="32"/>
        <v/>
      </c>
      <c r="W187" s="22" t="e">
        <f t="shared" si="31"/>
        <v>#N/A</v>
      </c>
      <c r="X187" s="22" t="e">
        <f t="shared" si="33"/>
        <v>#N/A</v>
      </c>
    </row>
    <row r="188" spans="2:24" x14ac:dyDescent="0.25">
      <c r="B188" s="107" t="e">
        <f>'Emissões Fugitivas'!#REF!</f>
        <v>#REF!</v>
      </c>
      <c r="C188" s="107">
        <f>'Emissões Fugitivas'!B144</f>
        <v>0</v>
      </c>
      <c r="D188" s="107">
        <f>'Emissões Fugitivas'!C144</f>
        <v>0</v>
      </c>
      <c r="E188" s="107">
        <f>'Emissões Fugitivas'!D144</f>
        <v>0</v>
      </c>
      <c r="F188" s="107" t="str">
        <f>'Emissões Fugitivas'!E144</f>
        <v/>
      </c>
      <c r="G188" s="107" t="e">
        <f>'Emissões Fugitivas'!#REF!</f>
        <v>#REF!</v>
      </c>
      <c r="H188" s="107">
        <f>'Emissões Fugitivas'!G144</f>
        <v>0</v>
      </c>
      <c r="I188" s="107" t="str">
        <f>'Emissões Fugitivas'!H144</f>
        <v/>
      </c>
      <c r="J188" s="22" t="e">
        <f>IF(VLOOKUP(B188,Identificação!#REF!,3,FALSE)="",2,VLOOKUP(B188,Identificação!#REF!,3,FALSE))</f>
        <v>#REF!</v>
      </c>
      <c r="K188" s="22" t="str">
        <f t="shared" si="25"/>
        <v/>
      </c>
      <c r="L188" s="22" t="str">
        <f t="shared" si="26"/>
        <v/>
      </c>
      <c r="M188" s="22" t="str">
        <f t="shared" si="27"/>
        <v/>
      </c>
      <c r="N188" s="112" t="str">
        <f t="shared" si="17"/>
        <v/>
      </c>
      <c r="O188" s="112" t="str">
        <f>IF(C188=$B$68,$E$96*H188*'Fatores de Emissão'!$E$260,"")</f>
        <v/>
      </c>
      <c r="P188" s="112" t="str">
        <f>IF(C188=$B$68,$E$95*H188*'Fatores de Emissão'!$E$261,"")</f>
        <v/>
      </c>
      <c r="Q188" s="112" t="str">
        <f>IF(C188=$B$69,$E$98*H188*'Fatores de Emissão'!$E$260/1000,"")</f>
        <v/>
      </c>
      <c r="R188" s="112" t="str">
        <f>IF(C188=$B$69,$E$97*H188*'Fatores de Emissão'!$E$261/1000,"")</f>
        <v/>
      </c>
      <c r="S188" s="113" t="str">
        <f t="shared" si="28"/>
        <v/>
      </c>
      <c r="T188" s="113" t="str">
        <f t="shared" si="29"/>
        <v/>
      </c>
      <c r="U188" s="113" t="str">
        <f t="shared" si="30"/>
        <v/>
      </c>
      <c r="V188" s="22" t="str">
        <f t="shared" si="32"/>
        <v/>
      </c>
      <c r="W188" s="22" t="e">
        <f t="shared" si="31"/>
        <v>#N/A</v>
      </c>
      <c r="X188" s="22" t="e">
        <f t="shared" si="33"/>
        <v>#N/A</v>
      </c>
    </row>
    <row r="189" spans="2:24" x14ac:dyDescent="0.25">
      <c r="B189" s="107" t="e">
        <f>'Emissões Fugitivas'!#REF!</f>
        <v>#REF!</v>
      </c>
      <c r="C189" s="107">
        <f>'Emissões Fugitivas'!B145</f>
        <v>0</v>
      </c>
      <c r="D189" s="107">
        <f>'Emissões Fugitivas'!C145</f>
        <v>0</v>
      </c>
      <c r="E189" s="107">
        <f>'Emissões Fugitivas'!D145</f>
        <v>0</v>
      </c>
      <c r="F189" s="107" t="str">
        <f>'Emissões Fugitivas'!E145</f>
        <v/>
      </c>
      <c r="G189" s="107" t="e">
        <f>'Emissões Fugitivas'!#REF!</f>
        <v>#REF!</v>
      </c>
      <c r="H189" s="107">
        <f>'Emissões Fugitivas'!G145</f>
        <v>0</v>
      </c>
      <c r="I189" s="107" t="str">
        <f>'Emissões Fugitivas'!H145</f>
        <v/>
      </c>
      <c r="J189" s="22" t="e">
        <f>IF(VLOOKUP(B189,Identificação!#REF!,3,FALSE)="",2,VLOOKUP(B189,Identificação!#REF!,3,FALSE))</f>
        <v>#REF!</v>
      </c>
      <c r="K189" s="22" t="str">
        <f t="shared" si="25"/>
        <v/>
      </c>
      <c r="L189" s="22" t="str">
        <f t="shared" si="26"/>
        <v/>
      </c>
      <c r="M189" s="22" t="str">
        <f t="shared" si="27"/>
        <v/>
      </c>
      <c r="N189" s="112" t="str">
        <f t="shared" si="17"/>
        <v/>
      </c>
      <c r="O189" s="112" t="str">
        <f>IF(C189=$B$68,$E$96*H189*'Fatores de Emissão'!$E$260,"")</f>
        <v/>
      </c>
      <c r="P189" s="112" t="str">
        <f>IF(C189=$B$68,$E$95*H189*'Fatores de Emissão'!$E$261,"")</f>
        <v/>
      </c>
      <c r="Q189" s="112" t="str">
        <f>IF(C189=$B$69,$E$98*H189*'Fatores de Emissão'!$E$260/1000,"")</f>
        <v/>
      </c>
      <c r="R189" s="112" t="str">
        <f>IF(C189=$B$69,$E$97*H189*'Fatores de Emissão'!$E$261/1000,"")</f>
        <v/>
      </c>
      <c r="S189" s="113" t="str">
        <f t="shared" si="28"/>
        <v/>
      </c>
      <c r="T189" s="113" t="str">
        <f t="shared" si="29"/>
        <v/>
      </c>
      <c r="U189" s="113" t="str">
        <f t="shared" si="30"/>
        <v/>
      </c>
      <c r="V189" s="22" t="str">
        <f t="shared" si="32"/>
        <v/>
      </c>
      <c r="W189" s="22" t="e">
        <f t="shared" si="31"/>
        <v>#N/A</v>
      </c>
      <c r="X189" s="22" t="e">
        <f t="shared" si="33"/>
        <v>#N/A</v>
      </c>
    </row>
    <row r="190" spans="2:24" x14ac:dyDescent="0.25">
      <c r="B190" s="107" t="e">
        <f>'Emissões Fugitivas'!#REF!</f>
        <v>#REF!</v>
      </c>
      <c r="C190" s="107">
        <f>'Emissões Fugitivas'!B146</f>
        <v>0</v>
      </c>
      <c r="D190" s="107">
        <f>'Emissões Fugitivas'!C146</f>
        <v>0</v>
      </c>
      <c r="E190" s="107">
        <f>'Emissões Fugitivas'!D146</f>
        <v>0</v>
      </c>
      <c r="F190" s="107" t="str">
        <f>'Emissões Fugitivas'!E146</f>
        <v/>
      </c>
      <c r="G190" s="107" t="e">
        <f>'Emissões Fugitivas'!#REF!</f>
        <v>#REF!</v>
      </c>
      <c r="H190" s="107">
        <f>'Emissões Fugitivas'!G146</f>
        <v>0</v>
      </c>
      <c r="I190" s="107" t="str">
        <f>'Emissões Fugitivas'!H146</f>
        <v/>
      </c>
      <c r="J190" s="22" t="e">
        <f>IF(VLOOKUP(B190,Identificação!#REF!,3,FALSE)="",2,VLOOKUP(B190,Identificação!#REF!,3,FALSE))</f>
        <v>#REF!</v>
      </c>
      <c r="K190" s="22" t="str">
        <f t="shared" si="25"/>
        <v/>
      </c>
      <c r="L190" s="22" t="str">
        <f t="shared" si="26"/>
        <v/>
      </c>
      <c r="M190" s="22" t="str">
        <f t="shared" si="27"/>
        <v/>
      </c>
      <c r="N190" s="112" t="str">
        <f t="shared" si="17"/>
        <v/>
      </c>
      <c r="O190" s="112" t="str">
        <f>IF(C190=$B$68,$E$96*H190*'Fatores de Emissão'!$E$260,"")</f>
        <v/>
      </c>
      <c r="P190" s="112" t="str">
        <f>IF(C190=$B$68,$E$95*H190*'Fatores de Emissão'!$E$261,"")</f>
        <v/>
      </c>
      <c r="Q190" s="112" t="str">
        <f>IF(C190=$B$69,$E$98*H190*'Fatores de Emissão'!$E$260/1000,"")</f>
        <v/>
      </c>
      <c r="R190" s="112" t="str">
        <f>IF(C190=$B$69,$E$97*H190*'Fatores de Emissão'!$E$261/1000,"")</f>
        <v/>
      </c>
      <c r="S190" s="113" t="str">
        <f t="shared" si="28"/>
        <v/>
      </c>
      <c r="T190" s="113" t="str">
        <f t="shared" si="29"/>
        <v/>
      </c>
      <c r="U190" s="113" t="str">
        <f t="shared" si="30"/>
        <v/>
      </c>
      <c r="V190" s="22" t="str">
        <f t="shared" si="32"/>
        <v/>
      </c>
      <c r="W190" s="22" t="e">
        <f t="shared" si="31"/>
        <v>#N/A</v>
      </c>
      <c r="X190" s="22" t="e">
        <f t="shared" si="33"/>
        <v>#N/A</v>
      </c>
    </row>
    <row r="191" spans="2:24" x14ac:dyDescent="0.25">
      <c r="B191" s="107" t="e">
        <f>'Emissões Fugitivas'!#REF!</f>
        <v>#REF!</v>
      </c>
      <c r="C191" s="107">
        <f>'Emissões Fugitivas'!B147</f>
        <v>0</v>
      </c>
      <c r="D191" s="107">
        <f>'Emissões Fugitivas'!C147</f>
        <v>0</v>
      </c>
      <c r="E191" s="107">
        <f>'Emissões Fugitivas'!D147</f>
        <v>0</v>
      </c>
      <c r="F191" s="107" t="str">
        <f>'Emissões Fugitivas'!E147</f>
        <v/>
      </c>
      <c r="G191" s="107" t="e">
        <f>'Emissões Fugitivas'!#REF!</f>
        <v>#REF!</v>
      </c>
      <c r="H191" s="107">
        <f>'Emissões Fugitivas'!G147</f>
        <v>0</v>
      </c>
      <c r="I191" s="107" t="str">
        <f>'Emissões Fugitivas'!H147</f>
        <v/>
      </c>
      <c r="J191" s="22" t="e">
        <f>IF(VLOOKUP(B191,Identificação!#REF!,3,FALSE)="",2,VLOOKUP(B191,Identificação!#REF!,3,FALSE))</f>
        <v>#REF!</v>
      </c>
      <c r="K191" s="22" t="str">
        <f t="shared" si="25"/>
        <v/>
      </c>
      <c r="L191" s="22" t="str">
        <f t="shared" si="26"/>
        <v/>
      </c>
      <c r="M191" s="22" t="str">
        <f t="shared" si="27"/>
        <v/>
      </c>
      <c r="N191" s="112" t="str">
        <f t="shared" si="17"/>
        <v/>
      </c>
      <c r="O191" s="112" t="str">
        <f>IF(C191=$B$68,$E$96*H191*'Fatores de Emissão'!$E$260,"")</f>
        <v/>
      </c>
      <c r="P191" s="112" t="str">
        <f>IF(C191=$B$68,$E$95*H191*'Fatores de Emissão'!$E$261,"")</f>
        <v/>
      </c>
      <c r="Q191" s="112" t="str">
        <f>IF(C191=$B$69,$E$98*H191*'Fatores de Emissão'!$E$260/1000,"")</f>
        <v/>
      </c>
      <c r="R191" s="112" t="str">
        <f>IF(C191=$B$69,$E$97*H191*'Fatores de Emissão'!$E$261/1000,"")</f>
        <v/>
      </c>
      <c r="S191" s="113" t="str">
        <f t="shared" si="28"/>
        <v/>
      </c>
      <c r="T191" s="113" t="str">
        <f t="shared" si="29"/>
        <v/>
      </c>
      <c r="U191" s="113" t="str">
        <f t="shared" si="30"/>
        <v/>
      </c>
      <c r="V191" s="22" t="str">
        <f t="shared" si="32"/>
        <v/>
      </c>
      <c r="W191" s="22" t="e">
        <f t="shared" si="31"/>
        <v>#N/A</v>
      </c>
      <c r="X191" s="22" t="e">
        <f t="shared" si="33"/>
        <v>#N/A</v>
      </c>
    </row>
    <row r="192" spans="2:24" x14ac:dyDescent="0.25">
      <c r="B192" s="107" t="e">
        <f>'Emissões Fugitivas'!#REF!</f>
        <v>#REF!</v>
      </c>
      <c r="C192" s="107">
        <f>'Emissões Fugitivas'!B148</f>
        <v>0</v>
      </c>
      <c r="D192" s="107">
        <f>'Emissões Fugitivas'!C148</f>
        <v>0</v>
      </c>
      <c r="E192" s="107">
        <f>'Emissões Fugitivas'!D148</f>
        <v>0</v>
      </c>
      <c r="F192" s="107" t="str">
        <f>'Emissões Fugitivas'!E148</f>
        <v/>
      </c>
      <c r="G192" s="107" t="e">
        <f>'Emissões Fugitivas'!#REF!</f>
        <v>#REF!</v>
      </c>
      <c r="H192" s="107">
        <f>'Emissões Fugitivas'!G148</f>
        <v>0</v>
      </c>
      <c r="I192" s="107" t="str">
        <f>'Emissões Fugitivas'!H148</f>
        <v/>
      </c>
      <c r="J192" s="22" t="e">
        <f>IF(VLOOKUP(B192,Identificação!#REF!,3,FALSE)="",2,VLOOKUP(B192,Identificação!#REF!,3,FALSE))</f>
        <v>#REF!</v>
      </c>
      <c r="K192" s="22" t="str">
        <f t="shared" si="25"/>
        <v/>
      </c>
      <c r="L192" s="22" t="str">
        <f t="shared" si="26"/>
        <v/>
      </c>
      <c r="M192" s="22" t="str">
        <f t="shared" si="27"/>
        <v/>
      </c>
      <c r="N192" s="112" t="str">
        <f t="shared" ref="N192:N217" si="34">IFERROR(L192*H192+(K192+M192)*H192/J192,"")</f>
        <v/>
      </c>
      <c r="O192" s="112" t="str">
        <f>IF(C192=$B$68,$E$96*H192*'Fatores de Emissão'!$E$260,"")</f>
        <v/>
      </c>
      <c r="P192" s="112" t="str">
        <f>IF(C192=$B$68,$E$95*H192*'Fatores de Emissão'!$E$261,"")</f>
        <v/>
      </c>
      <c r="Q192" s="112" t="str">
        <f>IF(C192=$B$69,$E$98*H192*'Fatores de Emissão'!$E$260/1000,"")</f>
        <v/>
      </c>
      <c r="R192" s="112" t="str">
        <f>IF(C192=$B$69,$E$97*H192*'Fatores de Emissão'!$E$261/1000,"")</f>
        <v/>
      </c>
      <c r="S192" s="113" t="str">
        <f t="shared" si="28"/>
        <v/>
      </c>
      <c r="T192" s="113" t="str">
        <f t="shared" si="29"/>
        <v/>
      </c>
      <c r="U192" s="113" t="str">
        <f t="shared" si="30"/>
        <v/>
      </c>
      <c r="V192" s="22" t="str">
        <f t="shared" si="32"/>
        <v/>
      </c>
      <c r="W192" s="22" t="e">
        <f t="shared" si="31"/>
        <v>#N/A</v>
      </c>
      <c r="X192" s="22" t="e">
        <f t="shared" si="33"/>
        <v>#N/A</v>
      </c>
    </row>
    <row r="193" spans="2:24" x14ac:dyDescent="0.25">
      <c r="B193" s="107" t="e">
        <f>'Emissões Fugitivas'!#REF!</f>
        <v>#REF!</v>
      </c>
      <c r="C193" s="107">
        <f>'Emissões Fugitivas'!B149</f>
        <v>0</v>
      </c>
      <c r="D193" s="107">
        <f>'Emissões Fugitivas'!C149</f>
        <v>0</v>
      </c>
      <c r="E193" s="107">
        <f>'Emissões Fugitivas'!D149</f>
        <v>0</v>
      </c>
      <c r="F193" s="107" t="str">
        <f>'Emissões Fugitivas'!E149</f>
        <v/>
      </c>
      <c r="G193" s="107" t="e">
        <f>'Emissões Fugitivas'!#REF!</f>
        <v>#REF!</v>
      </c>
      <c r="H193" s="107">
        <f>'Emissões Fugitivas'!G149</f>
        <v>0</v>
      </c>
      <c r="I193" s="107" t="str">
        <f>'Emissões Fugitivas'!H149</f>
        <v/>
      </c>
      <c r="J193" s="22" t="e">
        <f>IF(VLOOKUP(B193,Identificação!#REF!,3,FALSE)="",2,VLOOKUP(B193,Identificação!#REF!,3,FALSE))</f>
        <v>#REF!</v>
      </c>
      <c r="K193" s="22" t="str">
        <f t="shared" si="25"/>
        <v/>
      </c>
      <c r="L193" s="22" t="str">
        <f t="shared" si="26"/>
        <v/>
      </c>
      <c r="M193" s="22" t="str">
        <f t="shared" si="27"/>
        <v/>
      </c>
      <c r="N193" s="112" t="str">
        <f t="shared" si="34"/>
        <v/>
      </c>
      <c r="O193" s="112" t="str">
        <f>IF(C193=$B$68,$E$96*H193*'Fatores de Emissão'!$E$260,"")</f>
        <v/>
      </c>
      <c r="P193" s="112" t="str">
        <f>IF(C193=$B$68,$E$95*H193*'Fatores de Emissão'!$E$261,"")</f>
        <v/>
      </c>
      <c r="Q193" s="112" t="str">
        <f>IF(C193=$B$69,$E$98*H193*'Fatores de Emissão'!$E$260/1000,"")</f>
        <v/>
      </c>
      <c r="R193" s="112" t="str">
        <f>IF(C193=$B$69,$E$97*H193*'Fatores de Emissão'!$E$261/1000,"")</f>
        <v/>
      </c>
      <c r="S193" s="113" t="str">
        <f t="shared" si="28"/>
        <v/>
      </c>
      <c r="T193" s="113" t="str">
        <f t="shared" si="29"/>
        <v/>
      </c>
      <c r="U193" s="113" t="str">
        <f t="shared" si="30"/>
        <v/>
      </c>
      <c r="V193" s="22" t="str">
        <f t="shared" si="32"/>
        <v/>
      </c>
      <c r="W193" s="22" t="e">
        <f t="shared" si="31"/>
        <v>#N/A</v>
      </c>
      <c r="X193" s="22" t="e">
        <f t="shared" si="33"/>
        <v>#N/A</v>
      </c>
    </row>
    <row r="194" spans="2:24" x14ac:dyDescent="0.25">
      <c r="B194" s="107" t="e">
        <f>'Emissões Fugitivas'!#REF!</f>
        <v>#REF!</v>
      </c>
      <c r="C194" s="107">
        <f>'Emissões Fugitivas'!B150</f>
        <v>0</v>
      </c>
      <c r="D194" s="107">
        <f>'Emissões Fugitivas'!C150</f>
        <v>0</v>
      </c>
      <c r="E194" s="107">
        <f>'Emissões Fugitivas'!D150</f>
        <v>0</v>
      </c>
      <c r="F194" s="107" t="str">
        <f>'Emissões Fugitivas'!E150</f>
        <v/>
      </c>
      <c r="G194" s="107" t="e">
        <f>'Emissões Fugitivas'!#REF!</f>
        <v>#REF!</v>
      </c>
      <c r="H194" s="107">
        <f>'Emissões Fugitivas'!G150</f>
        <v>0</v>
      </c>
      <c r="I194" s="107" t="str">
        <f>'Emissões Fugitivas'!H150</f>
        <v/>
      </c>
      <c r="J194" s="22" t="e">
        <f>IF(VLOOKUP(B194,Identificação!#REF!,3,FALSE)="",2,VLOOKUP(B194,Identificação!#REF!,3,FALSE))</f>
        <v>#REF!</v>
      </c>
      <c r="K194" s="22" t="str">
        <f t="shared" si="25"/>
        <v/>
      </c>
      <c r="L194" s="22" t="str">
        <f t="shared" si="26"/>
        <v/>
      </c>
      <c r="M194" s="22" t="str">
        <f t="shared" si="27"/>
        <v/>
      </c>
      <c r="N194" s="112" t="str">
        <f t="shared" si="34"/>
        <v/>
      </c>
      <c r="O194" s="112" t="str">
        <f>IF(C194=$B$68,$E$96*H194*'Fatores de Emissão'!$E$260,"")</f>
        <v/>
      </c>
      <c r="P194" s="112" t="str">
        <f>IF(C194=$B$68,$E$95*H194*'Fatores de Emissão'!$E$261,"")</f>
        <v/>
      </c>
      <c r="Q194" s="112" t="str">
        <f>IF(C194=$B$69,$E$98*H194*'Fatores de Emissão'!$E$260/1000,"")</f>
        <v/>
      </c>
      <c r="R194" s="112" t="str">
        <f>IF(C194=$B$69,$E$97*H194*'Fatores de Emissão'!$E$261/1000,"")</f>
        <v/>
      </c>
      <c r="S194" s="113" t="str">
        <f t="shared" si="28"/>
        <v/>
      </c>
      <c r="T194" s="113" t="str">
        <f t="shared" si="29"/>
        <v/>
      </c>
      <c r="U194" s="113" t="str">
        <f t="shared" si="30"/>
        <v/>
      </c>
      <c r="V194" s="22" t="str">
        <f t="shared" si="32"/>
        <v/>
      </c>
      <c r="W194" s="22" t="e">
        <f t="shared" si="31"/>
        <v>#N/A</v>
      </c>
      <c r="X194" s="22" t="e">
        <f t="shared" si="33"/>
        <v>#N/A</v>
      </c>
    </row>
    <row r="195" spans="2:24" x14ac:dyDescent="0.25">
      <c r="B195" s="107" t="e">
        <f>'Emissões Fugitivas'!#REF!</f>
        <v>#REF!</v>
      </c>
      <c r="C195" s="107">
        <f>'Emissões Fugitivas'!B151</f>
        <v>0</v>
      </c>
      <c r="D195" s="107">
        <f>'Emissões Fugitivas'!C151</f>
        <v>0</v>
      </c>
      <c r="E195" s="107">
        <f>'Emissões Fugitivas'!D151</f>
        <v>0</v>
      </c>
      <c r="F195" s="107" t="str">
        <f>'Emissões Fugitivas'!E151</f>
        <v/>
      </c>
      <c r="G195" s="107" t="e">
        <f>'Emissões Fugitivas'!#REF!</f>
        <v>#REF!</v>
      </c>
      <c r="H195" s="107">
        <f>'Emissões Fugitivas'!G151</f>
        <v>0</v>
      </c>
      <c r="I195" s="107" t="str">
        <f>'Emissões Fugitivas'!H151</f>
        <v/>
      </c>
      <c r="J195" s="22" t="e">
        <f>IF(VLOOKUP(B195,Identificação!#REF!,3,FALSE)="",2,VLOOKUP(B195,Identificação!#REF!,3,FALSE))</f>
        <v>#REF!</v>
      </c>
      <c r="K195" s="22" t="str">
        <f t="shared" si="25"/>
        <v/>
      </c>
      <c r="L195" s="22" t="str">
        <f t="shared" si="26"/>
        <v/>
      </c>
      <c r="M195" s="22" t="str">
        <f t="shared" si="27"/>
        <v/>
      </c>
      <c r="N195" s="112" t="str">
        <f t="shared" si="34"/>
        <v/>
      </c>
      <c r="O195" s="112" t="str">
        <f>IF(C195=$B$68,$E$96*H195*'Fatores de Emissão'!$E$260,"")</f>
        <v/>
      </c>
      <c r="P195" s="112" t="str">
        <f>IF(C195=$B$68,$E$95*H195*'Fatores de Emissão'!$E$261,"")</f>
        <v/>
      </c>
      <c r="Q195" s="112" t="str">
        <f>IF(C195=$B$69,$E$98*H195*'Fatores de Emissão'!$E$260/1000,"")</f>
        <v/>
      </c>
      <c r="R195" s="112" t="str">
        <f>IF(C195=$B$69,$E$97*H195*'Fatores de Emissão'!$E$261/1000,"")</f>
        <v/>
      </c>
      <c r="S195" s="113" t="str">
        <f t="shared" si="28"/>
        <v/>
      </c>
      <c r="T195" s="113" t="str">
        <f t="shared" si="29"/>
        <v/>
      </c>
      <c r="U195" s="113" t="str">
        <f t="shared" si="30"/>
        <v/>
      </c>
      <c r="V195" s="22" t="str">
        <f t="shared" si="32"/>
        <v/>
      </c>
      <c r="W195" s="22" t="e">
        <f t="shared" si="31"/>
        <v>#N/A</v>
      </c>
      <c r="X195" s="22" t="e">
        <f t="shared" si="33"/>
        <v>#N/A</v>
      </c>
    </row>
    <row r="196" spans="2:24" x14ac:dyDescent="0.25">
      <c r="B196" s="107" t="e">
        <f>'Emissões Fugitivas'!#REF!</f>
        <v>#REF!</v>
      </c>
      <c r="C196" s="107">
        <f>'Emissões Fugitivas'!B152</f>
        <v>0</v>
      </c>
      <c r="D196" s="107">
        <f>'Emissões Fugitivas'!C152</f>
        <v>0</v>
      </c>
      <c r="E196" s="107">
        <f>'Emissões Fugitivas'!D152</f>
        <v>0</v>
      </c>
      <c r="F196" s="107" t="str">
        <f>'Emissões Fugitivas'!E152</f>
        <v/>
      </c>
      <c r="G196" s="107" t="e">
        <f>'Emissões Fugitivas'!#REF!</f>
        <v>#REF!</v>
      </c>
      <c r="H196" s="107">
        <f>'Emissões Fugitivas'!G152</f>
        <v>0</v>
      </c>
      <c r="I196" s="107" t="str">
        <f>'Emissões Fugitivas'!H152</f>
        <v/>
      </c>
      <c r="J196" s="22" t="e">
        <f>IF(VLOOKUP(B196,Identificação!#REF!,3,FALSE)="",2,VLOOKUP(B196,Identificação!#REF!,3,FALSE))</f>
        <v>#REF!</v>
      </c>
      <c r="K196" s="22" t="str">
        <f t="shared" si="25"/>
        <v/>
      </c>
      <c r="L196" s="22" t="str">
        <f t="shared" si="26"/>
        <v/>
      </c>
      <c r="M196" s="22" t="str">
        <f t="shared" si="27"/>
        <v/>
      </c>
      <c r="N196" s="112" t="str">
        <f t="shared" si="34"/>
        <v/>
      </c>
      <c r="O196" s="112" t="str">
        <f>IF(C196=$B$68,$E$96*H196*'Fatores de Emissão'!$E$260,"")</f>
        <v/>
      </c>
      <c r="P196" s="112" t="str">
        <f>IF(C196=$B$68,$E$95*H196*'Fatores de Emissão'!$E$261,"")</f>
        <v/>
      </c>
      <c r="Q196" s="112" t="str">
        <f>IF(C196=$B$69,$E$98*H196*'Fatores de Emissão'!$E$260/1000,"")</f>
        <v/>
      </c>
      <c r="R196" s="112" t="str">
        <f>IF(C196=$B$69,$E$97*H196*'Fatores de Emissão'!$E$261/1000,"")</f>
        <v/>
      </c>
      <c r="S196" s="113" t="str">
        <f t="shared" si="28"/>
        <v/>
      </c>
      <c r="T196" s="113" t="str">
        <f t="shared" si="29"/>
        <v/>
      </c>
      <c r="U196" s="113" t="str">
        <f t="shared" si="30"/>
        <v/>
      </c>
      <c r="V196" s="22" t="str">
        <f t="shared" si="32"/>
        <v/>
      </c>
      <c r="W196" s="22" t="e">
        <f t="shared" si="31"/>
        <v>#N/A</v>
      </c>
      <c r="X196" s="22" t="e">
        <f t="shared" si="33"/>
        <v>#N/A</v>
      </c>
    </row>
    <row r="197" spans="2:24" x14ac:dyDescent="0.25">
      <c r="B197" s="107" t="e">
        <f>'Emissões Fugitivas'!#REF!</f>
        <v>#REF!</v>
      </c>
      <c r="C197" s="107">
        <f>'Emissões Fugitivas'!B153</f>
        <v>0</v>
      </c>
      <c r="D197" s="107">
        <f>'Emissões Fugitivas'!C153</f>
        <v>0</v>
      </c>
      <c r="E197" s="107">
        <f>'Emissões Fugitivas'!D153</f>
        <v>0</v>
      </c>
      <c r="F197" s="107" t="str">
        <f>'Emissões Fugitivas'!E153</f>
        <v/>
      </c>
      <c r="G197" s="107" t="e">
        <f>'Emissões Fugitivas'!#REF!</f>
        <v>#REF!</v>
      </c>
      <c r="H197" s="107">
        <f>'Emissões Fugitivas'!G153</f>
        <v>0</v>
      </c>
      <c r="I197" s="107" t="str">
        <f>'Emissões Fugitivas'!H153</f>
        <v/>
      </c>
      <c r="J197" s="22" t="e">
        <f>IF(VLOOKUP(B197,Identificação!#REF!,3,FALSE)="",2,VLOOKUP(B197,Identificação!#REF!,3,FALSE))</f>
        <v>#REF!</v>
      </c>
      <c r="K197" s="22" t="str">
        <f t="shared" si="25"/>
        <v/>
      </c>
      <c r="L197" s="22" t="str">
        <f t="shared" si="26"/>
        <v/>
      </c>
      <c r="M197" s="22" t="str">
        <f t="shared" si="27"/>
        <v/>
      </c>
      <c r="N197" s="112" t="str">
        <f t="shared" si="34"/>
        <v/>
      </c>
      <c r="O197" s="112" t="str">
        <f>IF(C197=$B$68,$E$96*H197*'Fatores de Emissão'!$E$260,"")</f>
        <v/>
      </c>
      <c r="P197" s="112" t="str">
        <f>IF(C197=$B$68,$E$95*H197*'Fatores de Emissão'!$E$261,"")</f>
        <v/>
      </c>
      <c r="Q197" s="112" t="str">
        <f>IF(C197=$B$69,$E$98*H197*'Fatores de Emissão'!$E$260/1000,"")</f>
        <v/>
      </c>
      <c r="R197" s="112" t="str">
        <f>IF(C197=$B$69,$E$97*H197*'Fatores de Emissão'!$E$261/1000,"")</f>
        <v/>
      </c>
      <c r="S197" s="113" t="str">
        <f t="shared" si="28"/>
        <v/>
      </c>
      <c r="T197" s="113" t="str">
        <f t="shared" si="29"/>
        <v/>
      </c>
      <c r="U197" s="113" t="str">
        <f t="shared" si="30"/>
        <v/>
      </c>
      <c r="V197" s="22" t="str">
        <f t="shared" si="32"/>
        <v/>
      </c>
      <c r="W197" s="22" t="e">
        <f t="shared" si="31"/>
        <v>#N/A</v>
      </c>
      <c r="X197" s="22" t="e">
        <f t="shared" si="33"/>
        <v>#N/A</v>
      </c>
    </row>
    <row r="198" spans="2:24" x14ac:dyDescent="0.25">
      <c r="B198" s="107" t="e">
        <f>'Emissões Fugitivas'!#REF!</f>
        <v>#REF!</v>
      </c>
      <c r="C198" s="107">
        <f>'Emissões Fugitivas'!B154</f>
        <v>0</v>
      </c>
      <c r="D198" s="107">
        <f>'Emissões Fugitivas'!C154</f>
        <v>0</v>
      </c>
      <c r="E198" s="107">
        <f>'Emissões Fugitivas'!D154</f>
        <v>0</v>
      </c>
      <c r="F198" s="107" t="str">
        <f>'Emissões Fugitivas'!E154</f>
        <v/>
      </c>
      <c r="G198" s="107" t="e">
        <f>'Emissões Fugitivas'!#REF!</f>
        <v>#REF!</v>
      </c>
      <c r="H198" s="107">
        <f>'Emissões Fugitivas'!G154</f>
        <v>0</v>
      </c>
      <c r="I198" s="107" t="str">
        <f>'Emissões Fugitivas'!H154</f>
        <v/>
      </c>
      <c r="J198" s="22" t="e">
        <f>IF(VLOOKUP(B198,Identificação!#REF!,3,FALSE)="",2,VLOOKUP(B198,Identificação!#REF!,3,FALSE))</f>
        <v>#REF!</v>
      </c>
      <c r="K198" s="22" t="str">
        <f t="shared" si="25"/>
        <v/>
      </c>
      <c r="L198" s="22" t="str">
        <f t="shared" si="26"/>
        <v/>
      </c>
      <c r="M198" s="22" t="str">
        <f t="shared" si="27"/>
        <v/>
      </c>
      <c r="N198" s="112" t="str">
        <f t="shared" si="34"/>
        <v/>
      </c>
      <c r="O198" s="112" t="str">
        <f>IF(C198=$B$68,$E$96*H198*'Fatores de Emissão'!$E$260,"")</f>
        <v/>
      </c>
      <c r="P198" s="112" t="str">
        <f>IF(C198=$B$68,$E$95*H198*'Fatores de Emissão'!$E$261,"")</f>
        <v/>
      </c>
      <c r="Q198" s="112" t="str">
        <f>IF(C198=$B$69,$E$98*H198*'Fatores de Emissão'!$E$260/1000,"")</f>
        <v/>
      </c>
      <c r="R198" s="112" t="str">
        <f>IF(C198=$B$69,$E$97*H198*'Fatores de Emissão'!$E$261/1000,"")</f>
        <v/>
      </c>
      <c r="S198" s="113" t="str">
        <f t="shared" si="28"/>
        <v/>
      </c>
      <c r="T198" s="113" t="str">
        <f t="shared" si="29"/>
        <v/>
      </c>
      <c r="U198" s="113" t="str">
        <f t="shared" si="30"/>
        <v/>
      </c>
      <c r="V198" s="22" t="str">
        <f t="shared" si="32"/>
        <v/>
      </c>
      <c r="W198" s="22" t="e">
        <f t="shared" si="31"/>
        <v>#N/A</v>
      </c>
      <c r="X198" s="22" t="e">
        <f t="shared" si="33"/>
        <v>#N/A</v>
      </c>
    </row>
    <row r="199" spans="2:24" x14ac:dyDescent="0.25">
      <c r="B199" s="107" t="e">
        <f>'Emissões Fugitivas'!#REF!</f>
        <v>#REF!</v>
      </c>
      <c r="C199" s="107">
        <f>'Emissões Fugitivas'!B155</f>
        <v>0</v>
      </c>
      <c r="D199" s="107">
        <f>'Emissões Fugitivas'!C155</f>
        <v>0</v>
      </c>
      <c r="E199" s="107">
        <f>'Emissões Fugitivas'!D155</f>
        <v>0</v>
      </c>
      <c r="F199" s="107" t="str">
        <f>'Emissões Fugitivas'!E155</f>
        <v/>
      </c>
      <c r="G199" s="107" t="e">
        <f>'Emissões Fugitivas'!#REF!</f>
        <v>#REF!</v>
      </c>
      <c r="H199" s="107">
        <f>'Emissões Fugitivas'!G155</f>
        <v>0</v>
      </c>
      <c r="I199" s="107" t="str">
        <f>'Emissões Fugitivas'!H155</f>
        <v/>
      </c>
      <c r="J199" s="22" t="e">
        <f>IF(VLOOKUP(B199,Identificação!#REF!,3,FALSE)="",2,VLOOKUP(B199,Identificação!#REF!,3,FALSE))</f>
        <v>#REF!</v>
      </c>
      <c r="K199" s="22" t="str">
        <f t="shared" si="25"/>
        <v/>
      </c>
      <c r="L199" s="22" t="str">
        <f t="shared" si="26"/>
        <v/>
      </c>
      <c r="M199" s="22" t="str">
        <f t="shared" si="27"/>
        <v/>
      </c>
      <c r="N199" s="112" t="str">
        <f t="shared" si="34"/>
        <v/>
      </c>
      <c r="O199" s="112" t="str">
        <f>IF(C199=$B$68,$E$96*H199*'Fatores de Emissão'!$E$260,"")</f>
        <v/>
      </c>
      <c r="P199" s="112" t="str">
        <f>IF(C199=$B$68,$E$95*H199*'Fatores de Emissão'!$E$261,"")</f>
        <v/>
      </c>
      <c r="Q199" s="112" t="str">
        <f>IF(C199=$B$69,$E$98*H199*'Fatores de Emissão'!$E$260/1000,"")</f>
        <v/>
      </c>
      <c r="R199" s="112" t="str">
        <f>IF(C199=$B$69,$E$97*H199*'Fatores de Emissão'!$E$261/1000,"")</f>
        <v/>
      </c>
      <c r="S199" s="113" t="str">
        <f t="shared" si="28"/>
        <v/>
      </c>
      <c r="T199" s="113" t="str">
        <f t="shared" si="29"/>
        <v/>
      </c>
      <c r="U199" s="113" t="str">
        <f t="shared" si="30"/>
        <v/>
      </c>
      <c r="V199" s="22" t="str">
        <f t="shared" si="32"/>
        <v/>
      </c>
      <c r="W199" s="22" t="e">
        <f t="shared" si="31"/>
        <v>#N/A</v>
      </c>
      <c r="X199" s="22" t="e">
        <f t="shared" si="33"/>
        <v>#N/A</v>
      </c>
    </row>
    <row r="200" spans="2:24" x14ac:dyDescent="0.25">
      <c r="B200" s="107" t="e">
        <f>'Emissões Fugitivas'!#REF!</f>
        <v>#REF!</v>
      </c>
      <c r="C200" s="107">
        <f>'Emissões Fugitivas'!B156</f>
        <v>0</v>
      </c>
      <c r="D200" s="107">
        <f>'Emissões Fugitivas'!C156</f>
        <v>0</v>
      </c>
      <c r="E200" s="107">
        <f>'Emissões Fugitivas'!D156</f>
        <v>0</v>
      </c>
      <c r="F200" s="107" t="str">
        <f>'Emissões Fugitivas'!E156</f>
        <v/>
      </c>
      <c r="G200" s="107" t="e">
        <f>'Emissões Fugitivas'!#REF!</f>
        <v>#REF!</v>
      </c>
      <c r="H200" s="107">
        <f>'Emissões Fugitivas'!G156</f>
        <v>0</v>
      </c>
      <c r="I200" s="107" t="str">
        <f>'Emissões Fugitivas'!H156</f>
        <v/>
      </c>
      <c r="J200" s="22" t="e">
        <f>IF(VLOOKUP(B200,Identificação!#REF!,3,FALSE)="",2,VLOOKUP(B200,Identificação!#REF!,3,FALSE))</f>
        <v>#REF!</v>
      </c>
      <c r="K200" s="22" t="str">
        <f t="shared" si="25"/>
        <v/>
      </c>
      <c r="L200" s="22" t="str">
        <f t="shared" si="26"/>
        <v/>
      </c>
      <c r="M200" s="22" t="str">
        <f t="shared" si="27"/>
        <v/>
      </c>
      <c r="N200" s="112" t="str">
        <f t="shared" si="34"/>
        <v/>
      </c>
      <c r="O200" s="112" t="str">
        <f>IF(C200=$B$68,$E$96*H200*'Fatores de Emissão'!$E$260,"")</f>
        <v/>
      </c>
      <c r="P200" s="112" t="str">
        <f>IF(C200=$B$68,$E$95*H200*'Fatores de Emissão'!$E$261,"")</f>
        <v/>
      </c>
      <c r="Q200" s="112" t="str">
        <f>IF(C200=$B$69,$E$98*H200*'Fatores de Emissão'!$E$260/1000,"")</f>
        <v/>
      </c>
      <c r="R200" s="112" t="str">
        <f>IF(C200=$B$69,$E$97*H200*'Fatores de Emissão'!$E$261/1000,"")</f>
        <v/>
      </c>
      <c r="S200" s="113" t="str">
        <f t="shared" si="28"/>
        <v/>
      </c>
      <c r="T200" s="113" t="str">
        <f t="shared" si="29"/>
        <v/>
      </c>
      <c r="U200" s="113" t="str">
        <f t="shared" si="30"/>
        <v/>
      </c>
      <c r="V200" s="22" t="str">
        <f t="shared" si="32"/>
        <v/>
      </c>
      <c r="W200" s="22" t="e">
        <f t="shared" si="31"/>
        <v>#N/A</v>
      </c>
      <c r="X200" s="22" t="e">
        <f t="shared" si="33"/>
        <v>#N/A</v>
      </c>
    </row>
    <row r="201" spans="2:24" x14ac:dyDescent="0.25">
      <c r="B201" s="107" t="e">
        <f>'Emissões Fugitivas'!#REF!</f>
        <v>#REF!</v>
      </c>
      <c r="C201" s="107">
        <f>'Emissões Fugitivas'!B157</f>
        <v>0</v>
      </c>
      <c r="D201" s="107">
        <f>'Emissões Fugitivas'!C157</f>
        <v>0</v>
      </c>
      <c r="E201" s="107">
        <f>'Emissões Fugitivas'!D157</f>
        <v>0</v>
      </c>
      <c r="F201" s="107" t="str">
        <f>'Emissões Fugitivas'!E157</f>
        <v/>
      </c>
      <c r="G201" s="107" t="e">
        <f>'Emissões Fugitivas'!#REF!</f>
        <v>#REF!</v>
      </c>
      <c r="H201" s="107">
        <f>'Emissões Fugitivas'!G157</f>
        <v>0</v>
      </c>
      <c r="I201" s="107" t="str">
        <f>'Emissões Fugitivas'!H157</f>
        <v/>
      </c>
      <c r="J201" s="22" t="e">
        <f>IF(VLOOKUP(B201,Identificação!#REF!,3,FALSE)="",2,VLOOKUP(B201,Identificação!#REF!,3,FALSE))</f>
        <v>#REF!</v>
      </c>
      <c r="K201" s="22" t="str">
        <f t="shared" si="25"/>
        <v/>
      </c>
      <c r="L201" s="22" t="str">
        <f t="shared" si="26"/>
        <v/>
      </c>
      <c r="M201" s="22" t="str">
        <f t="shared" si="27"/>
        <v/>
      </c>
      <c r="N201" s="112" t="str">
        <f t="shared" si="34"/>
        <v/>
      </c>
      <c r="O201" s="112" t="str">
        <f>IF(C201=$B$68,$E$96*H201*'Fatores de Emissão'!$E$260,"")</f>
        <v/>
      </c>
      <c r="P201" s="112" t="str">
        <f>IF(C201=$B$68,$E$95*H201*'Fatores de Emissão'!$E$261,"")</f>
        <v/>
      </c>
      <c r="Q201" s="112" t="str">
        <f>IF(C201=$B$69,$E$98*H201*'Fatores de Emissão'!$E$260/1000,"")</f>
        <v/>
      </c>
      <c r="R201" s="112" t="str">
        <f>IF(C201=$B$69,$E$97*H201*'Fatores de Emissão'!$E$261/1000,"")</f>
        <v/>
      </c>
      <c r="S201" s="113" t="str">
        <f t="shared" si="28"/>
        <v/>
      </c>
      <c r="T201" s="113" t="str">
        <f t="shared" si="29"/>
        <v/>
      </c>
      <c r="U201" s="113" t="str">
        <f t="shared" si="30"/>
        <v/>
      </c>
      <c r="V201" s="22" t="str">
        <f t="shared" si="32"/>
        <v/>
      </c>
      <c r="W201" s="22" t="e">
        <f t="shared" si="31"/>
        <v>#N/A</v>
      </c>
      <c r="X201" s="22" t="e">
        <f t="shared" si="33"/>
        <v>#N/A</v>
      </c>
    </row>
    <row r="202" spans="2:24" x14ac:dyDescent="0.25">
      <c r="B202" s="107" t="e">
        <f>'Emissões Fugitivas'!#REF!</f>
        <v>#REF!</v>
      </c>
      <c r="C202" s="107">
        <f>'Emissões Fugitivas'!B158</f>
        <v>0</v>
      </c>
      <c r="D202" s="107">
        <f>'Emissões Fugitivas'!C158</f>
        <v>0</v>
      </c>
      <c r="E202" s="107">
        <f>'Emissões Fugitivas'!D158</f>
        <v>0</v>
      </c>
      <c r="F202" s="107" t="str">
        <f>'Emissões Fugitivas'!E158</f>
        <v/>
      </c>
      <c r="G202" s="107" t="e">
        <f>'Emissões Fugitivas'!#REF!</f>
        <v>#REF!</v>
      </c>
      <c r="H202" s="107">
        <f>'Emissões Fugitivas'!G158</f>
        <v>0</v>
      </c>
      <c r="I202" s="107" t="str">
        <f>'Emissões Fugitivas'!H158</f>
        <v/>
      </c>
      <c r="J202" s="22" t="e">
        <f>IF(VLOOKUP(B202,Identificação!#REF!,3,FALSE)="",2,VLOOKUP(B202,Identificação!#REF!,3,FALSE))</f>
        <v>#REF!</v>
      </c>
      <c r="K202" s="22" t="str">
        <f t="shared" si="25"/>
        <v/>
      </c>
      <c r="L202" s="22" t="str">
        <f t="shared" si="26"/>
        <v/>
      </c>
      <c r="M202" s="22" t="str">
        <f t="shared" si="27"/>
        <v/>
      </c>
      <c r="N202" s="112" t="str">
        <f t="shared" si="34"/>
        <v/>
      </c>
      <c r="O202" s="112" t="str">
        <f>IF(C202=$B$68,$E$96*H202*'Fatores de Emissão'!$E$260,"")</f>
        <v/>
      </c>
      <c r="P202" s="112" t="str">
        <f>IF(C202=$B$68,$E$95*H202*'Fatores de Emissão'!$E$261,"")</f>
        <v/>
      </c>
      <c r="Q202" s="112" t="str">
        <f>IF(C202=$B$69,$E$98*H202*'Fatores de Emissão'!$E$260/1000,"")</f>
        <v/>
      </c>
      <c r="R202" s="112" t="str">
        <f>IF(C202=$B$69,$E$97*H202*'Fatores de Emissão'!$E$261/1000,"")</f>
        <v/>
      </c>
      <c r="S202" s="113" t="str">
        <f t="shared" si="28"/>
        <v/>
      </c>
      <c r="T202" s="113" t="str">
        <f t="shared" si="29"/>
        <v/>
      </c>
      <c r="U202" s="113" t="str">
        <f t="shared" si="30"/>
        <v/>
      </c>
      <c r="V202" s="22" t="str">
        <f t="shared" si="32"/>
        <v/>
      </c>
      <c r="W202" s="22" t="e">
        <f t="shared" si="31"/>
        <v>#N/A</v>
      </c>
      <c r="X202" s="22" t="e">
        <f t="shared" si="33"/>
        <v>#N/A</v>
      </c>
    </row>
    <row r="203" spans="2:24" x14ac:dyDescent="0.25">
      <c r="B203" s="107" t="e">
        <f>'Emissões Fugitivas'!#REF!</f>
        <v>#REF!</v>
      </c>
      <c r="C203" s="107">
        <f>'Emissões Fugitivas'!B159</f>
        <v>0</v>
      </c>
      <c r="D203" s="107">
        <f>'Emissões Fugitivas'!C159</f>
        <v>0</v>
      </c>
      <c r="E203" s="107">
        <f>'Emissões Fugitivas'!D159</f>
        <v>0</v>
      </c>
      <c r="F203" s="107" t="str">
        <f>'Emissões Fugitivas'!E159</f>
        <v/>
      </c>
      <c r="G203" s="107" t="e">
        <f>'Emissões Fugitivas'!#REF!</f>
        <v>#REF!</v>
      </c>
      <c r="H203" s="107">
        <f>'Emissões Fugitivas'!G159</f>
        <v>0</v>
      </c>
      <c r="I203" s="107" t="str">
        <f>'Emissões Fugitivas'!H159</f>
        <v/>
      </c>
      <c r="J203" s="22" t="e">
        <f>IF(VLOOKUP(B203,Identificação!#REF!,3,FALSE)="",2,VLOOKUP(B203,Identificação!#REF!,3,FALSE))</f>
        <v>#REF!</v>
      </c>
      <c r="K203" s="22" t="str">
        <f t="shared" si="25"/>
        <v/>
      </c>
      <c r="L203" s="22" t="str">
        <f t="shared" si="26"/>
        <v/>
      </c>
      <c r="M203" s="22" t="str">
        <f t="shared" si="27"/>
        <v/>
      </c>
      <c r="N203" s="112" t="str">
        <f t="shared" si="34"/>
        <v/>
      </c>
      <c r="O203" s="112" t="str">
        <f>IF(C203=$B$68,$E$96*H203*'Fatores de Emissão'!$E$260,"")</f>
        <v/>
      </c>
      <c r="P203" s="112" t="str">
        <f>IF(C203=$B$68,$E$95*H203*'Fatores de Emissão'!$E$261,"")</f>
        <v/>
      </c>
      <c r="Q203" s="112" t="str">
        <f>IF(C203=$B$69,$E$98*H203*'Fatores de Emissão'!$E$260/1000,"")</f>
        <v/>
      </c>
      <c r="R203" s="112" t="str">
        <f>IF(C203=$B$69,$E$97*H203*'Fatores de Emissão'!$E$261/1000,"")</f>
        <v/>
      </c>
      <c r="S203" s="113" t="str">
        <f t="shared" si="28"/>
        <v/>
      </c>
      <c r="T203" s="113" t="str">
        <f t="shared" si="29"/>
        <v/>
      </c>
      <c r="U203" s="113" t="str">
        <f t="shared" si="30"/>
        <v/>
      </c>
      <c r="V203" s="22" t="str">
        <f t="shared" si="32"/>
        <v/>
      </c>
      <c r="W203" s="22" t="e">
        <f t="shared" si="31"/>
        <v>#N/A</v>
      </c>
      <c r="X203" s="22" t="e">
        <f t="shared" si="33"/>
        <v>#N/A</v>
      </c>
    </row>
    <row r="204" spans="2:24" x14ac:dyDescent="0.25">
      <c r="B204" s="107" t="e">
        <f>'Emissões Fugitivas'!#REF!</f>
        <v>#REF!</v>
      </c>
      <c r="C204" s="107">
        <f>'Emissões Fugitivas'!B160</f>
        <v>0</v>
      </c>
      <c r="D204" s="107">
        <f>'Emissões Fugitivas'!C160</f>
        <v>0</v>
      </c>
      <c r="E204" s="107">
        <f>'Emissões Fugitivas'!D160</f>
        <v>0</v>
      </c>
      <c r="F204" s="107" t="str">
        <f>'Emissões Fugitivas'!E160</f>
        <v/>
      </c>
      <c r="G204" s="107" t="e">
        <f>'Emissões Fugitivas'!#REF!</f>
        <v>#REF!</v>
      </c>
      <c r="H204" s="107">
        <f>'Emissões Fugitivas'!G160</f>
        <v>0</v>
      </c>
      <c r="I204" s="107" t="str">
        <f>'Emissões Fugitivas'!H160</f>
        <v/>
      </c>
      <c r="J204" s="22" t="e">
        <f>IF(VLOOKUP(B204,Identificação!#REF!,3,FALSE)="",2,VLOOKUP(B204,Identificação!#REF!,3,FALSE))</f>
        <v>#REF!</v>
      </c>
      <c r="K204" s="22" t="str">
        <f t="shared" si="25"/>
        <v/>
      </c>
      <c r="L204" s="22" t="str">
        <f t="shared" si="26"/>
        <v/>
      </c>
      <c r="M204" s="22" t="str">
        <f t="shared" si="27"/>
        <v/>
      </c>
      <c r="N204" s="112" t="str">
        <f t="shared" si="34"/>
        <v/>
      </c>
      <c r="O204" s="112" t="str">
        <f>IF(C204=$B$68,$E$96*H204*'Fatores de Emissão'!$E$260,"")</f>
        <v/>
      </c>
      <c r="P204" s="112" t="str">
        <f>IF(C204=$B$68,$E$95*H204*'Fatores de Emissão'!$E$261,"")</f>
        <v/>
      </c>
      <c r="Q204" s="112" t="str">
        <f>IF(C204=$B$69,$E$98*H204*'Fatores de Emissão'!$E$260/1000,"")</f>
        <v/>
      </c>
      <c r="R204" s="112" t="str">
        <f>IF(C204=$B$69,$E$97*H204*'Fatores de Emissão'!$E$261/1000,"")</f>
        <v/>
      </c>
      <c r="S204" s="113" t="str">
        <f t="shared" si="28"/>
        <v/>
      </c>
      <c r="T204" s="113" t="str">
        <f t="shared" si="29"/>
        <v/>
      </c>
      <c r="U204" s="113" t="str">
        <f t="shared" si="30"/>
        <v/>
      </c>
      <c r="V204" s="22" t="str">
        <f t="shared" si="32"/>
        <v/>
      </c>
      <c r="W204" s="22" t="e">
        <f t="shared" si="31"/>
        <v>#N/A</v>
      </c>
      <c r="X204" s="22" t="e">
        <f t="shared" si="33"/>
        <v>#N/A</v>
      </c>
    </row>
    <row r="205" spans="2:24" x14ac:dyDescent="0.25">
      <c r="B205" s="107" t="e">
        <f>'Emissões Fugitivas'!#REF!</f>
        <v>#REF!</v>
      </c>
      <c r="C205" s="107">
        <f>'Emissões Fugitivas'!B161</f>
        <v>0</v>
      </c>
      <c r="D205" s="107">
        <f>'Emissões Fugitivas'!C161</f>
        <v>0</v>
      </c>
      <c r="E205" s="107">
        <f>'Emissões Fugitivas'!D161</f>
        <v>0</v>
      </c>
      <c r="F205" s="107" t="str">
        <f>'Emissões Fugitivas'!E161</f>
        <v/>
      </c>
      <c r="G205" s="107" t="e">
        <f>'Emissões Fugitivas'!#REF!</f>
        <v>#REF!</v>
      </c>
      <c r="H205" s="107">
        <f>'Emissões Fugitivas'!G161</f>
        <v>0</v>
      </c>
      <c r="I205" s="107" t="str">
        <f>'Emissões Fugitivas'!H161</f>
        <v/>
      </c>
      <c r="J205" s="22" t="e">
        <f>IF(VLOOKUP(B205,Identificação!#REF!,3,FALSE)="",2,VLOOKUP(B205,Identificação!#REF!,3,FALSE))</f>
        <v>#REF!</v>
      </c>
      <c r="K205" s="22" t="str">
        <f t="shared" si="25"/>
        <v/>
      </c>
      <c r="L205" s="22" t="str">
        <f t="shared" si="26"/>
        <v/>
      </c>
      <c r="M205" s="22" t="str">
        <f t="shared" si="27"/>
        <v/>
      </c>
      <c r="N205" s="112" t="str">
        <f t="shared" si="34"/>
        <v/>
      </c>
      <c r="O205" s="112" t="str">
        <f>IF(C205=$B$68,$E$96*H205*'Fatores de Emissão'!$E$260,"")</f>
        <v/>
      </c>
      <c r="P205" s="112" t="str">
        <f>IF(C205=$B$68,$E$95*H205*'Fatores de Emissão'!$E$261,"")</f>
        <v/>
      </c>
      <c r="Q205" s="112" t="str">
        <f>IF(C205=$B$69,$E$98*H205*'Fatores de Emissão'!$E$260/1000,"")</f>
        <v/>
      </c>
      <c r="R205" s="112" t="str">
        <f>IF(C205=$B$69,$E$97*H205*'Fatores de Emissão'!$E$261/1000,"")</f>
        <v/>
      </c>
      <c r="S205" s="113" t="str">
        <f t="shared" si="28"/>
        <v/>
      </c>
      <c r="T205" s="113" t="str">
        <f t="shared" si="29"/>
        <v/>
      </c>
      <c r="U205" s="113" t="str">
        <f t="shared" si="30"/>
        <v/>
      </c>
      <c r="V205" s="22" t="str">
        <f t="shared" si="32"/>
        <v/>
      </c>
      <c r="W205" s="22" t="e">
        <f t="shared" si="31"/>
        <v>#N/A</v>
      </c>
      <c r="X205" s="22" t="e">
        <f t="shared" si="33"/>
        <v>#N/A</v>
      </c>
    </row>
    <row r="206" spans="2:24" x14ac:dyDescent="0.25">
      <c r="B206" s="107" t="e">
        <f>'Emissões Fugitivas'!#REF!</f>
        <v>#REF!</v>
      </c>
      <c r="C206" s="107">
        <f>'Emissões Fugitivas'!B162</f>
        <v>0</v>
      </c>
      <c r="D206" s="107">
        <f>'Emissões Fugitivas'!C162</f>
        <v>0</v>
      </c>
      <c r="E206" s="107">
        <f>'Emissões Fugitivas'!D162</f>
        <v>0</v>
      </c>
      <c r="F206" s="107" t="str">
        <f>'Emissões Fugitivas'!E162</f>
        <v/>
      </c>
      <c r="G206" s="107" t="e">
        <f>'Emissões Fugitivas'!#REF!</f>
        <v>#REF!</v>
      </c>
      <c r="H206" s="107">
        <f>'Emissões Fugitivas'!G162</f>
        <v>0</v>
      </c>
      <c r="I206" s="107" t="str">
        <f>'Emissões Fugitivas'!H162</f>
        <v/>
      </c>
      <c r="J206" s="22" t="e">
        <f>IF(VLOOKUP(B206,Identificação!#REF!,3,FALSE)="",2,VLOOKUP(B206,Identificação!#REF!,3,FALSE))</f>
        <v>#REF!</v>
      </c>
      <c r="K206" s="22" t="str">
        <f t="shared" si="25"/>
        <v/>
      </c>
      <c r="L206" s="22" t="str">
        <f t="shared" si="26"/>
        <v/>
      </c>
      <c r="M206" s="22" t="str">
        <f t="shared" si="27"/>
        <v/>
      </c>
      <c r="N206" s="112" t="str">
        <f t="shared" si="34"/>
        <v/>
      </c>
      <c r="O206" s="112" t="str">
        <f>IF(C206=$B$68,$E$96*H206*'Fatores de Emissão'!$E$260,"")</f>
        <v/>
      </c>
      <c r="P206" s="112" t="str">
        <f>IF(C206=$B$68,$E$95*H206*'Fatores de Emissão'!$E$261,"")</f>
        <v/>
      </c>
      <c r="Q206" s="112" t="str">
        <f>IF(C206=$B$69,$E$98*H206*'Fatores de Emissão'!$E$260/1000,"")</f>
        <v/>
      </c>
      <c r="R206" s="112" t="str">
        <f>IF(C206=$B$69,$E$97*H206*'Fatores de Emissão'!$E$261/1000,"")</f>
        <v/>
      </c>
      <c r="S206" s="113" t="str">
        <f t="shared" si="28"/>
        <v/>
      </c>
      <c r="T206" s="113" t="str">
        <f t="shared" si="29"/>
        <v/>
      </c>
      <c r="U206" s="113" t="str">
        <f t="shared" si="30"/>
        <v/>
      </c>
      <c r="V206" s="22" t="str">
        <f t="shared" si="32"/>
        <v/>
      </c>
      <c r="W206" s="22" t="e">
        <f t="shared" si="31"/>
        <v>#N/A</v>
      </c>
      <c r="X206" s="22" t="e">
        <f t="shared" si="33"/>
        <v>#N/A</v>
      </c>
    </row>
    <row r="207" spans="2:24" x14ac:dyDescent="0.25">
      <c r="B207" s="107" t="e">
        <f>'Emissões Fugitivas'!#REF!</f>
        <v>#REF!</v>
      </c>
      <c r="C207" s="107">
        <f>'Emissões Fugitivas'!B163</f>
        <v>0</v>
      </c>
      <c r="D207" s="107">
        <f>'Emissões Fugitivas'!C163</f>
        <v>0</v>
      </c>
      <c r="E207" s="107">
        <f>'Emissões Fugitivas'!D163</f>
        <v>0</v>
      </c>
      <c r="F207" s="107" t="str">
        <f>'Emissões Fugitivas'!E163</f>
        <v/>
      </c>
      <c r="G207" s="107" t="e">
        <f>'Emissões Fugitivas'!#REF!</f>
        <v>#REF!</v>
      </c>
      <c r="H207" s="107">
        <f>'Emissões Fugitivas'!G163</f>
        <v>0</v>
      </c>
      <c r="I207" s="107" t="str">
        <f>'Emissões Fugitivas'!H163</f>
        <v/>
      </c>
      <c r="J207" s="22" t="e">
        <f>IF(VLOOKUP(B207,Identificação!#REF!,3,FALSE)="",2,VLOOKUP(B207,Identificação!#REF!,3,FALSE))</f>
        <v>#REF!</v>
      </c>
      <c r="K207" s="22" t="str">
        <f t="shared" si="25"/>
        <v/>
      </c>
      <c r="L207" s="22" t="str">
        <f t="shared" si="26"/>
        <v/>
      </c>
      <c r="M207" s="22" t="str">
        <f t="shared" si="27"/>
        <v/>
      </c>
      <c r="N207" s="112" t="str">
        <f t="shared" si="34"/>
        <v/>
      </c>
      <c r="O207" s="112" t="str">
        <f>IF(C207=$B$68,$E$96*H207*'Fatores de Emissão'!$E$260,"")</f>
        <v/>
      </c>
      <c r="P207" s="112" t="str">
        <f>IF(C207=$B$68,$E$95*H207*'Fatores de Emissão'!$E$261,"")</f>
        <v/>
      </c>
      <c r="Q207" s="112" t="str">
        <f>IF(C207=$B$69,$E$98*H207*'Fatores de Emissão'!$E$260/1000,"")</f>
        <v/>
      </c>
      <c r="R207" s="112" t="str">
        <f>IF(C207=$B$69,$E$97*H207*'Fatores de Emissão'!$E$261/1000,"")</f>
        <v/>
      </c>
      <c r="S207" s="113" t="str">
        <f t="shared" si="28"/>
        <v/>
      </c>
      <c r="T207" s="113" t="str">
        <f t="shared" si="29"/>
        <v/>
      </c>
      <c r="U207" s="113" t="str">
        <f t="shared" si="30"/>
        <v/>
      </c>
      <c r="V207" s="22" t="str">
        <f t="shared" si="32"/>
        <v/>
      </c>
      <c r="W207" s="22" t="e">
        <f t="shared" si="31"/>
        <v>#N/A</v>
      </c>
      <c r="X207" s="22" t="e">
        <f t="shared" si="33"/>
        <v>#N/A</v>
      </c>
    </row>
    <row r="208" spans="2:24" x14ac:dyDescent="0.25">
      <c r="B208" s="107" t="e">
        <f>'Emissões Fugitivas'!#REF!</f>
        <v>#REF!</v>
      </c>
      <c r="C208" s="107">
        <f>'Emissões Fugitivas'!B164</f>
        <v>0</v>
      </c>
      <c r="D208" s="107">
        <f>'Emissões Fugitivas'!C164</f>
        <v>0</v>
      </c>
      <c r="E208" s="107">
        <f>'Emissões Fugitivas'!D164</f>
        <v>0</v>
      </c>
      <c r="F208" s="107" t="str">
        <f>'Emissões Fugitivas'!E164</f>
        <v/>
      </c>
      <c r="G208" s="107" t="e">
        <f>'Emissões Fugitivas'!#REF!</f>
        <v>#REF!</v>
      </c>
      <c r="H208" s="107">
        <f>'Emissões Fugitivas'!G164</f>
        <v>0</v>
      </c>
      <c r="I208" s="107" t="str">
        <f>'Emissões Fugitivas'!H164</f>
        <v/>
      </c>
      <c r="J208" s="22" t="e">
        <f>IF(VLOOKUP(B208,Identificação!#REF!,3,FALSE)="",2,VLOOKUP(B208,Identificação!#REF!,3,FALSE))</f>
        <v>#REF!</v>
      </c>
      <c r="K208" s="22" t="str">
        <f t="shared" si="25"/>
        <v/>
      </c>
      <c r="L208" s="22" t="str">
        <f t="shared" si="26"/>
        <v/>
      </c>
      <c r="M208" s="22" t="str">
        <f t="shared" si="27"/>
        <v/>
      </c>
      <c r="N208" s="112" t="str">
        <f t="shared" si="34"/>
        <v/>
      </c>
      <c r="O208" s="112" t="str">
        <f>IF(C208=$B$68,$E$96*H208*'Fatores de Emissão'!$E$260,"")</f>
        <v/>
      </c>
      <c r="P208" s="112" t="str">
        <f>IF(C208=$B$68,$E$95*H208*'Fatores de Emissão'!$E$261,"")</f>
        <v/>
      </c>
      <c r="Q208" s="112" t="str">
        <f>IF(C208=$B$69,$E$98*H208*'Fatores de Emissão'!$E$260/1000,"")</f>
        <v/>
      </c>
      <c r="R208" s="112" t="str">
        <f>IF(C208=$B$69,$E$97*H208*'Fatores de Emissão'!$E$261/1000,"")</f>
        <v/>
      </c>
      <c r="S208" s="113" t="str">
        <f t="shared" si="28"/>
        <v/>
      </c>
      <c r="T208" s="113" t="str">
        <f t="shared" si="29"/>
        <v/>
      </c>
      <c r="U208" s="113" t="str">
        <f t="shared" si="30"/>
        <v/>
      </c>
      <c r="V208" s="22" t="str">
        <f t="shared" si="32"/>
        <v/>
      </c>
      <c r="W208" s="22" t="e">
        <f t="shared" si="31"/>
        <v>#N/A</v>
      </c>
      <c r="X208" s="22" t="e">
        <f t="shared" si="33"/>
        <v>#N/A</v>
      </c>
    </row>
    <row r="209" spans="2:24" x14ac:dyDescent="0.25">
      <c r="B209" s="107" t="e">
        <f>'Emissões Fugitivas'!#REF!</f>
        <v>#REF!</v>
      </c>
      <c r="C209" s="107">
        <f>'Emissões Fugitivas'!B165</f>
        <v>0</v>
      </c>
      <c r="D209" s="107">
        <f>'Emissões Fugitivas'!C165</f>
        <v>0</v>
      </c>
      <c r="E209" s="107">
        <f>'Emissões Fugitivas'!D165</f>
        <v>0</v>
      </c>
      <c r="F209" s="107" t="str">
        <f>'Emissões Fugitivas'!E165</f>
        <v/>
      </c>
      <c r="G209" s="107" t="e">
        <f>'Emissões Fugitivas'!#REF!</f>
        <v>#REF!</v>
      </c>
      <c r="H209" s="107">
        <f>'Emissões Fugitivas'!G165</f>
        <v>0</v>
      </c>
      <c r="I209" s="107" t="str">
        <f>'Emissões Fugitivas'!H165</f>
        <v/>
      </c>
      <c r="J209" s="22" t="e">
        <f>IF(VLOOKUP(B209,Identificação!#REF!,3,FALSE)="",2,VLOOKUP(B209,Identificação!#REF!,3,FALSE))</f>
        <v>#REF!</v>
      </c>
      <c r="K209" s="22" t="str">
        <f t="shared" si="25"/>
        <v/>
      </c>
      <c r="L209" s="22" t="str">
        <f t="shared" si="26"/>
        <v/>
      </c>
      <c r="M209" s="22" t="str">
        <f t="shared" si="27"/>
        <v/>
      </c>
      <c r="N209" s="112" t="str">
        <f t="shared" si="34"/>
        <v/>
      </c>
      <c r="O209" s="112" t="str">
        <f>IF(C209=$B$68,$E$96*H209*'Fatores de Emissão'!$E$260,"")</f>
        <v/>
      </c>
      <c r="P209" s="112" t="str">
        <f>IF(C209=$B$68,$E$95*H209*'Fatores de Emissão'!$E$261,"")</f>
        <v/>
      </c>
      <c r="Q209" s="112" t="str">
        <f>IF(C209=$B$69,$E$98*H209*'Fatores de Emissão'!$E$260/1000,"")</f>
        <v/>
      </c>
      <c r="R209" s="112" t="str">
        <f>IF(C209=$B$69,$E$97*H209*'Fatores de Emissão'!$E$261/1000,"")</f>
        <v/>
      </c>
      <c r="S209" s="113" t="str">
        <f t="shared" si="28"/>
        <v/>
      </c>
      <c r="T209" s="113" t="str">
        <f t="shared" si="29"/>
        <v/>
      </c>
      <c r="U209" s="113" t="str">
        <f t="shared" si="30"/>
        <v/>
      </c>
      <c r="V209" s="22" t="str">
        <f t="shared" si="32"/>
        <v/>
      </c>
      <c r="W209" s="22" t="e">
        <f t="shared" si="31"/>
        <v>#N/A</v>
      </c>
      <c r="X209" s="22" t="e">
        <f t="shared" si="33"/>
        <v>#N/A</v>
      </c>
    </row>
    <row r="210" spans="2:24" x14ac:dyDescent="0.25">
      <c r="B210" s="107" t="e">
        <f>'Emissões Fugitivas'!#REF!</f>
        <v>#REF!</v>
      </c>
      <c r="C210" s="107">
        <f>'Emissões Fugitivas'!B166</f>
        <v>0</v>
      </c>
      <c r="D210" s="107">
        <f>'Emissões Fugitivas'!C166</f>
        <v>0</v>
      </c>
      <c r="E210" s="107">
        <f>'Emissões Fugitivas'!D166</f>
        <v>0</v>
      </c>
      <c r="F210" s="107" t="str">
        <f>'Emissões Fugitivas'!E166</f>
        <v/>
      </c>
      <c r="G210" s="107" t="e">
        <f>'Emissões Fugitivas'!#REF!</f>
        <v>#REF!</v>
      </c>
      <c r="H210" s="107">
        <f>'Emissões Fugitivas'!G166</f>
        <v>0</v>
      </c>
      <c r="I210" s="107" t="str">
        <f>'Emissões Fugitivas'!H166</f>
        <v/>
      </c>
      <c r="J210" s="22" t="e">
        <f>IF(VLOOKUP(B210,Identificação!#REF!,3,FALSE)="",2,VLOOKUP(B210,Identificação!#REF!,3,FALSE))</f>
        <v>#REF!</v>
      </c>
      <c r="K210" s="22" t="str">
        <f t="shared" si="25"/>
        <v/>
      </c>
      <c r="L210" s="22" t="str">
        <f t="shared" si="26"/>
        <v/>
      </c>
      <c r="M210" s="22" t="str">
        <f t="shared" si="27"/>
        <v/>
      </c>
      <c r="N210" s="112" t="str">
        <f t="shared" si="34"/>
        <v/>
      </c>
      <c r="O210" s="112" t="str">
        <f>IF(C210=$B$68,$E$96*H210*'Fatores de Emissão'!$E$260,"")</f>
        <v/>
      </c>
      <c r="P210" s="112" t="str">
        <f>IF(C210=$B$68,$E$95*H210*'Fatores de Emissão'!$E$261,"")</f>
        <v/>
      </c>
      <c r="Q210" s="112" t="str">
        <f>IF(C210=$B$69,$E$98*H210*'Fatores de Emissão'!$E$260/1000,"")</f>
        <v/>
      </c>
      <c r="R210" s="112" t="str">
        <f>IF(C210=$B$69,$E$97*H210*'Fatores de Emissão'!$E$261/1000,"")</f>
        <v/>
      </c>
      <c r="S210" s="113" t="str">
        <f t="shared" si="28"/>
        <v/>
      </c>
      <c r="T210" s="113" t="str">
        <f t="shared" si="29"/>
        <v/>
      </c>
      <c r="U210" s="113" t="str">
        <f t="shared" si="30"/>
        <v/>
      </c>
      <c r="V210" s="22" t="str">
        <f t="shared" si="32"/>
        <v/>
      </c>
      <c r="W210" s="22" t="e">
        <f t="shared" si="31"/>
        <v>#N/A</v>
      </c>
      <c r="X210" s="22" t="e">
        <f t="shared" si="33"/>
        <v>#N/A</v>
      </c>
    </row>
    <row r="211" spans="2:24" x14ac:dyDescent="0.25">
      <c r="B211" s="107" t="e">
        <f>'Emissões Fugitivas'!#REF!</f>
        <v>#REF!</v>
      </c>
      <c r="C211" s="107">
        <f>'Emissões Fugitivas'!B167</f>
        <v>0</v>
      </c>
      <c r="D211" s="107">
        <f>'Emissões Fugitivas'!C167</f>
        <v>0</v>
      </c>
      <c r="E211" s="107">
        <f>'Emissões Fugitivas'!D167</f>
        <v>0</v>
      </c>
      <c r="F211" s="107" t="str">
        <f>'Emissões Fugitivas'!E167</f>
        <v/>
      </c>
      <c r="G211" s="107" t="e">
        <f>'Emissões Fugitivas'!#REF!</f>
        <v>#REF!</v>
      </c>
      <c r="H211" s="107">
        <f>'Emissões Fugitivas'!G167</f>
        <v>0</v>
      </c>
      <c r="I211" s="107" t="str">
        <f>'Emissões Fugitivas'!H167</f>
        <v/>
      </c>
      <c r="J211" s="22" t="e">
        <f>IF(VLOOKUP(B211,Identificação!#REF!,3,FALSE)="",2,VLOOKUP(B211,Identificação!#REF!,3,FALSE))</f>
        <v>#REF!</v>
      </c>
      <c r="K211" s="22" t="str">
        <f t="shared" si="25"/>
        <v/>
      </c>
      <c r="L211" s="22" t="str">
        <f t="shared" si="26"/>
        <v/>
      </c>
      <c r="M211" s="22" t="str">
        <f t="shared" si="27"/>
        <v/>
      </c>
      <c r="N211" s="112" t="str">
        <f t="shared" si="34"/>
        <v/>
      </c>
      <c r="O211" s="112" t="str">
        <f>IF(C211=$B$68,$E$96*H211*'Fatores de Emissão'!$E$260,"")</f>
        <v/>
      </c>
      <c r="P211" s="112" t="str">
        <f>IF(C211=$B$68,$E$95*H211*'Fatores de Emissão'!$E$261,"")</f>
        <v/>
      </c>
      <c r="Q211" s="112" t="str">
        <f>IF(C211=$B$69,$E$98*H211*'Fatores de Emissão'!$E$260/1000,"")</f>
        <v/>
      </c>
      <c r="R211" s="112" t="str">
        <f>IF(C211=$B$69,$E$97*H211*'Fatores de Emissão'!$E$261/1000,"")</f>
        <v/>
      </c>
      <c r="S211" s="113" t="str">
        <f t="shared" si="28"/>
        <v/>
      </c>
      <c r="T211" s="113" t="str">
        <f t="shared" si="29"/>
        <v/>
      </c>
      <c r="U211" s="113" t="str">
        <f t="shared" si="30"/>
        <v/>
      </c>
      <c r="V211" s="22" t="str">
        <f t="shared" si="32"/>
        <v/>
      </c>
      <c r="W211" s="22" t="e">
        <f t="shared" si="31"/>
        <v>#N/A</v>
      </c>
      <c r="X211" s="22" t="e">
        <f t="shared" si="33"/>
        <v>#N/A</v>
      </c>
    </row>
    <row r="212" spans="2:24" x14ac:dyDescent="0.25">
      <c r="B212" s="107" t="e">
        <f>'Emissões Fugitivas'!#REF!</f>
        <v>#REF!</v>
      </c>
      <c r="C212" s="107">
        <f>'Emissões Fugitivas'!B168</f>
        <v>0</v>
      </c>
      <c r="D212" s="107">
        <f>'Emissões Fugitivas'!C168</f>
        <v>0</v>
      </c>
      <c r="E212" s="107">
        <f>'Emissões Fugitivas'!D168</f>
        <v>0</v>
      </c>
      <c r="F212" s="107" t="str">
        <f>'Emissões Fugitivas'!E168</f>
        <v/>
      </c>
      <c r="G212" s="107" t="e">
        <f>'Emissões Fugitivas'!#REF!</f>
        <v>#REF!</v>
      </c>
      <c r="H212" s="107">
        <f>'Emissões Fugitivas'!G168</f>
        <v>0</v>
      </c>
      <c r="I212" s="107" t="str">
        <f>'Emissões Fugitivas'!H168</f>
        <v/>
      </c>
      <c r="J212" s="22" t="e">
        <f>IF(VLOOKUP(B212,Identificação!#REF!,3,FALSE)="",2,VLOOKUP(B212,Identificação!#REF!,3,FALSE))</f>
        <v>#REF!</v>
      </c>
      <c r="K212" s="22" t="str">
        <f t="shared" si="25"/>
        <v/>
      </c>
      <c r="L212" s="22" t="str">
        <f t="shared" si="26"/>
        <v/>
      </c>
      <c r="M212" s="22" t="str">
        <f t="shared" si="27"/>
        <v/>
      </c>
      <c r="N212" s="112" t="str">
        <f t="shared" si="34"/>
        <v/>
      </c>
      <c r="O212" s="112" t="str">
        <f>IF(C212=$B$68,$E$96*H212*'Fatores de Emissão'!$E$260,"")</f>
        <v/>
      </c>
      <c r="P212" s="112" t="str">
        <f>IF(C212=$B$68,$E$95*H212*'Fatores de Emissão'!$E$261,"")</f>
        <v/>
      </c>
      <c r="Q212" s="112" t="str">
        <f>IF(C212=$B$69,$E$98*H212*'Fatores de Emissão'!$E$260/1000,"")</f>
        <v/>
      </c>
      <c r="R212" s="112" t="str">
        <f>IF(C212=$B$69,$E$97*H212*'Fatores de Emissão'!$E$261/1000,"")</f>
        <v/>
      </c>
      <c r="S212" s="113" t="str">
        <f t="shared" si="28"/>
        <v/>
      </c>
      <c r="T212" s="113" t="str">
        <f t="shared" si="29"/>
        <v/>
      </c>
      <c r="U212" s="113" t="str">
        <f t="shared" si="30"/>
        <v/>
      </c>
      <c r="V212" s="22" t="str">
        <f t="shared" si="32"/>
        <v/>
      </c>
      <c r="W212" s="22" t="e">
        <f t="shared" si="31"/>
        <v>#N/A</v>
      </c>
      <c r="X212" s="22" t="e">
        <f t="shared" si="33"/>
        <v>#N/A</v>
      </c>
    </row>
    <row r="213" spans="2:24" x14ac:dyDescent="0.25">
      <c r="B213" s="107" t="e">
        <f>'Emissões Fugitivas'!#REF!</f>
        <v>#REF!</v>
      </c>
      <c r="C213" s="107">
        <f>'Emissões Fugitivas'!B169</f>
        <v>0</v>
      </c>
      <c r="D213" s="107">
        <f>'Emissões Fugitivas'!C169</f>
        <v>0</v>
      </c>
      <c r="E213" s="107">
        <f>'Emissões Fugitivas'!D169</f>
        <v>0</v>
      </c>
      <c r="F213" s="107" t="str">
        <f>'Emissões Fugitivas'!E169</f>
        <v/>
      </c>
      <c r="G213" s="107" t="e">
        <f>'Emissões Fugitivas'!#REF!</f>
        <v>#REF!</v>
      </c>
      <c r="H213" s="107">
        <f>'Emissões Fugitivas'!G169</f>
        <v>0</v>
      </c>
      <c r="I213" s="107" t="str">
        <f>'Emissões Fugitivas'!H169</f>
        <v/>
      </c>
      <c r="J213" s="22" t="e">
        <f>IF(VLOOKUP(B213,Identificação!#REF!,3,FALSE)="",2,VLOOKUP(B213,Identificação!#REF!,3,FALSE))</f>
        <v>#REF!</v>
      </c>
      <c r="K213" s="22" t="str">
        <f t="shared" si="25"/>
        <v/>
      </c>
      <c r="L213" s="22" t="str">
        <f t="shared" si="26"/>
        <v/>
      </c>
      <c r="M213" s="22" t="str">
        <f t="shared" si="27"/>
        <v/>
      </c>
      <c r="N213" s="112" t="str">
        <f t="shared" si="34"/>
        <v/>
      </c>
      <c r="O213" s="112" t="str">
        <f>IF(C213=$B$68,$E$96*H213*'Fatores de Emissão'!$E$260,"")</f>
        <v/>
      </c>
      <c r="P213" s="112" t="str">
        <f>IF(C213=$B$68,$E$95*H213*'Fatores de Emissão'!$E$261,"")</f>
        <v/>
      </c>
      <c r="Q213" s="112" t="str">
        <f>IF(C213=$B$69,$E$98*H213*'Fatores de Emissão'!$E$260/1000,"")</f>
        <v/>
      </c>
      <c r="R213" s="112" t="str">
        <f>IF(C213=$B$69,$E$97*H213*'Fatores de Emissão'!$E$261/1000,"")</f>
        <v/>
      </c>
      <c r="S213" s="113" t="str">
        <f t="shared" si="28"/>
        <v/>
      </c>
      <c r="T213" s="113" t="str">
        <f t="shared" si="29"/>
        <v/>
      </c>
      <c r="U213" s="113" t="str">
        <f t="shared" si="30"/>
        <v/>
      </c>
      <c r="V213" s="22" t="str">
        <f t="shared" si="32"/>
        <v/>
      </c>
      <c r="W213" s="22" t="e">
        <f t="shared" si="31"/>
        <v>#N/A</v>
      </c>
      <c r="X213" s="22" t="e">
        <f t="shared" si="33"/>
        <v>#N/A</v>
      </c>
    </row>
    <row r="214" spans="2:24" x14ac:dyDescent="0.25">
      <c r="B214" s="107" t="e">
        <f>'Emissões Fugitivas'!#REF!</f>
        <v>#REF!</v>
      </c>
      <c r="C214" s="107">
        <f>'Emissões Fugitivas'!B170</f>
        <v>0</v>
      </c>
      <c r="D214" s="107">
        <f>'Emissões Fugitivas'!C170</f>
        <v>0</v>
      </c>
      <c r="E214" s="107">
        <f>'Emissões Fugitivas'!D170</f>
        <v>0</v>
      </c>
      <c r="F214" s="107" t="str">
        <f>'Emissões Fugitivas'!E170</f>
        <v/>
      </c>
      <c r="G214" s="107" t="e">
        <f>'Emissões Fugitivas'!#REF!</f>
        <v>#REF!</v>
      </c>
      <c r="H214" s="107">
        <f>'Emissões Fugitivas'!G170</f>
        <v>0</v>
      </c>
      <c r="I214" s="107" t="str">
        <f>'Emissões Fugitivas'!H170</f>
        <v/>
      </c>
      <c r="J214" s="22" t="e">
        <f>IF(VLOOKUP(B214,Identificação!#REF!,3,FALSE)="",2,VLOOKUP(B214,Identificação!#REF!,3,FALSE))</f>
        <v>#REF!</v>
      </c>
      <c r="K214" s="22" t="str">
        <f t="shared" si="25"/>
        <v/>
      </c>
      <c r="L214" s="22" t="str">
        <f t="shared" si="26"/>
        <v/>
      </c>
      <c r="M214" s="22" t="str">
        <f t="shared" si="27"/>
        <v/>
      </c>
      <c r="N214" s="112" t="str">
        <f t="shared" si="34"/>
        <v/>
      </c>
      <c r="O214" s="112" t="str">
        <f>IF(C214=$B$68,$E$96*H214*'Fatores de Emissão'!$E$260,"")</f>
        <v/>
      </c>
      <c r="P214" s="112" t="str">
        <f>IF(C214=$B$68,$E$95*H214*'Fatores de Emissão'!$E$261,"")</f>
        <v/>
      </c>
      <c r="Q214" s="112" t="str">
        <f>IF(C214=$B$69,$E$98*H214*'Fatores de Emissão'!$E$260/1000,"")</f>
        <v/>
      </c>
      <c r="R214" s="112" t="str">
        <f>IF(C214=$B$69,$E$97*H214*'Fatores de Emissão'!$E$261/1000,"")</f>
        <v/>
      </c>
      <c r="S214" s="113" t="str">
        <f t="shared" si="28"/>
        <v/>
      </c>
      <c r="T214" s="113" t="str">
        <f t="shared" si="29"/>
        <v/>
      </c>
      <c r="U214" s="113" t="str">
        <f t="shared" si="30"/>
        <v/>
      </c>
      <c r="V214" s="22" t="str">
        <f t="shared" si="32"/>
        <v/>
      </c>
      <c r="W214" s="22" t="e">
        <f t="shared" si="31"/>
        <v>#N/A</v>
      </c>
      <c r="X214" s="22" t="e">
        <f t="shared" si="33"/>
        <v>#N/A</v>
      </c>
    </row>
    <row r="215" spans="2:24" x14ac:dyDescent="0.25">
      <c r="B215" s="107" t="e">
        <f>'Emissões Fugitivas'!#REF!</f>
        <v>#REF!</v>
      </c>
      <c r="C215" s="107">
        <f>'Emissões Fugitivas'!B171</f>
        <v>0</v>
      </c>
      <c r="D215" s="107">
        <f>'Emissões Fugitivas'!C171</f>
        <v>0</v>
      </c>
      <c r="E215" s="107">
        <f>'Emissões Fugitivas'!D171</f>
        <v>0</v>
      </c>
      <c r="F215" s="107" t="str">
        <f>'Emissões Fugitivas'!E171</f>
        <v/>
      </c>
      <c r="G215" s="107" t="e">
        <f>'Emissões Fugitivas'!#REF!</f>
        <v>#REF!</v>
      </c>
      <c r="H215" s="107">
        <f>'Emissões Fugitivas'!G171</f>
        <v>0</v>
      </c>
      <c r="I215" s="107" t="str">
        <f>'Emissões Fugitivas'!H171</f>
        <v/>
      </c>
      <c r="J215" s="22" t="e">
        <f>IF(VLOOKUP(B215,Identificação!#REF!,3,FALSE)="",2,VLOOKUP(B215,Identificação!#REF!,3,FALSE))</f>
        <v>#REF!</v>
      </c>
      <c r="K215" s="22" t="str">
        <f t="shared" si="25"/>
        <v/>
      </c>
      <c r="L215" s="22" t="str">
        <f t="shared" si="26"/>
        <v/>
      </c>
      <c r="M215" s="22" t="str">
        <f t="shared" si="27"/>
        <v/>
      </c>
      <c r="N215" s="112" t="str">
        <f t="shared" si="34"/>
        <v/>
      </c>
      <c r="O215" s="112" t="str">
        <f>IF(C215=$B$68,$E$96*H215*'Fatores de Emissão'!$E$260,"")</f>
        <v/>
      </c>
      <c r="P215" s="112" t="str">
        <f>IF(C215=$B$68,$E$95*H215*'Fatores de Emissão'!$E$261,"")</f>
        <v/>
      </c>
      <c r="Q215" s="112" t="str">
        <f>IF(C215=$B$69,$E$98*H215*'Fatores de Emissão'!$E$260/1000,"")</f>
        <v/>
      </c>
      <c r="R215" s="112" t="str">
        <f>IF(C215=$B$69,$E$97*H215*'Fatores de Emissão'!$E$261/1000,"")</f>
        <v/>
      </c>
      <c r="S215" s="113" t="str">
        <f t="shared" si="28"/>
        <v/>
      </c>
      <c r="T215" s="113" t="str">
        <f t="shared" si="29"/>
        <v/>
      </c>
      <c r="U215" s="113" t="str">
        <f t="shared" si="30"/>
        <v/>
      </c>
      <c r="V215" s="22" t="str">
        <f t="shared" si="32"/>
        <v/>
      </c>
      <c r="W215" s="22" t="e">
        <f t="shared" si="31"/>
        <v>#N/A</v>
      </c>
      <c r="X215" s="22" t="e">
        <f t="shared" si="33"/>
        <v>#N/A</v>
      </c>
    </row>
    <row r="216" spans="2:24" x14ac:dyDescent="0.25">
      <c r="B216" s="107" t="e">
        <f>'Emissões Fugitivas'!#REF!</f>
        <v>#REF!</v>
      </c>
      <c r="C216" s="107">
        <f>'Emissões Fugitivas'!B172</f>
        <v>0</v>
      </c>
      <c r="D216" s="107">
        <f>'Emissões Fugitivas'!C172</f>
        <v>0</v>
      </c>
      <c r="E216" s="107">
        <f>'Emissões Fugitivas'!D172</f>
        <v>0</v>
      </c>
      <c r="F216" s="107" t="str">
        <f>'Emissões Fugitivas'!E172</f>
        <v/>
      </c>
      <c r="G216" s="107" t="e">
        <f>'Emissões Fugitivas'!#REF!</f>
        <v>#REF!</v>
      </c>
      <c r="H216" s="107">
        <f>'Emissões Fugitivas'!G172</f>
        <v>0</v>
      </c>
      <c r="I216" s="107" t="str">
        <f>'Emissões Fugitivas'!H172</f>
        <v/>
      </c>
      <c r="J216" s="22" t="e">
        <f>IF(VLOOKUP(B216,Identificação!#REF!,3,FALSE)="",2,VLOOKUP(B216,Identificação!#REF!,3,FALSE))</f>
        <v>#REF!</v>
      </c>
      <c r="K216" s="22" t="str">
        <f t="shared" si="25"/>
        <v/>
      </c>
      <c r="L216" s="22" t="str">
        <f t="shared" si="26"/>
        <v/>
      </c>
      <c r="M216" s="22" t="str">
        <f t="shared" si="27"/>
        <v/>
      </c>
      <c r="N216" s="112" t="str">
        <f t="shared" si="34"/>
        <v/>
      </c>
      <c r="O216" s="112" t="str">
        <f>IF(C216=$B$68,$E$96*H216*'Fatores de Emissão'!$E$260,"")</f>
        <v/>
      </c>
      <c r="P216" s="112" t="str">
        <f>IF(C216=$B$68,$E$95*H216*'Fatores de Emissão'!$E$261,"")</f>
        <v/>
      </c>
      <c r="Q216" s="112" t="str">
        <f>IF(C216=$B$69,$E$98*H216*'Fatores de Emissão'!$E$260/1000,"")</f>
        <v/>
      </c>
      <c r="R216" s="112" t="str">
        <f>IF(C216=$B$69,$E$97*H216*'Fatores de Emissão'!$E$261/1000,"")</f>
        <v/>
      </c>
      <c r="S216" s="113" t="str">
        <f t="shared" si="28"/>
        <v/>
      </c>
      <c r="T216" s="113" t="str">
        <f t="shared" si="29"/>
        <v/>
      </c>
      <c r="U216" s="113" t="str">
        <f t="shared" si="30"/>
        <v/>
      </c>
      <c r="V216" s="22" t="str">
        <f t="shared" si="32"/>
        <v/>
      </c>
      <c r="W216" s="22" t="e">
        <f t="shared" si="31"/>
        <v>#N/A</v>
      </c>
      <c r="X216" s="22" t="e">
        <f t="shared" si="33"/>
        <v>#N/A</v>
      </c>
    </row>
    <row r="217" spans="2:24" x14ac:dyDescent="0.25">
      <c r="B217" s="115" t="str">
        <f>'Emissões Fugitivas'!B173</f>
        <v>Total</v>
      </c>
      <c r="C217" s="115"/>
      <c r="D217" s="115"/>
      <c r="E217" s="115"/>
      <c r="F217" s="115"/>
      <c r="G217" s="115"/>
      <c r="H217" s="115"/>
      <c r="I217" s="115"/>
      <c r="J217" s="115"/>
      <c r="K217" s="115" t="str">
        <f t="shared" si="25"/>
        <v/>
      </c>
      <c r="L217" s="115" t="str">
        <f t="shared" si="26"/>
        <v/>
      </c>
      <c r="M217" s="115" t="str">
        <f t="shared" si="27"/>
        <v/>
      </c>
      <c r="N217" s="115" t="str">
        <f t="shared" si="34"/>
        <v/>
      </c>
      <c r="O217" s="115" t="str">
        <f>IF(C217=$B$68,$E$96*H217*'Fatores de Emissão'!$E$260,"")</f>
        <v/>
      </c>
      <c r="P217" s="115" t="str">
        <f>IF(C217=$B$68,$E$95*H217*'Fatores de Emissão'!$E$261,"")</f>
        <v/>
      </c>
      <c r="Q217" s="115" t="str">
        <f>IF(C217=$B$69,$E$98*H217*'Fatores de Emissão'!$E$260/1000,"")</f>
        <v/>
      </c>
      <c r="R217" s="115" t="str">
        <f>IF(C217=$B$69,$E$97*H217*'Fatores de Emissão'!$E$261/1000,"")</f>
        <v/>
      </c>
      <c r="S217" s="114" t="str">
        <f t="shared" si="28"/>
        <v/>
      </c>
      <c r="T217" s="114" t="str">
        <f t="shared" si="29"/>
        <v/>
      </c>
      <c r="U217" s="114" t="str">
        <f t="shared" si="30"/>
        <v/>
      </c>
      <c r="V217" s="115" t="str">
        <f t="shared" ref="V217" si="35">IF(G217&gt;0,G217,"")</f>
        <v/>
      </c>
      <c r="W217" s="115" t="e">
        <f t="shared" si="31"/>
        <v>#N/A</v>
      </c>
      <c r="X217" s="115">
        <f t="shared" ref="X217" si="36">IF(V217="",SUM(N217:U217),V217*W217)</f>
        <v>0</v>
      </c>
    </row>
  </sheetData>
  <mergeCells count="20">
    <mergeCell ref="C28:C30"/>
    <mergeCell ref="D28:D30"/>
    <mergeCell ref="E28:E30"/>
    <mergeCell ref="I28:I29"/>
    <mergeCell ref="H15:H17"/>
    <mergeCell ref="G28:H29"/>
    <mergeCell ref="F28:F30"/>
    <mergeCell ref="D16:D17"/>
    <mergeCell ref="O115:P115"/>
    <mergeCell ref="Q115:R115"/>
    <mergeCell ref="P28:P30"/>
    <mergeCell ref="R28:R30"/>
    <mergeCell ref="S28:S30"/>
    <mergeCell ref="L28:L30"/>
    <mergeCell ref="M28:M30"/>
    <mergeCell ref="O28:O30"/>
    <mergeCell ref="Q28:Q30"/>
    <mergeCell ref="J28:J30"/>
    <mergeCell ref="K28:K30"/>
    <mergeCell ref="N28:N30"/>
  </mergeCells>
  <phoneticPr fontId="24" type="noConversion"/>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54EDA-3D69-47F3-98D1-2AF924F164F1}">
  <sheetPr>
    <tabColor theme="2" tint="-9.9978637043366805E-2"/>
  </sheetPr>
  <dimension ref="A1:AB318"/>
  <sheetViews>
    <sheetView showGridLines="0" zoomScale="70" zoomScaleNormal="70" workbookViewId="0">
      <selection activeCell="D32" sqref="D32"/>
    </sheetView>
  </sheetViews>
  <sheetFormatPr defaultColWidth="0" defaultRowHeight="15.75" zeroHeight="1" outlineLevelRow="1" x14ac:dyDescent="0.25"/>
  <cols>
    <col min="1" max="1" width="9.625" style="166" customWidth="1"/>
    <col min="2" max="2" width="13.5" style="166" customWidth="1"/>
    <col min="3" max="3" width="23.625" style="166" customWidth="1"/>
    <col min="4" max="4" width="53.625" style="166" customWidth="1"/>
    <col min="5" max="5" width="58.375" style="166" customWidth="1"/>
    <col min="6" max="6" width="26.25" style="166" customWidth="1"/>
    <col min="7" max="7" width="64.25" style="166" customWidth="1"/>
    <col min="8" max="8" width="26.25" style="166" customWidth="1"/>
    <col min="9" max="9" width="56.5" style="166" customWidth="1"/>
    <col min="10" max="10" width="36.25" style="166" customWidth="1"/>
    <col min="11" max="11" width="41.75" style="166" customWidth="1"/>
    <col min="12" max="21" width="8.625" style="166" customWidth="1"/>
    <col min="22" max="22" width="7.875" style="166" customWidth="1"/>
    <col min="23" max="27" width="0" style="166" hidden="1" customWidth="1"/>
    <col min="28" max="16384" width="7.625" style="166" hidden="1"/>
  </cols>
  <sheetData>
    <row r="1" spans="2:28" x14ac:dyDescent="0.25"/>
    <row r="2" spans="2:28" x14ac:dyDescent="0.25"/>
    <row r="3" spans="2:28" x14ac:dyDescent="0.25"/>
    <row r="4" spans="2:28" x14ac:dyDescent="0.25"/>
    <row r="5" spans="2:28" x14ac:dyDescent="0.25"/>
    <row r="6" spans="2:28" x14ac:dyDescent="0.25"/>
    <row r="7" spans="2:28" x14ac:dyDescent="0.25"/>
    <row r="8" spans="2:28" x14ac:dyDescent="0.25"/>
    <row r="9" spans="2:28" ht="18.75" x14ac:dyDescent="0.3">
      <c r="D9" s="1431" t="e">
        <f>IF(Triagem!#REF!="","Não indicou na TRIAGEM se esta folha se adequa ao projeto",IF(Triagem!#REF!="Não","Não necessita de preencher esta folha","Folha a ser preenchida"))</f>
        <v>#REF!</v>
      </c>
      <c r="E9" s="1431"/>
      <c r="F9" s="1431"/>
      <c r="G9" s="1431"/>
      <c r="H9" s="1431"/>
      <c r="I9" s="1431"/>
      <c r="J9" s="1431"/>
      <c r="K9" s="165"/>
    </row>
    <row r="10" spans="2:28" x14ac:dyDescent="0.25"/>
    <row r="11" spans="2:28" ht="23.45" customHeight="1" x14ac:dyDescent="0.25">
      <c r="B11" s="171" t="s">
        <v>1072</v>
      </c>
    </row>
    <row r="12" spans="2:28" ht="23.45" customHeight="1" x14ac:dyDescent="0.25">
      <c r="B12" s="166" t="s">
        <v>959</v>
      </c>
    </row>
    <row r="13" spans="2:28" ht="23.45" customHeight="1" x14ac:dyDescent="0.25">
      <c r="B13" s="233" t="s">
        <v>840</v>
      </c>
      <c r="C13" s="234"/>
      <c r="D13" s="234"/>
      <c r="E13" s="234"/>
      <c r="F13" s="234"/>
      <c r="G13" s="234"/>
      <c r="H13" s="234"/>
      <c r="I13" s="234"/>
      <c r="J13" s="234"/>
      <c r="K13" s="234"/>
      <c r="L13" s="234"/>
      <c r="M13" s="234"/>
      <c r="N13" s="234"/>
      <c r="O13" s="234"/>
      <c r="P13" s="234"/>
      <c r="Q13" s="234"/>
      <c r="R13" s="234"/>
      <c r="S13" s="235"/>
      <c r="T13" s="235"/>
      <c r="U13" s="235"/>
      <c r="V13" s="235"/>
      <c r="W13" s="235"/>
      <c r="X13" s="235"/>
      <c r="Y13" s="235"/>
      <c r="Z13" s="235"/>
      <c r="AA13" s="235"/>
      <c r="AB13" s="235"/>
    </row>
    <row r="14" spans="2:28" ht="23.45" customHeight="1" x14ac:dyDescent="0.25">
      <c r="B14" s="236" t="s">
        <v>929</v>
      </c>
      <c r="C14" s="234"/>
      <c r="D14" s="234"/>
      <c r="E14" s="234"/>
      <c r="F14" s="234"/>
      <c r="G14" s="234"/>
      <c r="H14" s="234"/>
      <c r="I14" s="234"/>
      <c r="J14" s="234"/>
      <c r="K14" s="234"/>
      <c r="L14" s="234"/>
      <c r="M14" s="234"/>
      <c r="N14" s="234"/>
      <c r="O14" s="234"/>
      <c r="P14" s="234"/>
      <c r="Q14" s="234"/>
      <c r="R14" s="234"/>
      <c r="S14" s="235"/>
      <c r="T14" s="235"/>
      <c r="U14" s="235"/>
      <c r="V14" s="235"/>
      <c r="W14" s="235"/>
      <c r="X14" s="235"/>
      <c r="Y14" s="235"/>
      <c r="Z14" s="235"/>
      <c r="AA14" s="235"/>
      <c r="AB14" s="235"/>
    </row>
    <row r="15" spans="2:28" ht="23.45" customHeight="1" x14ac:dyDescent="0.25">
      <c r="B15" s="359" t="s">
        <v>931</v>
      </c>
      <c r="C15" s="234"/>
      <c r="D15" s="234"/>
      <c r="E15" s="234"/>
      <c r="F15" s="234"/>
      <c r="G15" s="234"/>
      <c r="H15" s="234"/>
      <c r="I15" s="234"/>
      <c r="J15" s="234"/>
      <c r="K15" s="234"/>
      <c r="L15" s="234"/>
      <c r="M15" s="234"/>
      <c r="N15" s="234"/>
      <c r="O15" s="234"/>
      <c r="P15" s="234"/>
      <c r="Q15" s="234"/>
      <c r="R15" s="234"/>
      <c r="S15" s="235"/>
      <c r="T15" s="235"/>
      <c r="U15" s="235"/>
      <c r="V15" s="235"/>
      <c r="W15" s="235"/>
      <c r="X15" s="235"/>
      <c r="Y15" s="235"/>
      <c r="Z15" s="235"/>
      <c r="AA15" s="235"/>
      <c r="AB15" s="235"/>
    </row>
    <row r="16" spans="2:28" ht="23.45" customHeight="1" x14ac:dyDescent="0.25">
      <c r="B16" s="236" t="s">
        <v>930</v>
      </c>
      <c r="C16" s="234"/>
      <c r="D16" s="234"/>
      <c r="E16" s="234"/>
      <c r="F16" s="234"/>
      <c r="G16" s="234"/>
      <c r="H16" s="234"/>
      <c r="I16" s="234"/>
      <c r="J16" s="234"/>
      <c r="K16" s="234"/>
      <c r="L16" s="234"/>
      <c r="M16" s="234"/>
      <c r="N16" s="234"/>
      <c r="O16" s="234"/>
      <c r="P16" s="234"/>
      <c r="Q16" s="234"/>
      <c r="R16" s="234"/>
      <c r="S16" s="235"/>
      <c r="T16" s="235"/>
      <c r="U16" s="235"/>
      <c r="V16" s="235"/>
      <c r="W16" s="235"/>
      <c r="X16" s="235"/>
      <c r="Y16" s="235"/>
      <c r="Z16" s="235"/>
      <c r="AA16" s="235"/>
      <c r="AB16" s="235"/>
    </row>
    <row r="17" spans="1:28" ht="23.45" customHeight="1" x14ac:dyDescent="0.25">
      <c r="B17" s="359" t="s">
        <v>1134</v>
      </c>
      <c r="C17" s="234"/>
      <c r="D17" s="234"/>
      <c r="E17" s="234"/>
      <c r="F17" s="234"/>
      <c r="G17" s="234"/>
      <c r="H17" s="234"/>
      <c r="I17" s="234"/>
      <c r="J17" s="234"/>
      <c r="K17" s="234"/>
      <c r="L17" s="234"/>
      <c r="M17" s="234"/>
      <c r="N17" s="234"/>
      <c r="O17" s="234"/>
      <c r="P17" s="234"/>
      <c r="Q17" s="234"/>
      <c r="R17" s="234"/>
      <c r="S17" s="235"/>
      <c r="T17" s="235"/>
      <c r="U17" s="235"/>
      <c r="V17" s="235"/>
      <c r="W17" s="235"/>
      <c r="X17" s="235"/>
      <c r="Y17" s="235"/>
      <c r="Z17" s="235"/>
      <c r="AA17" s="235"/>
      <c r="AB17" s="235"/>
    </row>
    <row r="18" spans="1:28" ht="15.6" customHeight="1" x14ac:dyDescent="0.25">
      <c r="C18" s="244"/>
      <c r="D18" s="244"/>
      <c r="E18" s="244"/>
      <c r="F18" s="244"/>
      <c r="G18" s="244"/>
      <c r="H18" s="244"/>
      <c r="I18" s="244"/>
      <c r="J18" s="244"/>
      <c r="K18" s="244"/>
      <c r="L18" s="244"/>
      <c r="M18" s="244"/>
      <c r="N18" s="244"/>
      <c r="O18" s="244"/>
      <c r="P18" s="244"/>
      <c r="Q18" s="244"/>
      <c r="R18" s="244"/>
      <c r="S18" s="244"/>
      <c r="T18" s="244"/>
    </row>
    <row r="19" spans="1:28" s="332" customFormat="1" ht="30" customHeight="1" x14ac:dyDescent="0.25">
      <c r="B19" s="231" t="s">
        <v>929</v>
      </c>
    </row>
    <row r="20" spans="1:28" x14ac:dyDescent="0.25"/>
    <row r="21" spans="1:28" ht="24.6" customHeight="1" x14ac:dyDescent="0.25">
      <c r="B21" s="237" t="s">
        <v>0</v>
      </c>
      <c r="C21" s="238"/>
      <c r="D21" s="238"/>
      <c r="E21" s="238"/>
      <c r="F21" s="238"/>
      <c r="G21" s="238"/>
      <c r="H21" s="238"/>
      <c r="I21" s="238"/>
      <c r="J21" s="238"/>
      <c r="K21" s="239"/>
      <c r="L21" s="239"/>
      <c r="M21" s="239"/>
      <c r="N21" s="239"/>
      <c r="O21" s="239"/>
      <c r="P21" s="239"/>
      <c r="Q21" s="239"/>
      <c r="R21" s="239"/>
      <c r="S21" s="239"/>
      <c r="T21" s="239"/>
      <c r="U21" s="239"/>
      <c r="V21" s="239"/>
      <c r="W21" s="239"/>
      <c r="X21" s="239"/>
      <c r="Y21" s="239"/>
      <c r="Z21" s="239"/>
      <c r="AA21" s="239"/>
      <c r="AB21" s="239"/>
    </row>
    <row r="22" spans="1:28" x14ac:dyDescent="0.25">
      <c r="B22" s="245" t="s">
        <v>935</v>
      </c>
      <c r="C22" s="169"/>
      <c r="D22" s="169"/>
      <c r="E22" s="169"/>
      <c r="F22" s="169"/>
      <c r="G22" s="169"/>
      <c r="H22" s="169"/>
      <c r="I22" s="169"/>
      <c r="J22" s="169"/>
    </row>
    <row r="23" spans="1:28" ht="16.899999999999999" customHeight="1" x14ac:dyDescent="0.25">
      <c r="B23" s="246" t="s">
        <v>960</v>
      </c>
      <c r="C23" s="238"/>
      <c r="D23" s="238"/>
      <c r="E23" s="238"/>
      <c r="F23" s="238"/>
      <c r="G23" s="238"/>
      <c r="H23" s="238"/>
      <c r="I23" s="238"/>
      <c r="J23" s="238"/>
      <c r="K23" s="239"/>
      <c r="L23" s="239"/>
      <c r="M23" s="239"/>
      <c r="N23" s="239"/>
      <c r="O23" s="239"/>
      <c r="P23" s="239"/>
      <c r="Q23" s="239"/>
      <c r="R23" s="239"/>
      <c r="S23" s="239"/>
      <c r="T23" s="239"/>
      <c r="U23" s="239"/>
      <c r="V23" s="239"/>
      <c r="W23" s="239"/>
      <c r="X23" s="239"/>
      <c r="Y23" s="239"/>
      <c r="Z23" s="239"/>
      <c r="AA23" s="239"/>
      <c r="AB23" s="239"/>
    </row>
    <row r="24" spans="1:28" ht="19.149999999999999" customHeight="1" x14ac:dyDescent="0.25">
      <c r="B24" s="246" t="s">
        <v>937</v>
      </c>
      <c r="C24" s="238"/>
      <c r="D24" s="238"/>
      <c r="E24" s="238"/>
      <c r="F24" s="238"/>
      <c r="G24" s="238"/>
      <c r="H24" s="238"/>
      <c r="I24" s="238"/>
      <c r="J24" s="238"/>
      <c r="K24" s="239"/>
      <c r="L24" s="239"/>
      <c r="M24" s="239"/>
      <c r="N24" s="239"/>
      <c r="O24" s="239"/>
      <c r="P24" s="239"/>
      <c r="Q24" s="239"/>
      <c r="R24" s="239"/>
      <c r="S24" s="239"/>
      <c r="T24" s="239"/>
      <c r="U24" s="239"/>
      <c r="V24" s="239"/>
      <c r="W24" s="239"/>
      <c r="X24" s="239"/>
      <c r="Y24" s="239"/>
      <c r="Z24" s="239"/>
      <c r="AA24" s="239"/>
      <c r="AB24" s="239"/>
    </row>
    <row r="25" spans="1:28" x14ac:dyDescent="0.25">
      <c r="B25" s="245" t="s">
        <v>938</v>
      </c>
      <c r="C25" s="238"/>
      <c r="D25" s="238"/>
      <c r="E25" s="238"/>
      <c r="F25" s="238"/>
      <c r="G25" s="238"/>
      <c r="H25" s="238"/>
      <c r="I25" s="238"/>
      <c r="J25" s="238"/>
      <c r="K25" s="239"/>
      <c r="L25" s="239"/>
      <c r="M25" s="239"/>
      <c r="N25" s="239"/>
      <c r="O25" s="239"/>
      <c r="P25" s="239"/>
      <c r="Q25" s="239"/>
      <c r="R25" s="239"/>
      <c r="S25" s="239"/>
      <c r="T25" s="239"/>
      <c r="U25" s="239"/>
      <c r="V25" s="239"/>
      <c r="W25" s="239"/>
      <c r="X25" s="239"/>
      <c r="Y25" s="239"/>
      <c r="Z25" s="239"/>
      <c r="AA25" s="239"/>
      <c r="AB25" s="239"/>
    </row>
    <row r="26" spans="1:28" x14ac:dyDescent="0.25"/>
    <row r="27" spans="1:28" x14ac:dyDescent="0.25">
      <c r="B27" s="166" t="s">
        <v>939</v>
      </c>
    </row>
    <row r="28" spans="1:28" ht="84" customHeight="1" x14ac:dyDescent="0.25">
      <c r="A28" s="240"/>
      <c r="B28" s="174" t="s">
        <v>621</v>
      </c>
      <c r="C28" s="174" t="s">
        <v>934</v>
      </c>
      <c r="D28" s="174" t="s">
        <v>933</v>
      </c>
      <c r="E28" s="174" t="s">
        <v>932</v>
      </c>
      <c r="F28" s="174" t="s">
        <v>1120</v>
      </c>
      <c r="G28" s="174" t="s">
        <v>1133</v>
      </c>
      <c r="H28" s="174" t="s">
        <v>497</v>
      </c>
      <c r="I28" s="174" t="s">
        <v>1118</v>
      </c>
      <c r="J28" s="174" t="s">
        <v>1119</v>
      </c>
    </row>
    <row r="29" spans="1:28" s="342" customFormat="1" x14ac:dyDescent="0.25">
      <c r="A29" s="242" t="s">
        <v>36</v>
      </c>
      <c r="B29" s="340" t="s">
        <v>33</v>
      </c>
      <c r="C29" s="340">
        <v>2030</v>
      </c>
      <c r="D29" s="541">
        <v>5000</v>
      </c>
      <c r="E29" s="338">
        <v>1.9287953057302389E-2</v>
      </c>
      <c r="F29" s="338">
        <v>96.439765286511943</v>
      </c>
      <c r="G29" s="341">
        <v>10</v>
      </c>
      <c r="H29" s="341">
        <v>2040</v>
      </c>
      <c r="I29" s="338">
        <v>1.9287953057302389E-2</v>
      </c>
      <c r="J29" s="338">
        <v>96.439765286511943</v>
      </c>
    </row>
    <row r="30" spans="1:28" x14ac:dyDescent="0.25">
      <c r="B30" s="278"/>
      <c r="C30" s="374"/>
      <c r="D30" s="542"/>
      <c r="E30" s="360" t="str">
        <f>IF(C30="","",IF(C30&gt;'Fatores de Emissão'!#REF!,'Fatores de Emissão'!#REF!,VLOOKUP(C30,'Fatores de Emissão'!#REF!,5,FALSE)))</f>
        <v/>
      </c>
      <c r="F30" s="360" t="str">
        <f>IF(D30&lt;&gt;"",(D30*E30),"")</f>
        <v/>
      </c>
      <c r="G30" s="361" t="str">
        <f>IFERROR(H30-C30,"")</f>
        <v/>
      </c>
      <c r="H30" s="361" t="str">
        <f>IFERROR(IF(VLOOKUP(B30,Identificação!#REF!,3,FALSE)="",VLOOKUP(B30,Identificação!#REF!,2,FALSE)+VLOOKUP('Emissões Evitadas'!B30,'Fatores de Emissão'!#REF!,3,FALSE),VLOOKUP(B30,Identificação!#REF!,2,FALSE)+VLOOKUP(B30,Identificação!#REF!,3,FALSE)),"")</f>
        <v/>
      </c>
      <c r="I30" s="360" t="str">
        <f>IFERROR(IF(H30&gt;'Fatores de Emissão'!#REF!, (E30+'Fatores de Emissão'!#REF!)/2, (E30+VLOOKUP(H30,'Fatores de Emissão'!#REF!,5,FALSE))/2),"")</f>
        <v/>
      </c>
      <c r="J30" s="360" t="str">
        <f>IF(I30="","",I30*D30)</f>
        <v/>
      </c>
    </row>
    <row r="31" spans="1:28" x14ac:dyDescent="0.25">
      <c r="B31" s="278"/>
      <c r="C31" s="374"/>
      <c r="D31" s="542"/>
      <c r="E31" s="360" t="str">
        <f>IF(C31="","",IF(C31&gt;'Fatores de Emissão'!#REF!,'Fatores de Emissão'!#REF!,VLOOKUP(C31,'Fatores de Emissão'!#REF!,5,FALSE)))</f>
        <v/>
      </c>
      <c r="F31" s="360" t="str">
        <f t="shared" ref="F31:F94" si="0">IF(D31&lt;&gt;"",(D31*E31),"")</f>
        <v/>
      </c>
      <c r="G31" s="361" t="str">
        <f t="shared" ref="G31:G94" si="1">IFERROR(H31-C31,"")</f>
        <v/>
      </c>
      <c r="H31" s="361" t="str">
        <f>IFERROR(IF(VLOOKUP(B31,Identificação!#REF!,3,FALSE)="",VLOOKUP(B31,Identificação!#REF!,2,FALSE)+VLOOKUP('Emissões Evitadas'!B31,'Fatores de Emissão'!#REF!,3,FALSE),VLOOKUP(B31,Identificação!#REF!,2,FALSE)+VLOOKUP(B31,Identificação!#REF!,3,FALSE)),"")</f>
        <v/>
      </c>
      <c r="I31" s="360" t="str">
        <f>IFERROR(IF(H31&gt;'Fatores de Emissão'!#REF!, (E31+'Fatores de Emissão'!#REF!)/2, (E31+VLOOKUP(H31,'Fatores de Emissão'!#REF!,5,FALSE))/2),"")</f>
        <v/>
      </c>
      <c r="J31" s="360" t="str">
        <f t="shared" ref="J31:J94" si="2">IF(I31="","",I31*D31)</f>
        <v/>
      </c>
    </row>
    <row r="32" spans="1:28" x14ac:dyDescent="0.25">
      <c r="B32" s="278"/>
      <c r="C32" s="374"/>
      <c r="D32" s="542"/>
      <c r="E32" s="360" t="str">
        <f>IF(C32="","",IF(C32&gt;'Fatores de Emissão'!#REF!,'Fatores de Emissão'!#REF!,VLOOKUP(C32,'Fatores de Emissão'!#REF!,5,FALSE)))</f>
        <v/>
      </c>
      <c r="F32" s="360" t="str">
        <f t="shared" si="0"/>
        <v/>
      </c>
      <c r="G32" s="361" t="str">
        <f t="shared" si="1"/>
        <v/>
      </c>
      <c r="H32" s="361" t="str">
        <f>IFERROR(IF(VLOOKUP(B32,Identificação!#REF!,3,FALSE)="",VLOOKUP(B32,Identificação!#REF!,2,FALSE)+VLOOKUP('Emissões Evitadas'!B32,'Fatores de Emissão'!#REF!,3,FALSE),VLOOKUP(B32,Identificação!#REF!,2,FALSE)+VLOOKUP(B32,Identificação!#REF!,3,FALSE)),"")</f>
        <v/>
      </c>
      <c r="I32" s="360" t="str">
        <f>IFERROR(IF(H32&gt;'Fatores de Emissão'!#REF!, (E32+'Fatores de Emissão'!#REF!)/2, (E32+VLOOKUP(H32,'Fatores de Emissão'!#REF!,5,FALSE))/2),"")</f>
        <v/>
      </c>
      <c r="J32" s="360" t="str">
        <f t="shared" si="2"/>
        <v/>
      </c>
    </row>
    <row r="33" spans="2:10" x14ac:dyDescent="0.25">
      <c r="B33" s="278"/>
      <c r="C33" s="374"/>
      <c r="D33" s="542"/>
      <c r="E33" s="360" t="str">
        <f>IF(C33="","",IF(C33&gt;'Fatores de Emissão'!#REF!,'Fatores de Emissão'!#REF!,VLOOKUP(C33,'Fatores de Emissão'!#REF!,5,FALSE)))</f>
        <v/>
      </c>
      <c r="F33" s="360" t="str">
        <f t="shared" si="0"/>
        <v/>
      </c>
      <c r="G33" s="361" t="str">
        <f t="shared" si="1"/>
        <v/>
      </c>
      <c r="H33" s="361" t="str">
        <f>IFERROR(IF(VLOOKUP(B33,Identificação!#REF!,3,FALSE)="",VLOOKUP(B33,Identificação!#REF!,2,FALSE)+VLOOKUP('Emissões Evitadas'!B33,'Fatores de Emissão'!#REF!,3,FALSE),VLOOKUP(B33,Identificação!#REF!,2,FALSE)+VLOOKUP(B33,Identificação!#REF!,3,FALSE)),"")</f>
        <v/>
      </c>
      <c r="I33" s="360" t="str">
        <f>IFERROR(IF(H33&gt;'Fatores de Emissão'!#REF!, (E33+'Fatores de Emissão'!#REF!)/2, (E33+VLOOKUP(H33,'Fatores de Emissão'!#REF!,5,FALSE))/2),"")</f>
        <v/>
      </c>
      <c r="J33" s="360" t="str">
        <f t="shared" si="2"/>
        <v/>
      </c>
    </row>
    <row r="34" spans="2:10" x14ac:dyDescent="0.25">
      <c r="B34" s="278"/>
      <c r="C34" s="374"/>
      <c r="D34" s="542"/>
      <c r="E34" s="360" t="str">
        <f>IF(C34="","",IF(C34&gt;'Fatores de Emissão'!#REF!,'Fatores de Emissão'!#REF!,VLOOKUP(C34,'Fatores de Emissão'!#REF!,5,FALSE)))</f>
        <v/>
      </c>
      <c r="F34" s="360" t="str">
        <f t="shared" si="0"/>
        <v/>
      </c>
      <c r="G34" s="361" t="str">
        <f t="shared" si="1"/>
        <v/>
      </c>
      <c r="H34" s="361" t="str">
        <f>IFERROR(IF(VLOOKUP(B34,Identificação!#REF!,3,FALSE)="",VLOOKUP(B34,Identificação!#REF!,2,FALSE)+VLOOKUP('Emissões Evitadas'!B34,'Fatores de Emissão'!#REF!,3,FALSE),VLOOKUP(B34,Identificação!#REF!,2,FALSE)+VLOOKUP(B34,Identificação!#REF!,3,FALSE)),"")</f>
        <v/>
      </c>
      <c r="I34" s="360" t="str">
        <f>IFERROR(IF(H34&gt;'Fatores de Emissão'!#REF!, (E34+'Fatores de Emissão'!#REF!)/2, (E34+VLOOKUP(H34,'Fatores de Emissão'!#REF!,5,FALSE))/2),"")</f>
        <v/>
      </c>
      <c r="J34" s="360" t="str">
        <f t="shared" si="2"/>
        <v/>
      </c>
    </row>
    <row r="35" spans="2:10" x14ac:dyDescent="0.25">
      <c r="B35" s="278"/>
      <c r="C35" s="374"/>
      <c r="D35" s="542"/>
      <c r="E35" s="360" t="str">
        <f>IF(C35="","",IF(C35&gt;'Fatores de Emissão'!#REF!,'Fatores de Emissão'!#REF!,VLOOKUP(C35,'Fatores de Emissão'!#REF!,5,FALSE)))</f>
        <v/>
      </c>
      <c r="F35" s="360" t="str">
        <f t="shared" si="0"/>
        <v/>
      </c>
      <c r="G35" s="361" t="str">
        <f t="shared" si="1"/>
        <v/>
      </c>
      <c r="H35" s="361" t="str">
        <f>IFERROR(IF(VLOOKUP(B35,Identificação!#REF!,3,FALSE)="",VLOOKUP(B35,Identificação!#REF!,2,FALSE)+VLOOKUP('Emissões Evitadas'!B35,'Fatores de Emissão'!#REF!,3,FALSE),VLOOKUP(B35,Identificação!#REF!,2,FALSE)+VLOOKUP(B35,Identificação!#REF!,3,FALSE)),"")</f>
        <v/>
      </c>
      <c r="I35" s="360" t="str">
        <f>IFERROR(IF(H35&gt;'Fatores de Emissão'!#REF!, (E35+'Fatores de Emissão'!#REF!)/2, (E35+VLOOKUP(H35,'Fatores de Emissão'!#REF!,5,FALSE))/2),"")</f>
        <v/>
      </c>
      <c r="J35" s="360" t="str">
        <f t="shared" si="2"/>
        <v/>
      </c>
    </row>
    <row r="36" spans="2:10" x14ac:dyDescent="0.25">
      <c r="B36" s="278"/>
      <c r="C36" s="374"/>
      <c r="D36" s="542"/>
      <c r="E36" s="360" t="str">
        <f>IF(C36="","",IF(C36&gt;'Fatores de Emissão'!#REF!,'Fatores de Emissão'!#REF!,VLOOKUP(C36,'Fatores de Emissão'!#REF!,5,FALSE)))</f>
        <v/>
      </c>
      <c r="F36" s="360" t="str">
        <f t="shared" si="0"/>
        <v/>
      </c>
      <c r="G36" s="361" t="str">
        <f t="shared" si="1"/>
        <v/>
      </c>
      <c r="H36" s="361" t="str">
        <f>IFERROR(IF(VLOOKUP(B36,Identificação!#REF!,3,FALSE)="",VLOOKUP(B36,Identificação!#REF!,2,FALSE)+VLOOKUP('Emissões Evitadas'!B36,'Fatores de Emissão'!#REF!,3,FALSE),VLOOKUP(B36,Identificação!#REF!,2,FALSE)+VLOOKUP(B36,Identificação!#REF!,3,FALSE)),"")</f>
        <v/>
      </c>
      <c r="I36" s="360" t="str">
        <f>IFERROR(IF(H36&gt;'Fatores de Emissão'!#REF!, (E36+'Fatores de Emissão'!#REF!)/2, (E36+VLOOKUP(H36,'Fatores de Emissão'!#REF!,5,FALSE))/2),"")</f>
        <v/>
      </c>
      <c r="J36" s="360" t="str">
        <f t="shared" si="2"/>
        <v/>
      </c>
    </row>
    <row r="37" spans="2:10" x14ac:dyDescent="0.25">
      <c r="B37" s="278"/>
      <c r="C37" s="374"/>
      <c r="D37" s="542"/>
      <c r="E37" s="360" t="str">
        <f>IF(C37="","",IF(C37&gt;'Fatores de Emissão'!#REF!,'Fatores de Emissão'!#REF!,VLOOKUP(C37,'Fatores de Emissão'!#REF!,5,FALSE)))</f>
        <v/>
      </c>
      <c r="F37" s="360" t="str">
        <f t="shared" si="0"/>
        <v/>
      </c>
      <c r="G37" s="361" t="str">
        <f t="shared" si="1"/>
        <v/>
      </c>
      <c r="H37" s="361" t="str">
        <f>IFERROR(IF(VLOOKUP(B37,Identificação!#REF!,3,FALSE)="",VLOOKUP(B37,Identificação!#REF!,2,FALSE)+VLOOKUP('Emissões Evitadas'!B37,'Fatores de Emissão'!#REF!,3,FALSE),VLOOKUP(B37,Identificação!#REF!,2,FALSE)+VLOOKUP(B37,Identificação!#REF!,3,FALSE)),"")</f>
        <v/>
      </c>
      <c r="I37" s="360" t="str">
        <f>IFERROR(IF(H37&gt;'Fatores de Emissão'!#REF!, (E37+'Fatores de Emissão'!#REF!)/2, (E37+VLOOKUP(H37,'Fatores de Emissão'!#REF!,5,FALSE))/2),"")</f>
        <v/>
      </c>
      <c r="J37" s="360" t="str">
        <f t="shared" si="2"/>
        <v/>
      </c>
    </row>
    <row r="38" spans="2:10" x14ac:dyDescent="0.25">
      <c r="B38" s="278"/>
      <c r="C38" s="374"/>
      <c r="D38" s="542"/>
      <c r="E38" s="360" t="str">
        <f>IF(C38="","",IF(C38&gt;'Fatores de Emissão'!#REF!,'Fatores de Emissão'!#REF!,VLOOKUP(C38,'Fatores de Emissão'!#REF!,5,FALSE)))</f>
        <v/>
      </c>
      <c r="F38" s="360" t="str">
        <f t="shared" si="0"/>
        <v/>
      </c>
      <c r="G38" s="361" t="str">
        <f t="shared" si="1"/>
        <v/>
      </c>
      <c r="H38" s="361" t="str">
        <f>IFERROR(IF(VLOOKUP(B38,Identificação!#REF!,3,FALSE)="",VLOOKUP(B38,Identificação!#REF!,2,FALSE)+VLOOKUP('Emissões Evitadas'!B38,'Fatores de Emissão'!#REF!,3,FALSE),VLOOKUP(B38,Identificação!#REF!,2,FALSE)+VLOOKUP(B38,Identificação!#REF!,3,FALSE)),"")</f>
        <v/>
      </c>
      <c r="I38" s="360" t="str">
        <f>IFERROR(IF(H38&gt;'Fatores de Emissão'!#REF!, (E38+'Fatores de Emissão'!#REF!)/2, (E38+VLOOKUP(H38,'Fatores de Emissão'!#REF!,5,FALSE))/2),"")</f>
        <v/>
      </c>
      <c r="J38" s="360" t="str">
        <f t="shared" si="2"/>
        <v/>
      </c>
    </row>
    <row r="39" spans="2:10" x14ac:dyDescent="0.25">
      <c r="B39" s="278"/>
      <c r="C39" s="374"/>
      <c r="D39" s="542"/>
      <c r="E39" s="360" t="str">
        <f>IF(C39="","",IF(C39&gt;'Fatores de Emissão'!#REF!,'Fatores de Emissão'!#REF!,VLOOKUP(C39,'Fatores de Emissão'!#REF!,5,FALSE)))</f>
        <v/>
      </c>
      <c r="F39" s="360" t="str">
        <f t="shared" si="0"/>
        <v/>
      </c>
      <c r="G39" s="361" t="str">
        <f t="shared" si="1"/>
        <v/>
      </c>
      <c r="H39" s="361" t="str">
        <f>IFERROR(IF(VLOOKUP(B39,Identificação!#REF!,3,FALSE)="",VLOOKUP(B39,Identificação!#REF!,2,FALSE)+VLOOKUP('Emissões Evitadas'!B39,'Fatores de Emissão'!#REF!,3,FALSE),VLOOKUP(B39,Identificação!#REF!,2,FALSE)+VLOOKUP(B39,Identificação!#REF!,3,FALSE)),"")</f>
        <v/>
      </c>
      <c r="I39" s="360" t="str">
        <f>IFERROR(IF(H39&gt;'Fatores de Emissão'!#REF!, (E39+'Fatores de Emissão'!#REF!)/2, (E39+VLOOKUP(H39,'Fatores de Emissão'!#REF!,5,FALSE))/2),"")</f>
        <v/>
      </c>
      <c r="J39" s="360" t="str">
        <f t="shared" si="2"/>
        <v/>
      </c>
    </row>
    <row r="40" spans="2:10" x14ac:dyDescent="0.25">
      <c r="B40" s="278"/>
      <c r="C40" s="374"/>
      <c r="D40" s="542"/>
      <c r="E40" s="360" t="str">
        <f>IF(C40="","",IF(C40&gt;'Fatores de Emissão'!#REF!,'Fatores de Emissão'!#REF!,VLOOKUP(C40,'Fatores de Emissão'!#REF!,5,FALSE)))</f>
        <v/>
      </c>
      <c r="F40" s="360" t="str">
        <f t="shared" si="0"/>
        <v/>
      </c>
      <c r="G40" s="361" t="str">
        <f t="shared" si="1"/>
        <v/>
      </c>
      <c r="H40" s="361" t="str">
        <f>IFERROR(IF(VLOOKUP(B40,Identificação!#REF!,3,FALSE)="",VLOOKUP(B40,Identificação!#REF!,2,FALSE)+VLOOKUP('Emissões Evitadas'!B40,'Fatores de Emissão'!#REF!,3,FALSE),VLOOKUP(B40,Identificação!#REF!,2,FALSE)+VLOOKUP(B40,Identificação!#REF!,3,FALSE)),"")</f>
        <v/>
      </c>
      <c r="I40" s="360" t="str">
        <f>IFERROR(IF(H40&gt;'Fatores de Emissão'!#REF!, (E40+'Fatores de Emissão'!#REF!)/2, (E40+VLOOKUP(H40,'Fatores de Emissão'!#REF!,5,FALSE))/2),"")</f>
        <v/>
      </c>
      <c r="J40" s="360" t="str">
        <f t="shared" si="2"/>
        <v/>
      </c>
    </row>
    <row r="41" spans="2:10" hidden="1" outlineLevel="1" x14ac:dyDescent="0.25">
      <c r="B41" s="278"/>
      <c r="C41" s="374"/>
      <c r="D41" s="542"/>
      <c r="E41" s="360" t="str">
        <f>IF(C41="","",IF(C41&gt;'Fatores de Emissão'!#REF!,'Fatores de Emissão'!#REF!,VLOOKUP(C41,'Fatores de Emissão'!#REF!,5,FALSE)))</f>
        <v/>
      </c>
      <c r="F41" s="360" t="str">
        <f t="shared" si="0"/>
        <v/>
      </c>
      <c r="G41" s="361" t="str">
        <f t="shared" si="1"/>
        <v/>
      </c>
      <c r="H41" s="361" t="str">
        <f>IFERROR(IF(VLOOKUP(B41,Identificação!#REF!,3,FALSE)="",VLOOKUP(B41,Identificação!#REF!,2,FALSE)+VLOOKUP('Emissões Evitadas'!B41,'Fatores de Emissão'!#REF!,3,FALSE),VLOOKUP(B41,Identificação!#REF!,2,FALSE)+VLOOKUP(B41,Identificação!#REF!,3,FALSE)),"")</f>
        <v/>
      </c>
      <c r="I41" s="360" t="str">
        <f>IFERROR(IF(H41&gt;'Fatores de Emissão'!#REF!, (E41+'Fatores de Emissão'!#REF!)/2, (E41+VLOOKUP(H41,'Fatores de Emissão'!#REF!,5,FALSE))/2),"")</f>
        <v/>
      </c>
      <c r="J41" s="360" t="str">
        <f t="shared" si="2"/>
        <v/>
      </c>
    </row>
    <row r="42" spans="2:10" hidden="1" outlineLevel="1" x14ac:dyDescent="0.25">
      <c r="B42" s="278"/>
      <c r="C42" s="374"/>
      <c r="D42" s="542"/>
      <c r="E42" s="360" t="str">
        <f>IF(C42="","",IF(C42&gt;'Fatores de Emissão'!#REF!,'Fatores de Emissão'!#REF!,VLOOKUP(C42,'Fatores de Emissão'!#REF!,5,FALSE)))</f>
        <v/>
      </c>
      <c r="F42" s="360" t="str">
        <f t="shared" si="0"/>
        <v/>
      </c>
      <c r="G42" s="361" t="str">
        <f t="shared" si="1"/>
        <v/>
      </c>
      <c r="H42" s="361" t="str">
        <f>IFERROR(IF(VLOOKUP(B42,Identificação!#REF!,3,FALSE)="",VLOOKUP(B42,Identificação!#REF!,2,FALSE)+VLOOKUP('Emissões Evitadas'!B42,'Fatores de Emissão'!#REF!,3,FALSE),VLOOKUP(B42,Identificação!#REF!,2,FALSE)+VLOOKUP(B42,Identificação!#REF!,3,FALSE)),"")</f>
        <v/>
      </c>
      <c r="I42" s="360" t="str">
        <f>IFERROR(IF(H42&gt;'Fatores de Emissão'!#REF!, (E42+'Fatores de Emissão'!#REF!)/2, (E42+VLOOKUP(H42,'Fatores de Emissão'!#REF!,5,FALSE))/2),"")</f>
        <v/>
      </c>
      <c r="J42" s="360" t="str">
        <f t="shared" si="2"/>
        <v/>
      </c>
    </row>
    <row r="43" spans="2:10" hidden="1" outlineLevel="1" x14ac:dyDescent="0.25">
      <c r="B43" s="278"/>
      <c r="C43" s="374"/>
      <c r="D43" s="542"/>
      <c r="E43" s="360" t="str">
        <f>IF(C43="","",IF(C43&gt;'Fatores de Emissão'!#REF!,'Fatores de Emissão'!#REF!,VLOOKUP(C43,'Fatores de Emissão'!#REF!,5,FALSE)))</f>
        <v/>
      </c>
      <c r="F43" s="360" t="str">
        <f t="shared" si="0"/>
        <v/>
      </c>
      <c r="G43" s="361" t="str">
        <f t="shared" si="1"/>
        <v/>
      </c>
      <c r="H43" s="361" t="str">
        <f>IFERROR(IF(VLOOKUP(B43,Identificação!#REF!,3,FALSE)="",VLOOKUP(B43,Identificação!#REF!,2,FALSE)+VLOOKUP('Emissões Evitadas'!B43,'Fatores de Emissão'!#REF!,3,FALSE),VLOOKUP(B43,Identificação!#REF!,2,FALSE)+VLOOKUP(B43,Identificação!#REF!,3,FALSE)),"")</f>
        <v/>
      </c>
      <c r="I43" s="360" t="str">
        <f>IFERROR(IF(H43&gt;'Fatores de Emissão'!#REF!, (E43+'Fatores de Emissão'!#REF!)/2, (E43+VLOOKUP(H43,'Fatores de Emissão'!#REF!,5,FALSE))/2),"")</f>
        <v/>
      </c>
      <c r="J43" s="360" t="str">
        <f t="shared" si="2"/>
        <v/>
      </c>
    </row>
    <row r="44" spans="2:10" hidden="1" outlineLevel="1" x14ac:dyDescent="0.25">
      <c r="B44" s="278"/>
      <c r="C44" s="374"/>
      <c r="D44" s="542"/>
      <c r="E44" s="360" t="str">
        <f>IF(C44="","",IF(C44&gt;'Fatores de Emissão'!#REF!,'Fatores de Emissão'!#REF!,VLOOKUP(C44,'Fatores de Emissão'!#REF!,5,FALSE)))</f>
        <v/>
      </c>
      <c r="F44" s="360" t="str">
        <f t="shared" si="0"/>
        <v/>
      </c>
      <c r="G44" s="361" t="str">
        <f t="shared" si="1"/>
        <v/>
      </c>
      <c r="H44" s="361" t="str">
        <f>IFERROR(IF(VLOOKUP(B44,Identificação!#REF!,3,FALSE)="",VLOOKUP(B44,Identificação!#REF!,2,FALSE)+VLOOKUP('Emissões Evitadas'!B44,'Fatores de Emissão'!#REF!,3,FALSE),VLOOKUP(B44,Identificação!#REF!,2,FALSE)+VLOOKUP(B44,Identificação!#REF!,3,FALSE)),"")</f>
        <v/>
      </c>
      <c r="I44" s="360" t="str">
        <f>IFERROR(IF(H44&gt;'Fatores de Emissão'!#REF!, (E44+'Fatores de Emissão'!#REF!)/2, (E44+VLOOKUP(H44,'Fatores de Emissão'!#REF!,5,FALSE))/2),"")</f>
        <v/>
      </c>
      <c r="J44" s="360" t="str">
        <f t="shared" si="2"/>
        <v/>
      </c>
    </row>
    <row r="45" spans="2:10" hidden="1" outlineLevel="1" x14ac:dyDescent="0.25">
      <c r="B45" s="278"/>
      <c r="C45" s="374"/>
      <c r="D45" s="542"/>
      <c r="E45" s="360" t="str">
        <f>IF(C45="","",IF(C45&gt;'Fatores de Emissão'!#REF!,'Fatores de Emissão'!#REF!,VLOOKUP(C45,'Fatores de Emissão'!#REF!,5,FALSE)))</f>
        <v/>
      </c>
      <c r="F45" s="360" t="str">
        <f t="shared" si="0"/>
        <v/>
      </c>
      <c r="G45" s="361" t="str">
        <f t="shared" si="1"/>
        <v/>
      </c>
      <c r="H45" s="361" t="str">
        <f>IFERROR(IF(VLOOKUP(B45,Identificação!#REF!,3,FALSE)="",VLOOKUP(B45,Identificação!#REF!,2,FALSE)+VLOOKUP('Emissões Evitadas'!B45,'Fatores de Emissão'!#REF!,3,FALSE),VLOOKUP(B45,Identificação!#REF!,2,FALSE)+VLOOKUP(B45,Identificação!#REF!,3,FALSE)),"")</f>
        <v/>
      </c>
      <c r="I45" s="360" t="str">
        <f>IFERROR(IF(H45&gt;'Fatores de Emissão'!#REF!, (E45+'Fatores de Emissão'!#REF!)/2, (E45+VLOOKUP(H45,'Fatores de Emissão'!#REF!,5,FALSE))/2),"")</f>
        <v/>
      </c>
      <c r="J45" s="360" t="str">
        <f t="shared" si="2"/>
        <v/>
      </c>
    </row>
    <row r="46" spans="2:10" hidden="1" outlineLevel="1" x14ac:dyDescent="0.25">
      <c r="B46" s="278"/>
      <c r="C46" s="374"/>
      <c r="D46" s="542"/>
      <c r="E46" s="360" t="str">
        <f>IF(C46="","",IF(C46&gt;'Fatores de Emissão'!#REF!,'Fatores de Emissão'!#REF!,VLOOKUP(C46,'Fatores de Emissão'!#REF!,5,FALSE)))</f>
        <v/>
      </c>
      <c r="F46" s="360" t="str">
        <f t="shared" si="0"/>
        <v/>
      </c>
      <c r="G46" s="361" t="str">
        <f t="shared" si="1"/>
        <v/>
      </c>
      <c r="H46" s="361" t="str">
        <f>IFERROR(IF(VLOOKUP(B46,Identificação!#REF!,3,FALSE)="",VLOOKUP(B46,Identificação!#REF!,2,FALSE)+VLOOKUP('Emissões Evitadas'!B46,'Fatores de Emissão'!#REF!,3,FALSE),VLOOKUP(B46,Identificação!#REF!,2,FALSE)+VLOOKUP(B46,Identificação!#REF!,3,FALSE)),"")</f>
        <v/>
      </c>
      <c r="I46" s="360" t="str">
        <f>IFERROR(IF(H46&gt;'Fatores de Emissão'!#REF!, (E46+'Fatores de Emissão'!#REF!)/2, (E46+VLOOKUP(H46,'Fatores de Emissão'!#REF!,5,FALSE))/2),"")</f>
        <v/>
      </c>
      <c r="J46" s="360" t="str">
        <f t="shared" si="2"/>
        <v/>
      </c>
    </row>
    <row r="47" spans="2:10" hidden="1" outlineLevel="1" x14ac:dyDescent="0.25">
      <c r="B47" s="278"/>
      <c r="C47" s="374"/>
      <c r="D47" s="542"/>
      <c r="E47" s="360" t="str">
        <f>IF(C47="","",IF(C47&gt;'Fatores de Emissão'!#REF!,'Fatores de Emissão'!#REF!,VLOOKUP(C47,'Fatores de Emissão'!#REF!,5,FALSE)))</f>
        <v/>
      </c>
      <c r="F47" s="360" t="str">
        <f t="shared" si="0"/>
        <v/>
      </c>
      <c r="G47" s="361" t="str">
        <f t="shared" si="1"/>
        <v/>
      </c>
      <c r="H47" s="361" t="str">
        <f>IFERROR(IF(VLOOKUP(B47,Identificação!#REF!,3,FALSE)="",VLOOKUP(B47,Identificação!#REF!,2,FALSE)+VLOOKUP('Emissões Evitadas'!B47,'Fatores de Emissão'!#REF!,3,FALSE),VLOOKUP(B47,Identificação!#REF!,2,FALSE)+VLOOKUP(B47,Identificação!#REF!,3,FALSE)),"")</f>
        <v/>
      </c>
      <c r="I47" s="360" t="str">
        <f>IFERROR(IF(H47&gt;'Fatores de Emissão'!#REF!, (E47+'Fatores de Emissão'!#REF!)/2, (E47+VLOOKUP(H47,'Fatores de Emissão'!#REF!,5,FALSE))/2),"")</f>
        <v/>
      </c>
      <c r="J47" s="360" t="str">
        <f t="shared" si="2"/>
        <v/>
      </c>
    </row>
    <row r="48" spans="2:10" hidden="1" outlineLevel="1" x14ac:dyDescent="0.25">
      <c r="B48" s="278"/>
      <c r="C48" s="374"/>
      <c r="D48" s="542"/>
      <c r="E48" s="360" t="str">
        <f>IF(C48="","",IF(C48&gt;'Fatores de Emissão'!#REF!,'Fatores de Emissão'!#REF!,VLOOKUP(C48,'Fatores de Emissão'!#REF!,5,FALSE)))</f>
        <v/>
      </c>
      <c r="F48" s="360" t="str">
        <f t="shared" si="0"/>
        <v/>
      </c>
      <c r="G48" s="361" t="str">
        <f t="shared" si="1"/>
        <v/>
      </c>
      <c r="H48" s="361" t="str">
        <f>IFERROR(IF(VLOOKUP(B48,Identificação!#REF!,3,FALSE)="",VLOOKUP(B48,Identificação!#REF!,2,FALSE)+VLOOKUP('Emissões Evitadas'!B48,'Fatores de Emissão'!#REF!,3,FALSE),VLOOKUP(B48,Identificação!#REF!,2,FALSE)+VLOOKUP(B48,Identificação!#REF!,3,FALSE)),"")</f>
        <v/>
      </c>
      <c r="I48" s="360" t="str">
        <f>IFERROR(IF(H48&gt;'Fatores de Emissão'!#REF!, (E48+'Fatores de Emissão'!#REF!)/2, (E48+VLOOKUP(H48,'Fatores de Emissão'!#REF!,5,FALSE))/2),"")</f>
        <v/>
      </c>
      <c r="J48" s="360" t="str">
        <f t="shared" si="2"/>
        <v/>
      </c>
    </row>
    <row r="49" spans="2:10" hidden="1" outlineLevel="1" x14ac:dyDescent="0.25">
      <c r="B49" s="278"/>
      <c r="C49" s="374"/>
      <c r="D49" s="542"/>
      <c r="E49" s="360" t="str">
        <f>IF(C49="","",IF(C49&gt;'Fatores de Emissão'!#REF!,'Fatores de Emissão'!#REF!,VLOOKUP(C49,'Fatores de Emissão'!#REF!,5,FALSE)))</f>
        <v/>
      </c>
      <c r="F49" s="360" t="str">
        <f t="shared" si="0"/>
        <v/>
      </c>
      <c r="G49" s="361" t="str">
        <f t="shared" si="1"/>
        <v/>
      </c>
      <c r="H49" s="361" t="str">
        <f>IFERROR(IF(VLOOKUP(B49,Identificação!#REF!,3,FALSE)="",VLOOKUP(B49,Identificação!#REF!,2,FALSE)+VLOOKUP('Emissões Evitadas'!B49,'Fatores de Emissão'!#REF!,3,FALSE),VLOOKUP(B49,Identificação!#REF!,2,FALSE)+VLOOKUP(B49,Identificação!#REF!,3,FALSE)),"")</f>
        <v/>
      </c>
      <c r="I49" s="360" t="str">
        <f>IFERROR(IF(H49&gt;'Fatores de Emissão'!#REF!, (E49+'Fatores de Emissão'!#REF!)/2, (E49+VLOOKUP(H49,'Fatores de Emissão'!#REF!,5,FALSE))/2),"")</f>
        <v/>
      </c>
      <c r="J49" s="360" t="str">
        <f t="shared" si="2"/>
        <v/>
      </c>
    </row>
    <row r="50" spans="2:10" hidden="1" outlineLevel="1" x14ac:dyDescent="0.25">
      <c r="B50" s="278"/>
      <c r="C50" s="374"/>
      <c r="D50" s="542"/>
      <c r="E50" s="360" t="str">
        <f>IF(C50="","",IF(C50&gt;'Fatores de Emissão'!#REF!,'Fatores de Emissão'!#REF!,VLOOKUP(C50,'Fatores de Emissão'!#REF!,5,FALSE)))</f>
        <v/>
      </c>
      <c r="F50" s="360" t="str">
        <f t="shared" si="0"/>
        <v/>
      </c>
      <c r="G50" s="361" t="str">
        <f t="shared" si="1"/>
        <v/>
      </c>
      <c r="H50" s="361" t="str">
        <f>IFERROR(IF(VLOOKUP(B50,Identificação!#REF!,3,FALSE)="",VLOOKUP(B50,Identificação!#REF!,2,FALSE)+VLOOKUP('Emissões Evitadas'!B50,'Fatores de Emissão'!#REF!,3,FALSE),VLOOKUP(B50,Identificação!#REF!,2,FALSE)+VLOOKUP(B50,Identificação!#REF!,3,FALSE)),"")</f>
        <v/>
      </c>
      <c r="I50" s="360" t="str">
        <f>IFERROR(IF(H50&gt;'Fatores de Emissão'!#REF!, (E50+'Fatores de Emissão'!#REF!)/2, (E50+VLOOKUP(H50,'Fatores de Emissão'!#REF!,5,FALSE))/2),"")</f>
        <v/>
      </c>
      <c r="J50" s="360" t="str">
        <f t="shared" si="2"/>
        <v/>
      </c>
    </row>
    <row r="51" spans="2:10" hidden="1" outlineLevel="1" x14ac:dyDescent="0.25">
      <c r="B51" s="278"/>
      <c r="C51" s="374"/>
      <c r="D51" s="542"/>
      <c r="E51" s="360" t="str">
        <f>IF(C51="","",IF(C51&gt;'Fatores de Emissão'!#REF!,'Fatores de Emissão'!#REF!,VLOOKUP(C51,'Fatores de Emissão'!#REF!,5,FALSE)))</f>
        <v/>
      </c>
      <c r="F51" s="360" t="str">
        <f t="shared" si="0"/>
        <v/>
      </c>
      <c r="G51" s="361" t="str">
        <f t="shared" si="1"/>
        <v/>
      </c>
      <c r="H51" s="361" t="str">
        <f>IFERROR(IF(VLOOKUP(B51,Identificação!#REF!,3,FALSE)="",VLOOKUP(B51,Identificação!#REF!,2,FALSE)+VLOOKUP('Emissões Evitadas'!B51,'Fatores de Emissão'!#REF!,3,FALSE),VLOOKUP(B51,Identificação!#REF!,2,FALSE)+VLOOKUP(B51,Identificação!#REF!,3,FALSE)),"")</f>
        <v/>
      </c>
      <c r="I51" s="360" t="str">
        <f>IFERROR(IF(H51&gt;'Fatores de Emissão'!#REF!, (E51+'Fatores de Emissão'!#REF!)/2, (E51+VLOOKUP(H51,'Fatores de Emissão'!#REF!,5,FALSE))/2),"")</f>
        <v/>
      </c>
      <c r="J51" s="360" t="str">
        <f t="shared" si="2"/>
        <v/>
      </c>
    </row>
    <row r="52" spans="2:10" hidden="1" outlineLevel="1" x14ac:dyDescent="0.25">
      <c r="B52" s="278"/>
      <c r="C52" s="374"/>
      <c r="D52" s="542"/>
      <c r="E52" s="360" t="str">
        <f>IF(C52="","",IF(C52&gt;'Fatores de Emissão'!#REF!,'Fatores de Emissão'!#REF!,VLOOKUP(C52,'Fatores de Emissão'!#REF!,5,FALSE)))</f>
        <v/>
      </c>
      <c r="F52" s="360" t="str">
        <f t="shared" si="0"/>
        <v/>
      </c>
      <c r="G52" s="361" t="str">
        <f t="shared" si="1"/>
        <v/>
      </c>
      <c r="H52" s="361" t="str">
        <f>IFERROR(IF(VLOOKUP(B52,Identificação!#REF!,3,FALSE)="",VLOOKUP(B52,Identificação!#REF!,2,FALSE)+VLOOKUP('Emissões Evitadas'!B52,'Fatores de Emissão'!#REF!,3,FALSE),VLOOKUP(B52,Identificação!#REF!,2,FALSE)+VLOOKUP(B52,Identificação!#REF!,3,FALSE)),"")</f>
        <v/>
      </c>
      <c r="I52" s="360" t="str">
        <f>IFERROR(IF(H52&gt;'Fatores de Emissão'!#REF!, (E52+'Fatores de Emissão'!#REF!)/2, (E52+VLOOKUP(H52,'Fatores de Emissão'!#REF!,5,FALSE))/2),"")</f>
        <v/>
      </c>
      <c r="J52" s="360" t="str">
        <f t="shared" si="2"/>
        <v/>
      </c>
    </row>
    <row r="53" spans="2:10" hidden="1" outlineLevel="1" x14ac:dyDescent="0.25">
      <c r="B53" s="278"/>
      <c r="C53" s="374"/>
      <c r="D53" s="542"/>
      <c r="E53" s="360" t="str">
        <f>IF(C53="","",IF(C53&gt;'Fatores de Emissão'!#REF!,'Fatores de Emissão'!#REF!,VLOOKUP(C53,'Fatores de Emissão'!#REF!,5,FALSE)))</f>
        <v/>
      </c>
      <c r="F53" s="360" t="str">
        <f t="shared" si="0"/>
        <v/>
      </c>
      <c r="G53" s="361" t="str">
        <f t="shared" si="1"/>
        <v/>
      </c>
      <c r="H53" s="361" t="str">
        <f>IFERROR(IF(VLOOKUP(B53,Identificação!#REF!,3,FALSE)="",VLOOKUP(B53,Identificação!#REF!,2,FALSE)+VLOOKUP('Emissões Evitadas'!B53,'Fatores de Emissão'!#REF!,3,FALSE),VLOOKUP(B53,Identificação!#REF!,2,FALSE)+VLOOKUP(B53,Identificação!#REF!,3,FALSE)),"")</f>
        <v/>
      </c>
      <c r="I53" s="360" t="str">
        <f>IFERROR(IF(H53&gt;'Fatores de Emissão'!#REF!, (E53+'Fatores de Emissão'!#REF!)/2, (E53+VLOOKUP(H53,'Fatores de Emissão'!#REF!,5,FALSE))/2),"")</f>
        <v/>
      </c>
      <c r="J53" s="360" t="str">
        <f t="shared" si="2"/>
        <v/>
      </c>
    </row>
    <row r="54" spans="2:10" hidden="1" outlineLevel="1" x14ac:dyDescent="0.25">
      <c r="B54" s="278"/>
      <c r="C54" s="374"/>
      <c r="D54" s="542"/>
      <c r="E54" s="360" t="str">
        <f>IF(C54="","",IF(C54&gt;'Fatores de Emissão'!#REF!,'Fatores de Emissão'!#REF!,VLOOKUP(C54,'Fatores de Emissão'!#REF!,5,FALSE)))</f>
        <v/>
      </c>
      <c r="F54" s="360" t="str">
        <f t="shared" si="0"/>
        <v/>
      </c>
      <c r="G54" s="361" t="str">
        <f t="shared" si="1"/>
        <v/>
      </c>
      <c r="H54" s="361" t="str">
        <f>IFERROR(IF(VLOOKUP(B54,Identificação!#REF!,3,FALSE)="",VLOOKUP(B54,Identificação!#REF!,2,FALSE)+VLOOKUP('Emissões Evitadas'!B54,'Fatores de Emissão'!#REF!,3,FALSE),VLOOKUP(B54,Identificação!#REF!,2,FALSE)+VLOOKUP(B54,Identificação!#REF!,3,FALSE)),"")</f>
        <v/>
      </c>
      <c r="I54" s="360" t="str">
        <f>IFERROR(IF(H54&gt;'Fatores de Emissão'!#REF!, (E54+'Fatores de Emissão'!#REF!)/2, (E54+VLOOKUP(H54,'Fatores de Emissão'!#REF!,5,FALSE))/2),"")</f>
        <v/>
      </c>
      <c r="J54" s="360" t="str">
        <f t="shared" si="2"/>
        <v/>
      </c>
    </row>
    <row r="55" spans="2:10" hidden="1" outlineLevel="1" x14ac:dyDescent="0.25">
      <c r="B55" s="278"/>
      <c r="C55" s="374"/>
      <c r="D55" s="542"/>
      <c r="E55" s="360" t="str">
        <f>IF(C55="","",IF(C55&gt;'Fatores de Emissão'!#REF!,'Fatores de Emissão'!#REF!,VLOOKUP(C55,'Fatores de Emissão'!#REF!,5,FALSE)))</f>
        <v/>
      </c>
      <c r="F55" s="360" t="str">
        <f t="shared" si="0"/>
        <v/>
      </c>
      <c r="G55" s="361" t="str">
        <f t="shared" si="1"/>
        <v/>
      </c>
      <c r="H55" s="361" t="str">
        <f>IFERROR(IF(VLOOKUP(B55,Identificação!#REF!,3,FALSE)="",VLOOKUP(B55,Identificação!#REF!,2,FALSE)+VLOOKUP('Emissões Evitadas'!B55,'Fatores de Emissão'!#REF!,3,FALSE),VLOOKUP(B55,Identificação!#REF!,2,FALSE)+VLOOKUP(B55,Identificação!#REF!,3,FALSE)),"")</f>
        <v/>
      </c>
      <c r="I55" s="360" t="str">
        <f>IFERROR(IF(H55&gt;'Fatores de Emissão'!#REF!, (E55+'Fatores de Emissão'!#REF!)/2, (E55+VLOOKUP(H55,'Fatores de Emissão'!#REF!,5,FALSE))/2),"")</f>
        <v/>
      </c>
      <c r="J55" s="360" t="str">
        <f t="shared" si="2"/>
        <v/>
      </c>
    </row>
    <row r="56" spans="2:10" hidden="1" outlineLevel="1" x14ac:dyDescent="0.25">
      <c r="B56" s="278"/>
      <c r="C56" s="374"/>
      <c r="D56" s="542"/>
      <c r="E56" s="360" t="str">
        <f>IF(C56="","",IF(C56&gt;'Fatores de Emissão'!#REF!,'Fatores de Emissão'!#REF!,VLOOKUP(C56,'Fatores de Emissão'!#REF!,5,FALSE)))</f>
        <v/>
      </c>
      <c r="F56" s="360" t="str">
        <f t="shared" si="0"/>
        <v/>
      </c>
      <c r="G56" s="361" t="str">
        <f t="shared" si="1"/>
        <v/>
      </c>
      <c r="H56" s="361" t="str">
        <f>IFERROR(IF(VLOOKUP(B56,Identificação!#REF!,3,FALSE)="",VLOOKUP(B56,Identificação!#REF!,2,FALSE)+VLOOKUP('Emissões Evitadas'!B56,'Fatores de Emissão'!#REF!,3,FALSE),VLOOKUP(B56,Identificação!#REF!,2,FALSE)+VLOOKUP(B56,Identificação!#REF!,3,FALSE)),"")</f>
        <v/>
      </c>
      <c r="I56" s="360" t="str">
        <f>IFERROR(IF(H56&gt;'Fatores de Emissão'!#REF!, (E56+'Fatores de Emissão'!#REF!)/2, (E56+VLOOKUP(H56,'Fatores de Emissão'!#REF!,5,FALSE))/2),"")</f>
        <v/>
      </c>
      <c r="J56" s="360" t="str">
        <f t="shared" si="2"/>
        <v/>
      </c>
    </row>
    <row r="57" spans="2:10" hidden="1" outlineLevel="1" x14ac:dyDescent="0.25">
      <c r="B57" s="278"/>
      <c r="C57" s="374"/>
      <c r="D57" s="542"/>
      <c r="E57" s="360" t="str">
        <f>IF(C57="","",IF(C57&gt;'Fatores de Emissão'!#REF!,'Fatores de Emissão'!#REF!,VLOOKUP(C57,'Fatores de Emissão'!#REF!,5,FALSE)))</f>
        <v/>
      </c>
      <c r="F57" s="360" t="str">
        <f t="shared" si="0"/>
        <v/>
      </c>
      <c r="G57" s="361" t="str">
        <f t="shared" si="1"/>
        <v/>
      </c>
      <c r="H57" s="361" t="str">
        <f>IFERROR(IF(VLOOKUP(B57,Identificação!#REF!,3,FALSE)="",VLOOKUP(B57,Identificação!#REF!,2,FALSE)+VLOOKUP('Emissões Evitadas'!B57,'Fatores de Emissão'!#REF!,3,FALSE),VLOOKUP(B57,Identificação!#REF!,2,FALSE)+VLOOKUP(B57,Identificação!#REF!,3,FALSE)),"")</f>
        <v/>
      </c>
      <c r="I57" s="360" t="str">
        <f>IFERROR(IF(H57&gt;'Fatores de Emissão'!#REF!, (E57+'Fatores de Emissão'!#REF!)/2, (E57+VLOOKUP(H57,'Fatores de Emissão'!#REF!,5,FALSE))/2),"")</f>
        <v/>
      </c>
      <c r="J57" s="360" t="str">
        <f t="shared" si="2"/>
        <v/>
      </c>
    </row>
    <row r="58" spans="2:10" hidden="1" outlineLevel="1" x14ac:dyDescent="0.25">
      <c r="B58" s="278"/>
      <c r="C58" s="374"/>
      <c r="D58" s="542"/>
      <c r="E58" s="360" t="str">
        <f>IF(C58="","",IF(C58&gt;'Fatores de Emissão'!#REF!,'Fatores de Emissão'!#REF!,VLOOKUP(C58,'Fatores de Emissão'!#REF!,5,FALSE)))</f>
        <v/>
      </c>
      <c r="F58" s="360" t="str">
        <f t="shared" si="0"/>
        <v/>
      </c>
      <c r="G58" s="361" t="str">
        <f t="shared" si="1"/>
        <v/>
      </c>
      <c r="H58" s="361" t="str">
        <f>IFERROR(IF(VLOOKUP(B58,Identificação!#REF!,3,FALSE)="",VLOOKUP(B58,Identificação!#REF!,2,FALSE)+VLOOKUP('Emissões Evitadas'!B58,'Fatores de Emissão'!#REF!,3,FALSE),VLOOKUP(B58,Identificação!#REF!,2,FALSE)+VLOOKUP(B58,Identificação!#REF!,3,FALSE)),"")</f>
        <v/>
      </c>
      <c r="I58" s="360" t="str">
        <f>IFERROR(IF(H58&gt;'Fatores de Emissão'!#REF!, (E58+'Fatores de Emissão'!#REF!)/2, (E58+VLOOKUP(H58,'Fatores de Emissão'!#REF!,5,FALSE))/2),"")</f>
        <v/>
      </c>
      <c r="J58" s="360" t="str">
        <f t="shared" si="2"/>
        <v/>
      </c>
    </row>
    <row r="59" spans="2:10" hidden="1" outlineLevel="1" x14ac:dyDescent="0.25">
      <c r="B59" s="278"/>
      <c r="C59" s="374"/>
      <c r="D59" s="542"/>
      <c r="E59" s="360" t="str">
        <f>IF(C59="","",IF(C59&gt;'Fatores de Emissão'!#REF!,'Fatores de Emissão'!#REF!,VLOOKUP(C59,'Fatores de Emissão'!#REF!,5,FALSE)))</f>
        <v/>
      </c>
      <c r="F59" s="360" t="str">
        <f t="shared" si="0"/>
        <v/>
      </c>
      <c r="G59" s="361" t="str">
        <f t="shared" si="1"/>
        <v/>
      </c>
      <c r="H59" s="361" t="str">
        <f>IFERROR(IF(VLOOKUP(B59,Identificação!#REF!,3,FALSE)="",VLOOKUP(B59,Identificação!#REF!,2,FALSE)+VLOOKUP('Emissões Evitadas'!B59,'Fatores de Emissão'!#REF!,3,FALSE),VLOOKUP(B59,Identificação!#REF!,2,FALSE)+VLOOKUP(B59,Identificação!#REF!,3,FALSE)),"")</f>
        <v/>
      </c>
      <c r="I59" s="360" t="str">
        <f>IFERROR(IF(H59&gt;'Fatores de Emissão'!#REF!, (E59+'Fatores de Emissão'!#REF!)/2, (E59+VLOOKUP(H59,'Fatores de Emissão'!#REF!,5,FALSE))/2),"")</f>
        <v/>
      </c>
      <c r="J59" s="360" t="str">
        <f t="shared" si="2"/>
        <v/>
      </c>
    </row>
    <row r="60" spans="2:10" hidden="1" outlineLevel="1" x14ac:dyDescent="0.25">
      <c r="B60" s="278"/>
      <c r="C60" s="374"/>
      <c r="D60" s="542"/>
      <c r="E60" s="360" t="str">
        <f>IF(C60="","",IF(C60&gt;'Fatores de Emissão'!#REF!,'Fatores de Emissão'!#REF!,VLOOKUP(C60,'Fatores de Emissão'!#REF!,5,FALSE)))</f>
        <v/>
      </c>
      <c r="F60" s="360" t="str">
        <f t="shared" si="0"/>
        <v/>
      </c>
      <c r="G60" s="361" t="str">
        <f t="shared" si="1"/>
        <v/>
      </c>
      <c r="H60" s="361" t="str">
        <f>IFERROR(IF(VLOOKUP(B60,Identificação!#REF!,3,FALSE)="",VLOOKUP(B60,Identificação!#REF!,2,FALSE)+VLOOKUP('Emissões Evitadas'!B60,'Fatores de Emissão'!#REF!,3,FALSE),VLOOKUP(B60,Identificação!#REF!,2,FALSE)+VLOOKUP(B60,Identificação!#REF!,3,FALSE)),"")</f>
        <v/>
      </c>
      <c r="I60" s="360" t="str">
        <f>IFERROR(IF(H60&gt;'Fatores de Emissão'!#REF!, (E60+'Fatores de Emissão'!#REF!)/2, (E60+VLOOKUP(H60,'Fatores de Emissão'!#REF!,5,FALSE))/2),"")</f>
        <v/>
      </c>
      <c r="J60" s="360" t="str">
        <f t="shared" si="2"/>
        <v/>
      </c>
    </row>
    <row r="61" spans="2:10" hidden="1" outlineLevel="1" x14ac:dyDescent="0.25">
      <c r="B61" s="278"/>
      <c r="C61" s="374"/>
      <c r="D61" s="542"/>
      <c r="E61" s="360" t="str">
        <f>IF(C61="","",IF(C61&gt;'Fatores de Emissão'!#REF!,'Fatores de Emissão'!#REF!,VLOOKUP(C61,'Fatores de Emissão'!#REF!,5,FALSE)))</f>
        <v/>
      </c>
      <c r="F61" s="360" t="str">
        <f t="shared" si="0"/>
        <v/>
      </c>
      <c r="G61" s="361" t="str">
        <f t="shared" si="1"/>
        <v/>
      </c>
      <c r="H61" s="361" t="str">
        <f>IFERROR(IF(VLOOKUP(B61,Identificação!#REF!,3,FALSE)="",VLOOKUP(B61,Identificação!#REF!,2,FALSE)+VLOOKUP('Emissões Evitadas'!B61,'Fatores de Emissão'!#REF!,3,FALSE),VLOOKUP(B61,Identificação!#REF!,2,FALSE)+VLOOKUP(B61,Identificação!#REF!,3,FALSE)),"")</f>
        <v/>
      </c>
      <c r="I61" s="360" t="str">
        <f>IFERROR(IF(H61&gt;'Fatores de Emissão'!#REF!, (E61+'Fatores de Emissão'!#REF!)/2, (E61+VLOOKUP(H61,'Fatores de Emissão'!#REF!,5,FALSE))/2),"")</f>
        <v/>
      </c>
      <c r="J61" s="360" t="str">
        <f t="shared" si="2"/>
        <v/>
      </c>
    </row>
    <row r="62" spans="2:10" hidden="1" outlineLevel="1" x14ac:dyDescent="0.25">
      <c r="B62" s="278"/>
      <c r="C62" s="374"/>
      <c r="D62" s="542"/>
      <c r="E62" s="360" t="str">
        <f>IF(C62="","",IF(C62&gt;'Fatores de Emissão'!#REF!,'Fatores de Emissão'!#REF!,VLOOKUP(C62,'Fatores de Emissão'!#REF!,5,FALSE)))</f>
        <v/>
      </c>
      <c r="F62" s="360" t="str">
        <f t="shared" si="0"/>
        <v/>
      </c>
      <c r="G62" s="361" t="str">
        <f t="shared" si="1"/>
        <v/>
      </c>
      <c r="H62" s="361" t="str">
        <f>IFERROR(IF(VLOOKUP(B62,Identificação!#REF!,3,FALSE)="",VLOOKUP(B62,Identificação!#REF!,2,FALSE)+VLOOKUP('Emissões Evitadas'!B62,'Fatores de Emissão'!#REF!,3,FALSE),VLOOKUP(B62,Identificação!#REF!,2,FALSE)+VLOOKUP(B62,Identificação!#REF!,3,FALSE)),"")</f>
        <v/>
      </c>
      <c r="I62" s="360" t="str">
        <f>IFERROR(IF(H62&gt;'Fatores de Emissão'!#REF!, (E62+'Fatores de Emissão'!#REF!)/2, (E62+VLOOKUP(H62,'Fatores de Emissão'!#REF!,5,FALSE))/2),"")</f>
        <v/>
      </c>
      <c r="J62" s="360" t="str">
        <f t="shared" si="2"/>
        <v/>
      </c>
    </row>
    <row r="63" spans="2:10" hidden="1" outlineLevel="1" x14ac:dyDescent="0.25">
      <c r="B63" s="278"/>
      <c r="C63" s="374"/>
      <c r="D63" s="542"/>
      <c r="E63" s="360" t="str">
        <f>IF(C63="","",IF(C63&gt;'Fatores de Emissão'!#REF!,'Fatores de Emissão'!#REF!,VLOOKUP(C63,'Fatores de Emissão'!#REF!,5,FALSE)))</f>
        <v/>
      </c>
      <c r="F63" s="360" t="str">
        <f t="shared" si="0"/>
        <v/>
      </c>
      <c r="G63" s="361" t="str">
        <f t="shared" si="1"/>
        <v/>
      </c>
      <c r="H63" s="361" t="str">
        <f>IFERROR(IF(VLOOKUP(B63,Identificação!#REF!,3,FALSE)="",VLOOKUP(B63,Identificação!#REF!,2,FALSE)+VLOOKUP('Emissões Evitadas'!B63,'Fatores de Emissão'!#REF!,3,FALSE),VLOOKUP(B63,Identificação!#REF!,2,FALSE)+VLOOKUP(B63,Identificação!#REF!,3,FALSE)),"")</f>
        <v/>
      </c>
      <c r="I63" s="360" t="str">
        <f>IFERROR(IF(H63&gt;'Fatores de Emissão'!#REF!, (E63+'Fatores de Emissão'!#REF!)/2, (E63+VLOOKUP(H63,'Fatores de Emissão'!#REF!,5,FALSE))/2),"")</f>
        <v/>
      </c>
      <c r="J63" s="360" t="str">
        <f t="shared" si="2"/>
        <v/>
      </c>
    </row>
    <row r="64" spans="2:10" hidden="1" outlineLevel="1" x14ac:dyDescent="0.25">
      <c r="B64" s="278"/>
      <c r="C64" s="374"/>
      <c r="D64" s="542"/>
      <c r="E64" s="360" t="str">
        <f>IF(C64="","",IF(C64&gt;'Fatores de Emissão'!#REF!,'Fatores de Emissão'!#REF!,VLOOKUP(C64,'Fatores de Emissão'!#REF!,5,FALSE)))</f>
        <v/>
      </c>
      <c r="F64" s="360" t="str">
        <f t="shared" si="0"/>
        <v/>
      </c>
      <c r="G64" s="361" t="str">
        <f t="shared" si="1"/>
        <v/>
      </c>
      <c r="H64" s="361" t="str">
        <f>IFERROR(IF(VLOOKUP(B64,Identificação!#REF!,3,FALSE)="",VLOOKUP(B64,Identificação!#REF!,2,FALSE)+VLOOKUP('Emissões Evitadas'!B64,'Fatores de Emissão'!#REF!,3,FALSE),VLOOKUP(B64,Identificação!#REF!,2,FALSE)+VLOOKUP(B64,Identificação!#REF!,3,FALSE)),"")</f>
        <v/>
      </c>
      <c r="I64" s="360" t="str">
        <f>IFERROR(IF(H64&gt;'Fatores de Emissão'!#REF!, (E64+'Fatores de Emissão'!#REF!)/2, (E64+VLOOKUP(H64,'Fatores de Emissão'!#REF!,5,FALSE))/2),"")</f>
        <v/>
      </c>
      <c r="J64" s="360" t="str">
        <f t="shared" si="2"/>
        <v/>
      </c>
    </row>
    <row r="65" spans="2:10" hidden="1" outlineLevel="1" x14ac:dyDescent="0.25">
      <c r="B65" s="278"/>
      <c r="C65" s="374"/>
      <c r="D65" s="542"/>
      <c r="E65" s="360" t="str">
        <f>IF(C65="","",IF(C65&gt;'Fatores de Emissão'!#REF!,'Fatores de Emissão'!#REF!,VLOOKUP(C65,'Fatores de Emissão'!#REF!,5,FALSE)))</f>
        <v/>
      </c>
      <c r="F65" s="360" t="str">
        <f t="shared" si="0"/>
        <v/>
      </c>
      <c r="G65" s="361" t="str">
        <f t="shared" si="1"/>
        <v/>
      </c>
      <c r="H65" s="361" t="str">
        <f>IFERROR(IF(VLOOKUP(B65,Identificação!#REF!,3,FALSE)="",VLOOKUP(B65,Identificação!#REF!,2,FALSE)+VLOOKUP('Emissões Evitadas'!B65,'Fatores de Emissão'!#REF!,3,FALSE),VLOOKUP(B65,Identificação!#REF!,2,FALSE)+VLOOKUP(B65,Identificação!#REF!,3,FALSE)),"")</f>
        <v/>
      </c>
      <c r="I65" s="360" t="str">
        <f>IFERROR(IF(H65&gt;'Fatores de Emissão'!#REF!, (E65+'Fatores de Emissão'!#REF!)/2, (E65+VLOOKUP(H65,'Fatores de Emissão'!#REF!,5,FALSE))/2),"")</f>
        <v/>
      </c>
      <c r="J65" s="360" t="str">
        <f t="shared" si="2"/>
        <v/>
      </c>
    </row>
    <row r="66" spans="2:10" hidden="1" outlineLevel="1" x14ac:dyDescent="0.25">
      <c r="B66" s="278"/>
      <c r="C66" s="374"/>
      <c r="D66" s="542"/>
      <c r="E66" s="360" t="str">
        <f>IF(C66="","",IF(C66&gt;'Fatores de Emissão'!#REF!,'Fatores de Emissão'!#REF!,VLOOKUP(C66,'Fatores de Emissão'!#REF!,5,FALSE)))</f>
        <v/>
      </c>
      <c r="F66" s="360" t="str">
        <f t="shared" si="0"/>
        <v/>
      </c>
      <c r="G66" s="361" t="str">
        <f t="shared" si="1"/>
        <v/>
      </c>
      <c r="H66" s="361" t="str">
        <f>IFERROR(IF(VLOOKUP(B66,Identificação!#REF!,3,FALSE)="",VLOOKUP(B66,Identificação!#REF!,2,FALSE)+VLOOKUP('Emissões Evitadas'!B66,'Fatores de Emissão'!#REF!,3,FALSE),VLOOKUP(B66,Identificação!#REF!,2,FALSE)+VLOOKUP(B66,Identificação!#REF!,3,FALSE)),"")</f>
        <v/>
      </c>
      <c r="I66" s="360" t="str">
        <f>IFERROR(IF(H66&gt;'Fatores de Emissão'!#REF!, (E66+'Fatores de Emissão'!#REF!)/2, (E66+VLOOKUP(H66,'Fatores de Emissão'!#REF!,5,FALSE))/2),"")</f>
        <v/>
      </c>
      <c r="J66" s="360" t="str">
        <f t="shared" si="2"/>
        <v/>
      </c>
    </row>
    <row r="67" spans="2:10" hidden="1" outlineLevel="1" x14ac:dyDescent="0.25">
      <c r="B67" s="278"/>
      <c r="C67" s="374"/>
      <c r="D67" s="542"/>
      <c r="E67" s="360" t="str">
        <f>IF(C67="","",IF(C67&gt;'Fatores de Emissão'!#REF!,'Fatores de Emissão'!#REF!,VLOOKUP(C67,'Fatores de Emissão'!#REF!,5,FALSE)))</f>
        <v/>
      </c>
      <c r="F67" s="360" t="str">
        <f t="shared" si="0"/>
        <v/>
      </c>
      <c r="G67" s="361" t="str">
        <f t="shared" si="1"/>
        <v/>
      </c>
      <c r="H67" s="361" t="str">
        <f>IFERROR(IF(VLOOKUP(B67,Identificação!#REF!,3,FALSE)="",VLOOKUP(B67,Identificação!#REF!,2,FALSE)+VLOOKUP('Emissões Evitadas'!B67,'Fatores de Emissão'!#REF!,3,FALSE),VLOOKUP(B67,Identificação!#REF!,2,FALSE)+VLOOKUP(B67,Identificação!#REF!,3,FALSE)),"")</f>
        <v/>
      </c>
      <c r="I67" s="360" t="str">
        <f>IFERROR(IF(H67&gt;'Fatores de Emissão'!#REF!, (E67+'Fatores de Emissão'!#REF!)/2, (E67+VLOOKUP(H67,'Fatores de Emissão'!#REF!,5,FALSE))/2),"")</f>
        <v/>
      </c>
      <c r="J67" s="360" t="str">
        <f t="shared" si="2"/>
        <v/>
      </c>
    </row>
    <row r="68" spans="2:10" hidden="1" outlineLevel="1" x14ac:dyDescent="0.25">
      <c r="B68" s="278"/>
      <c r="C68" s="374"/>
      <c r="D68" s="542"/>
      <c r="E68" s="360" t="str">
        <f>IF(C68="","",IF(C68&gt;'Fatores de Emissão'!#REF!,'Fatores de Emissão'!#REF!,VLOOKUP(C68,'Fatores de Emissão'!#REF!,5,FALSE)))</f>
        <v/>
      </c>
      <c r="F68" s="360" t="str">
        <f t="shared" si="0"/>
        <v/>
      </c>
      <c r="G68" s="361" t="str">
        <f t="shared" si="1"/>
        <v/>
      </c>
      <c r="H68" s="361" t="str">
        <f>IFERROR(IF(VLOOKUP(B68,Identificação!#REF!,3,FALSE)="",VLOOKUP(B68,Identificação!#REF!,2,FALSE)+VLOOKUP('Emissões Evitadas'!B68,'Fatores de Emissão'!#REF!,3,FALSE),VLOOKUP(B68,Identificação!#REF!,2,FALSE)+VLOOKUP(B68,Identificação!#REF!,3,FALSE)),"")</f>
        <v/>
      </c>
      <c r="I68" s="360" t="str">
        <f>IFERROR(IF(H68&gt;'Fatores de Emissão'!#REF!, (E68+'Fatores de Emissão'!#REF!)/2, (E68+VLOOKUP(H68,'Fatores de Emissão'!#REF!,5,FALSE))/2),"")</f>
        <v/>
      </c>
      <c r="J68" s="360" t="str">
        <f t="shared" si="2"/>
        <v/>
      </c>
    </row>
    <row r="69" spans="2:10" hidden="1" outlineLevel="1" x14ac:dyDescent="0.25">
      <c r="B69" s="278"/>
      <c r="C69" s="374"/>
      <c r="D69" s="542"/>
      <c r="E69" s="360" t="str">
        <f>IF(C69="","",IF(C69&gt;'Fatores de Emissão'!#REF!,'Fatores de Emissão'!#REF!,VLOOKUP(C69,'Fatores de Emissão'!#REF!,5,FALSE)))</f>
        <v/>
      </c>
      <c r="F69" s="360" t="str">
        <f t="shared" si="0"/>
        <v/>
      </c>
      <c r="G69" s="361" t="str">
        <f t="shared" si="1"/>
        <v/>
      </c>
      <c r="H69" s="361" t="str">
        <f>IFERROR(IF(VLOOKUP(B69,Identificação!#REF!,3,FALSE)="",VLOOKUP(B69,Identificação!#REF!,2,FALSE)+VLOOKUP('Emissões Evitadas'!B69,'Fatores de Emissão'!#REF!,3,FALSE),VLOOKUP(B69,Identificação!#REF!,2,FALSE)+VLOOKUP(B69,Identificação!#REF!,3,FALSE)),"")</f>
        <v/>
      </c>
      <c r="I69" s="360" t="str">
        <f>IFERROR(IF(H69&gt;'Fatores de Emissão'!#REF!, (E69+'Fatores de Emissão'!#REF!)/2, (E69+VLOOKUP(H69,'Fatores de Emissão'!#REF!,5,FALSE))/2),"")</f>
        <v/>
      </c>
      <c r="J69" s="360" t="str">
        <f t="shared" si="2"/>
        <v/>
      </c>
    </row>
    <row r="70" spans="2:10" hidden="1" outlineLevel="1" x14ac:dyDescent="0.25">
      <c r="B70" s="278"/>
      <c r="C70" s="374"/>
      <c r="D70" s="542"/>
      <c r="E70" s="360" t="str">
        <f>IF(C70="","",IF(C70&gt;'Fatores de Emissão'!#REF!,'Fatores de Emissão'!#REF!,VLOOKUP(C70,'Fatores de Emissão'!#REF!,5,FALSE)))</f>
        <v/>
      </c>
      <c r="F70" s="360" t="str">
        <f t="shared" si="0"/>
        <v/>
      </c>
      <c r="G70" s="361" t="str">
        <f t="shared" si="1"/>
        <v/>
      </c>
      <c r="H70" s="361" t="str">
        <f>IFERROR(IF(VLOOKUP(B70,Identificação!#REF!,3,FALSE)="",VLOOKUP(B70,Identificação!#REF!,2,FALSE)+VLOOKUP('Emissões Evitadas'!B70,'Fatores de Emissão'!#REF!,3,FALSE),VLOOKUP(B70,Identificação!#REF!,2,FALSE)+VLOOKUP(B70,Identificação!#REF!,3,FALSE)),"")</f>
        <v/>
      </c>
      <c r="I70" s="360" t="str">
        <f>IFERROR(IF(H70&gt;'Fatores de Emissão'!#REF!, (E70+'Fatores de Emissão'!#REF!)/2, (E70+VLOOKUP(H70,'Fatores de Emissão'!#REF!,5,FALSE))/2),"")</f>
        <v/>
      </c>
      <c r="J70" s="360" t="str">
        <f t="shared" si="2"/>
        <v/>
      </c>
    </row>
    <row r="71" spans="2:10" hidden="1" outlineLevel="1" x14ac:dyDescent="0.25">
      <c r="B71" s="278"/>
      <c r="C71" s="374"/>
      <c r="D71" s="542"/>
      <c r="E71" s="360" t="str">
        <f>IF(C71="","",IF(C71&gt;'Fatores de Emissão'!#REF!,'Fatores de Emissão'!#REF!,VLOOKUP(C71,'Fatores de Emissão'!#REF!,5,FALSE)))</f>
        <v/>
      </c>
      <c r="F71" s="360" t="str">
        <f t="shared" si="0"/>
        <v/>
      </c>
      <c r="G71" s="361" t="str">
        <f t="shared" si="1"/>
        <v/>
      </c>
      <c r="H71" s="361" t="str">
        <f>IFERROR(IF(VLOOKUP(B71,Identificação!#REF!,3,FALSE)="",VLOOKUP(B71,Identificação!#REF!,2,FALSE)+VLOOKUP('Emissões Evitadas'!B71,'Fatores de Emissão'!#REF!,3,FALSE),VLOOKUP(B71,Identificação!#REF!,2,FALSE)+VLOOKUP(B71,Identificação!#REF!,3,FALSE)),"")</f>
        <v/>
      </c>
      <c r="I71" s="360" t="str">
        <f>IFERROR(IF(H71&gt;'Fatores de Emissão'!#REF!, (E71+'Fatores de Emissão'!#REF!)/2, (E71+VLOOKUP(H71,'Fatores de Emissão'!#REF!,5,FALSE))/2),"")</f>
        <v/>
      </c>
      <c r="J71" s="360" t="str">
        <f t="shared" si="2"/>
        <v/>
      </c>
    </row>
    <row r="72" spans="2:10" hidden="1" outlineLevel="1" x14ac:dyDescent="0.25">
      <c r="B72" s="278"/>
      <c r="C72" s="374"/>
      <c r="D72" s="542"/>
      <c r="E72" s="360" t="str">
        <f>IF(C72="","",IF(C72&gt;'Fatores de Emissão'!#REF!,'Fatores de Emissão'!#REF!,VLOOKUP(C72,'Fatores de Emissão'!#REF!,5,FALSE)))</f>
        <v/>
      </c>
      <c r="F72" s="360" t="str">
        <f t="shared" si="0"/>
        <v/>
      </c>
      <c r="G72" s="361" t="str">
        <f t="shared" si="1"/>
        <v/>
      </c>
      <c r="H72" s="361" t="str">
        <f>IFERROR(IF(VLOOKUP(B72,Identificação!#REF!,3,FALSE)="",VLOOKUP(B72,Identificação!#REF!,2,FALSE)+VLOOKUP('Emissões Evitadas'!B72,'Fatores de Emissão'!#REF!,3,FALSE),VLOOKUP(B72,Identificação!#REF!,2,FALSE)+VLOOKUP(B72,Identificação!#REF!,3,FALSE)),"")</f>
        <v/>
      </c>
      <c r="I72" s="360" t="str">
        <f>IFERROR(IF(H72&gt;'Fatores de Emissão'!#REF!, (E72+'Fatores de Emissão'!#REF!)/2, (E72+VLOOKUP(H72,'Fatores de Emissão'!#REF!,5,FALSE))/2),"")</f>
        <v/>
      </c>
      <c r="J72" s="360" t="str">
        <f t="shared" si="2"/>
        <v/>
      </c>
    </row>
    <row r="73" spans="2:10" hidden="1" outlineLevel="1" x14ac:dyDescent="0.25">
      <c r="B73" s="278"/>
      <c r="C73" s="374"/>
      <c r="D73" s="542"/>
      <c r="E73" s="360" t="str">
        <f>IF(C73="","",IF(C73&gt;'Fatores de Emissão'!#REF!,'Fatores de Emissão'!#REF!,VLOOKUP(C73,'Fatores de Emissão'!#REF!,5,FALSE)))</f>
        <v/>
      </c>
      <c r="F73" s="360" t="str">
        <f t="shared" si="0"/>
        <v/>
      </c>
      <c r="G73" s="361" t="str">
        <f t="shared" si="1"/>
        <v/>
      </c>
      <c r="H73" s="361" t="str">
        <f>IFERROR(IF(VLOOKUP(B73,Identificação!#REF!,3,FALSE)="",VLOOKUP(B73,Identificação!#REF!,2,FALSE)+VLOOKUP('Emissões Evitadas'!B73,'Fatores de Emissão'!#REF!,3,FALSE),VLOOKUP(B73,Identificação!#REF!,2,FALSE)+VLOOKUP(B73,Identificação!#REF!,3,FALSE)),"")</f>
        <v/>
      </c>
      <c r="I73" s="360" t="str">
        <f>IFERROR(IF(H73&gt;'Fatores de Emissão'!#REF!, (E73+'Fatores de Emissão'!#REF!)/2, (E73+VLOOKUP(H73,'Fatores de Emissão'!#REF!,5,FALSE))/2),"")</f>
        <v/>
      </c>
      <c r="J73" s="360" t="str">
        <f t="shared" si="2"/>
        <v/>
      </c>
    </row>
    <row r="74" spans="2:10" hidden="1" outlineLevel="1" x14ac:dyDescent="0.25">
      <c r="B74" s="278"/>
      <c r="C74" s="374"/>
      <c r="D74" s="542"/>
      <c r="E74" s="360" t="str">
        <f>IF(C74="","",IF(C74&gt;'Fatores de Emissão'!#REF!,'Fatores de Emissão'!#REF!,VLOOKUP(C74,'Fatores de Emissão'!#REF!,5,FALSE)))</f>
        <v/>
      </c>
      <c r="F74" s="360" t="str">
        <f t="shared" si="0"/>
        <v/>
      </c>
      <c r="G74" s="361" t="str">
        <f t="shared" si="1"/>
        <v/>
      </c>
      <c r="H74" s="361" t="str">
        <f>IFERROR(IF(VLOOKUP(B74,Identificação!#REF!,3,FALSE)="",VLOOKUP(B74,Identificação!#REF!,2,FALSE)+VLOOKUP('Emissões Evitadas'!B74,'Fatores de Emissão'!#REF!,3,FALSE),VLOOKUP(B74,Identificação!#REF!,2,FALSE)+VLOOKUP(B74,Identificação!#REF!,3,FALSE)),"")</f>
        <v/>
      </c>
      <c r="I74" s="360" t="str">
        <f>IFERROR(IF(H74&gt;'Fatores de Emissão'!#REF!, (E74+'Fatores de Emissão'!#REF!)/2, (E74+VLOOKUP(H74,'Fatores de Emissão'!#REF!,5,FALSE))/2),"")</f>
        <v/>
      </c>
      <c r="J74" s="360" t="str">
        <f t="shared" si="2"/>
        <v/>
      </c>
    </row>
    <row r="75" spans="2:10" hidden="1" outlineLevel="1" x14ac:dyDescent="0.25">
      <c r="B75" s="278"/>
      <c r="C75" s="374"/>
      <c r="D75" s="542"/>
      <c r="E75" s="360" t="str">
        <f>IF(C75="","",IF(C75&gt;'Fatores de Emissão'!#REF!,'Fatores de Emissão'!#REF!,VLOOKUP(C75,'Fatores de Emissão'!#REF!,5,FALSE)))</f>
        <v/>
      </c>
      <c r="F75" s="360" t="str">
        <f t="shared" si="0"/>
        <v/>
      </c>
      <c r="G75" s="361" t="str">
        <f t="shared" si="1"/>
        <v/>
      </c>
      <c r="H75" s="361" t="str">
        <f>IFERROR(IF(VLOOKUP(B75,Identificação!#REF!,3,FALSE)="",VLOOKUP(B75,Identificação!#REF!,2,FALSE)+VLOOKUP('Emissões Evitadas'!B75,'Fatores de Emissão'!#REF!,3,FALSE),VLOOKUP(B75,Identificação!#REF!,2,FALSE)+VLOOKUP(B75,Identificação!#REF!,3,FALSE)),"")</f>
        <v/>
      </c>
      <c r="I75" s="360" t="str">
        <f>IFERROR(IF(H75&gt;'Fatores de Emissão'!#REF!, (E75+'Fatores de Emissão'!#REF!)/2, (E75+VLOOKUP(H75,'Fatores de Emissão'!#REF!,5,FALSE))/2),"")</f>
        <v/>
      </c>
      <c r="J75" s="360" t="str">
        <f t="shared" si="2"/>
        <v/>
      </c>
    </row>
    <row r="76" spans="2:10" hidden="1" outlineLevel="1" x14ac:dyDescent="0.25">
      <c r="B76" s="278"/>
      <c r="C76" s="374"/>
      <c r="D76" s="542"/>
      <c r="E76" s="360" t="str">
        <f>IF(C76="","",IF(C76&gt;'Fatores de Emissão'!#REF!,'Fatores de Emissão'!#REF!,VLOOKUP(C76,'Fatores de Emissão'!#REF!,5,FALSE)))</f>
        <v/>
      </c>
      <c r="F76" s="360" t="str">
        <f t="shared" si="0"/>
        <v/>
      </c>
      <c r="G76" s="361" t="str">
        <f t="shared" si="1"/>
        <v/>
      </c>
      <c r="H76" s="361" t="str">
        <f>IFERROR(IF(VLOOKUP(B76,Identificação!#REF!,3,FALSE)="",VLOOKUP(B76,Identificação!#REF!,2,FALSE)+VLOOKUP('Emissões Evitadas'!B76,'Fatores de Emissão'!#REF!,3,FALSE),VLOOKUP(B76,Identificação!#REF!,2,FALSE)+VLOOKUP(B76,Identificação!#REF!,3,FALSE)),"")</f>
        <v/>
      </c>
      <c r="I76" s="360" t="str">
        <f>IFERROR(IF(H76&gt;'Fatores de Emissão'!#REF!, (E76+'Fatores de Emissão'!#REF!)/2, (E76+VLOOKUP(H76,'Fatores de Emissão'!#REF!,5,FALSE))/2),"")</f>
        <v/>
      </c>
      <c r="J76" s="360" t="str">
        <f t="shared" si="2"/>
        <v/>
      </c>
    </row>
    <row r="77" spans="2:10" hidden="1" outlineLevel="1" x14ac:dyDescent="0.25">
      <c r="B77" s="278"/>
      <c r="C77" s="374"/>
      <c r="D77" s="542"/>
      <c r="E77" s="360" t="str">
        <f>IF(C77="","",IF(C77&gt;'Fatores de Emissão'!#REF!,'Fatores de Emissão'!#REF!,VLOOKUP(C77,'Fatores de Emissão'!#REF!,5,FALSE)))</f>
        <v/>
      </c>
      <c r="F77" s="360" t="str">
        <f t="shared" si="0"/>
        <v/>
      </c>
      <c r="G77" s="361" t="str">
        <f t="shared" si="1"/>
        <v/>
      </c>
      <c r="H77" s="361" t="str">
        <f>IFERROR(IF(VLOOKUP(B77,Identificação!#REF!,3,FALSE)="",VLOOKUP(B77,Identificação!#REF!,2,FALSE)+VLOOKUP('Emissões Evitadas'!B77,'Fatores de Emissão'!#REF!,3,FALSE),VLOOKUP(B77,Identificação!#REF!,2,FALSE)+VLOOKUP(B77,Identificação!#REF!,3,FALSE)),"")</f>
        <v/>
      </c>
      <c r="I77" s="360" t="str">
        <f>IFERROR(IF(H77&gt;'Fatores de Emissão'!#REF!, (E77+'Fatores de Emissão'!#REF!)/2, (E77+VLOOKUP(H77,'Fatores de Emissão'!#REF!,5,FALSE))/2),"")</f>
        <v/>
      </c>
      <c r="J77" s="360" t="str">
        <f t="shared" si="2"/>
        <v/>
      </c>
    </row>
    <row r="78" spans="2:10" hidden="1" outlineLevel="1" x14ac:dyDescent="0.25">
      <c r="B78" s="278"/>
      <c r="C78" s="374"/>
      <c r="D78" s="542"/>
      <c r="E78" s="360" t="str">
        <f>IF(C78="","",IF(C78&gt;'Fatores de Emissão'!#REF!,'Fatores de Emissão'!#REF!,VLOOKUP(C78,'Fatores de Emissão'!#REF!,5,FALSE)))</f>
        <v/>
      </c>
      <c r="F78" s="360" t="str">
        <f t="shared" si="0"/>
        <v/>
      </c>
      <c r="G78" s="361" t="str">
        <f t="shared" si="1"/>
        <v/>
      </c>
      <c r="H78" s="361" t="str">
        <f>IFERROR(IF(VLOOKUP(B78,Identificação!#REF!,3,FALSE)="",VLOOKUP(B78,Identificação!#REF!,2,FALSE)+VLOOKUP('Emissões Evitadas'!B78,'Fatores de Emissão'!#REF!,3,FALSE),VLOOKUP(B78,Identificação!#REF!,2,FALSE)+VLOOKUP(B78,Identificação!#REF!,3,FALSE)),"")</f>
        <v/>
      </c>
      <c r="I78" s="360" t="str">
        <f>IFERROR(IF(H78&gt;'Fatores de Emissão'!#REF!, (E78+'Fatores de Emissão'!#REF!)/2, (E78+VLOOKUP(H78,'Fatores de Emissão'!#REF!,5,FALSE))/2),"")</f>
        <v/>
      </c>
      <c r="J78" s="360" t="str">
        <f t="shared" si="2"/>
        <v/>
      </c>
    </row>
    <row r="79" spans="2:10" hidden="1" outlineLevel="1" x14ac:dyDescent="0.25">
      <c r="B79" s="278"/>
      <c r="C79" s="374"/>
      <c r="D79" s="542"/>
      <c r="E79" s="360" t="str">
        <f>IF(C79="","",IF(C79&gt;'Fatores de Emissão'!#REF!,'Fatores de Emissão'!#REF!,VLOOKUP(C79,'Fatores de Emissão'!#REF!,5,FALSE)))</f>
        <v/>
      </c>
      <c r="F79" s="360" t="str">
        <f t="shared" si="0"/>
        <v/>
      </c>
      <c r="G79" s="361" t="str">
        <f t="shared" si="1"/>
        <v/>
      </c>
      <c r="H79" s="361" t="str">
        <f>IFERROR(IF(VLOOKUP(B79,Identificação!#REF!,3,FALSE)="",VLOOKUP(B79,Identificação!#REF!,2,FALSE)+VLOOKUP('Emissões Evitadas'!B79,'Fatores de Emissão'!#REF!,3,FALSE),VLOOKUP(B79,Identificação!#REF!,2,FALSE)+VLOOKUP(B79,Identificação!#REF!,3,FALSE)),"")</f>
        <v/>
      </c>
      <c r="I79" s="360" t="str">
        <f>IFERROR(IF(H79&gt;'Fatores de Emissão'!#REF!, (E79+'Fatores de Emissão'!#REF!)/2, (E79+VLOOKUP(H79,'Fatores de Emissão'!#REF!,5,FALSE))/2),"")</f>
        <v/>
      </c>
      <c r="J79" s="360" t="str">
        <f t="shared" si="2"/>
        <v/>
      </c>
    </row>
    <row r="80" spans="2:10" hidden="1" outlineLevel="1" x14ac:dyDescent="0.25">
      <c r="B80" s="278"/>
      <c r="C80" s="374"/>
      <c r="D80" s="542"/>
      <c r="E80" s="360" t="str">
        <f>IF(C80="","",IF(C80&gt;'Fatores de Emissão'!#REF!,'Fatores de Emissão'!#REF!,VLOOKUP(C80,'Fatores de Emissão'!#REF!,5,FALSE)))</f>
        <v/>
      </c>
      <c r="F80" s="360" t="str">
        <f t="shared" si="0"/>
        <v/>
      </c>
      <c r="G80" s="361" t="str">
        <f t="shared" si="1"/>
        <v/>
      </c>
      <c r="H80" s="361" t="str">
        <f>IFERROR(IF(VLOOKUP(B80,Identificação!#REF!,3,FALSE)="",VLOOKUP(B80,Identificação!#REF!,2,FALSE)+VLOOKUP('Emissões Evitadas'!B80,'Fatores de Emissão'!#REF!,3,FALSE),VLOOKUP(B80,Identificação!#REF!,2,FALSE)+VLOOKUP(B80,Identificação!#REF!,3,FALSE)),"")</f>
        <v/>
      </c>
      <c r="I80" s="360" t="str">
        <f>IFERROR(IF(H80&gt;'Fatores de Emissão'!#REF!, (E80+'Fatores de Emissão'!#REF!)/2, (E80+VLOOKUP(H80,'Fatores de Emissão'!#REF!,5,FALSE))/2),"")</f>
        <v/>
      </c>
      <c r="J80" s="360" t="str">
        <f t="shared" si="2"/>
        <v/>
      </c>
    </row>
    <row r="81" spans="2:10" hidden="1" outlineLevel="1" x14ac:dyDescent="0.25">
      <c r="B81" s="278"/>
      <c r="C81" s="374"/>
      <c r="D81" s="542"/>
      <c r="E81" s="360" t="str">
        <f>IF(C81="","",IF(C81&gt;'Fatores de Emissão'!#REF!,'Fatores de Emissão'!#REF!,VLOOKUP(C81,'Fatores de Emissão'!#REF!,5,FALSE)))</f>
        <v/>
      </c>
      <c r="F81" s="360" t="str">
        <f t="shared" si="0"/>
        <v/>
      </c>
      <c r="G81" s="361" t="str">
        <f t="shared" si="1"/>
        <v/>
      </c>
      <c r="H81" s="361" t="str">
        <f>IFERROR(IF(VLOOKUP(B81,Identificação!#REF!,3,FALSE)="",VLOOKUP(B81,Identificação!#REF!,2,FALSE)+VLOOKUP('Emissões Evitadas'!B81,'Fatores de Emissão'!#REF!,3,FALSE),VLOOKUP(B81,Identificação!#REF!,2,FALSE)+VLOOKUP(B81,Identificação!#REF!,3,FALSE)),"")</f>
        <v/>
      </c>
      <c r="I81" s="360" t="str">
        <f>IFERROR(IF(H81&gt;'Fatores de Emissão'!#REF!, (E81+'Fatores de Emissão'!#REF!)/2, (E81+VLOOKUP(H81,'Fatores de Emissão'!#REF!,5,FALSE))/2),"")</f>
        <v/>
      </c>
      <c r="J81" s="360" t="str">
        <f t="shared" si="2"/>
        <v/>
      </c>
    </row>
    <row r="82" spans="2:10" hidden="1" outlineLevel="1" x14ac:dyDescent="0.25">
      <c r="B82" s="278"/>
      <c r="C82" s="374"/>
      <c r="D82" s="542"/>
      <c r="E82" s="360" t="str">
        <f>IF(C82="","",IF(C82&gt;'Fatores de Emissão'!#REF!,'Fatores de Emissão'!#REF!,VLOOKUP(C82,'Fatores de Emissão'!#REF!,5,FALSE)))</f>
        <v/>
      </c>
      <c r="F82" s="360" t="str">
        <f t="shared" si="0"/>
        <v/>
      </c>
      <c r="G82" s="361" t="str">
        <f t="shared" si="1"/>
        <v/>
      </c>
      <c r="H82" s="361" t="str">
        <f>IFERROR(IF(VLOOKUP(B82,Identificação!#REF!,3,FALSE)="",VLOOKUP(B82,Identificação!#REF!,2,FALSE)+VLOOKUP('Emissões Evitadas'!B82,'Fatores de Emissão'!#REF!,3,FALSE),VLOOKUP(B82,Identificação!#REF!,2,FALSE)+VLOOKUP(B82,Identificação!#REF!,3,FALSE)),"")</f>
        <v/>
      </c>
      <c r="I82" s="360" t="str">
        <f>IFERROR(IF(H82&gt;'Fatores de Emissão'!#REF!, (E82+'Fatores de Emissão'!#REF!)/2, (E82+VLOOKUP(H82,'Fatores de Emissão'!#REF!,5,FALSE))/2),"")</f>
        <v/>
      </c>
      <c r="J82" s="360" t="str">
        <f t="shared" si="2"/>
        <v/>
      </c>
    </row>
    <row r="83" spans="2:10" hidden="1" outlineLevel="1" x14ac:dyDescent="0.25">
      <c r="B83" s="278"/>
      <c r="C83" s="374"/>
      <c r="D83" s="542"/>
      <c r="E83" s="360" t="str">
        <f>IF(C83="","",IF(C83&gt;'Fatores de Emissão'!#REF!,'Fatores de Emissão'!#REF!,VLOOKUP(C83,'Fatores de Emissão'!#REF!,5,FALSE)))</f>
        <v/>
      </c>
      <c r="F83" s="360" t="str">
        <f t="shared" si="0"/>
        <v/>
      </c>
      <c r="G83" s="361" t="str">
        <f t="shared" si="1"/>
        <v/>
      </c>
      <c r="H83" s="361" t="str">
        <f>IFERROR(IF(VLOOKUP(B83,Identificação!#REF!,3,FALSE)="",VLOOKUP(B83,Identificação!#REF!,2,FALSE)+VLOOKUP('Emissões Evitadas'!B83,'Fatores de Emissão'!#REF!,3,FALSE),VLOOKUP(B83,Identificação!#REF!,2,FALSE)+VLOOKUP(B83,Identificação!#REF!,3,FALSE)),"")</f>
        <v/>
      </c>
      <c r="I83" s="360" t="str">
        <f>IFERROR(IF(H83&gt;'Fatores de Emissão'!#REF!, (E83+'Fatores de Emissão'!#REF!)/2, (E83+VLOOKUP(H83,'Fatores de Emissão'!#REF!,5,FALSE))/2),"")</f>
        <v/>
      </c>
      <c r="J83" s="360" t="str">
        <f t="shared" si="2"/>
        <v/>
      </c>
    </row>
    <row r="84" spans="2:10" hidden="1" outlineLevel="1" x14ac:dyDescent="0.25">
      <c r="B84" s="278"/>
      <c r="C84" s="374"/>
      <c r="D84" s="542"/>
      <c r="E84" s="360" t="str">
        <f>IF(C84="","",IF(C84&gt;'Fatores de Emissão'!#REF!,'Fatores de Emissão'!#REF!,VLOOKUP(C84,'Fatores de Emissão'!#REF!,5,FALSE)))</f>
        <v/>
      </c>
      <c r="F84" s="360" t="str">
        <f t="shared" si="0"/>
        <v/>
      </c>
      <c r="G84" s="361" t="str">
        <f t="shared" si="1"/>
        <v/>
      </c>
      <c r="H84" s="361" t="str">
        <f>IFERROR(IF(VLOOKUP(B84,Identificação!#REF!,3,FALSE)="",VLOOKUP(B84,Identificação!#REF!,2,FALSE)+VLOOKUP('Emissões Evitadas'!B84,'Fatores de Emissão'!#REF!,3,FALSE),VLOOKUP(B84,Identificação!#REF!,2,FALSE)+VLOOKUP(B84,Identificação!#REF!,3,FALSE)),"")</f>
        <v/>
      </c>
      <c r="I84" s="360" t="str">
        <f>IFERROR(IF(H84&gt;'Fatores de Emissão'!#REF!, (E84+'Fatores de Emissão'!#REF!)/2, (E84+VLOOKUP(H84,'Fatores de Emissão'!#REF!,5,FALSE))/2),"")</f>
        <v/>
      </c>
      <c r="J84" s="360" t="str">
        <f t="shared" si="2"/>
        <v/>
      </c>
    </row>
    <row r="85" spans="2:10" hidden="1" outlineLevel="1" x14ac:dyDescent="0.25">
      <c r="B85" s="278"/>
      <c r="C85" s="374"/>
      <c r="D85" s="542"/>
      <c r="E85" s="360" t="str">
        <f>IF(C85="","",IF(C85&gt;'Fatores de Emissão'!#REF!,'Fatores de Emissão'!#REF!,VLOOKUP(C85,'Fatores de Emissão'!#REF!,5,FALSE)))</f>
        <v/>
      </c>
      <c r="F85" s="360" t="str">
        <f t="shared" si="0"/>
        <v/>
      </c>
      <c r="G85" s="361" t="str">
        <f t="shared" si="1"/>
        <v/>
      </c>
      <c r="H85" s="361" t="str">
        <f>IFERROR(IF(VLOOKUP(B85,Identificação!#REF!,3,FALSE)="",VLOOKUP(B85,Identificação!#REF!,2,FALSE)+VLOOKUP('Emissões Evitadas'!B85,'Fatores de Emissão'!#REF!,3,FALSE),VLOOKUP(B85,Identificação!#REF!,2,FALSE)+VLOOKUP(B85,Identificação!#REF!,3,FALSE)),"")</f>
        <v/>
      </c>
      <c r="I85" s="360" t="str">
        <f>IFERROR(IF(H85&gt;'Fatores de Emissão'!#REF!, (E85+'Fatores de Emissão'!#REF!)/2, (E85+VLOOKUP(H85,'Fatores de Emissão'!#REF!,5,FALSE))/2),"")</f>
        <v/>
      </c>
      <c r="J85" s="360" t="str">
        <f t="shared" si="2"/>
        <v/>
      </c>
    </row>
    <row r="86" spans="2:10" hidden="1" outlineLevel="1" x14ac:dyDescent="0.25">
      <c r="B86" s="278"/>
      <c r="C86" s="374"/>
      <c r="D86" s="542"/>
      <c r="E86" s="360" t="str">
        <f>IF(C86="","",IF(C86&gt;'Fatores de Emissão'!#REF!,'Fatores de Emissão'!#REF!,VLOOKUP(C86,'Fatores de Emissão'!#REF!,5,FALSE)))</f>
        <v/>
      </c>
      <c r="F86" s="360" t="str">
        <f t="shared" si="0"/>
        <v/>
      </c>
      <c r="G86" s="361" t="str">
        <f t="shared" si="1"/>
        <v/>
      </c>
      <c r="H86" s="361" t="str">
        <f>IFERROR(IF(VLOOKUP(B86,Identificação!#REF!,3,FALSE)="",VLOOKUP(B86,Identificação!#REF!,2,FALSE)+VLOOKUP('Emissões Evitadas'!B86,'Fatores de Emissão'!#REF!,3,FALSE),VLOOKUP(B86,Identificação!#REF!,2,FALSE)+VLOOKUP(B86,Identificação!#REF!,3,FALSE)),"")</f>
        <v/>
      </c>
      <c r="I86" s="360" t="str">
        <f>IFERROR(IF(H86&gt;'Fatores de Emissão'!#REF!, (E86+'Fatores de Emissão'!#REF!)/2, (E86+VLOOKUP(H86,'Fatores de Emissão'!#REF!,5,FALSE))/2),"")</f>
        <v/>
      </c>
      <c r="J86" s="360" t="str">
        <f t="shared" si="2"/>
        <v/>
      </c>
    </row>
    <row r="87" spans="2:10" hidden="1" outlineLevel="1" x14ac:dyDescent="0.25">
      <c r="B87" s="278"/>
      <c r="C87" s="374"/>
      <c r="D87" s="542"/>
      <c r="E87" s="360" t="str">
        <f>IF(C87="","",IF(C87&gt;'Fatores de Emissão'!#REF!,'Fatores de Emissão'!#REF!,VLOOKUP(C87,'Fatores de Emissão'!#REF!,5,FALSE)))</f>
        <v/>
      </c>
      <c r="F87" s="360" t="str">
        <f t="shared" si="0"/>
        <v/>
      </c>
      <c r="G87" s="361" t="str">
        <f t="shared" si="1"/>
        <v/>
      </c>
      <c r="H87" s="361" t="str">
        <f>IFERROR(IF(VLOOKUP(B87,Identificação!#REF!,3,FALSE)="",VLOOKUP(B87,Identificação!#REF!,2,FALSE)+VLOOKUP('Emissões Evitadas'!B87,'Fatores de Emissão'!#REF!,3,FALSE),VLOOKUP(B87,Identificação!#REF!,2,FALSE)+VLOOKUP(B87,Identificação!#REF!,3,FALSE)),"")</f>
        <v/>
      </c>
      <c r="I87" s="360" t="str">
        <f>IFERROR(IF(H87&gt;'Fatores de Emissão'!#REF!, (E87+'Fatores de Emissão'!#REF!)/2, (E87+VLOOKUP(H87,'Fatores de Emissão'!#REF!,5,FALSE))/2),"")</f>
        <v/>
      </c>
      <c r="J87" s="360" t="str">
        <f t="shared" si="2"/>
        <v/>
      </c>
    </row>
    <row r="88" spans="2:10" hidden="1" outlineLevel="1" x14ac:dyDescent="0.25">
      <c r="B88" s="278"/>
      <c r="C88" s="374"/>
      <c r="D88" s="542"/>
      <c r="E88" s="360" t="str">
        <f>IF(C88="","",IF(C88&gt;'Fatores de Emissão'!#REF!,'Fatores de Emissão'!#REF!,VLOOKUP(C88,'Fatores de Emissão'!#REF!,5,FALSE)))</f>
        <v/>
      </c>
      <c r="F88" s="360" t="str">
        <f t="shared" si="0"/>
        <v/>
      </c>
      <c r="G88" s="361" t="str">
        <f t="shared" si="1"/>
        <v/>
      </c>
      <c r="H88" s="361" t="str">
        <f>IFERROR(IF(VLOOKUP(B88,Identificação!#REF!,3,FALSE)="",VLOOKUP(B88,Identificação!#REF!,2,FALSE)+VLOOKUP('Emissões Evitadas'!B88,'Fatores de Emissão'!#REF!,3,FALSE),VLOOKUP(B88,Identificação!#REF!,2,FALSE)+VLOOKUP(B88,Identificação!#REF!,3,FALSE)),"")</f>
        <v/>
      </c>
      <c r="I88" s="360" t="str">
        <f>IFERROR(IF(H88&gt;'Fatores de Emissão'!#REF!, (E88+'Fatores de Emissão'!#REF!)/2, (E88+VLOOKUP(H88,'Fatores de Emissão'!#REF!,5,FALSE))/2),"")</f>
        <v/>
      </c>
      <c r="J88" s="360" t="str">
        <f t="shared" si="2"/>
        <v/>
      </c>
    </row>
    <row r="89" spans="2:10" hidden="1" outlineLevel="1" x14ac:dyDescent="0.25">
      <c r="B89" s="278"/>
      <c r="C89" s="374"/>
      <c r="D89" s="542"/>
      <c r="E89" s="360" t="str">
        <f>IF(C89="","",IF(C89&gt;'Fatores de Emissão'!#REF!,'Fatores de Emissão'!#REF!,VLOOKUP(C89,'Fatores de Emissão'!#REF!,5,FALSE)))</f>
        <v/>
      </c>
      <c r="F89" s="360" t="str">
        <f t="shared" si="0"/>
        <v/>
      </c>
      <c r="G89" s="361" t="str">
        <f t="shared" si="1"/>
        <v/>
      </c>
      <c r="H89" s="361" t="str">
        <f>IFERROR(IF(VLOOKUP(B89,Identificação!#REF!,3,FALSE)="",VLOOKUP(B89,Identificação!#REF!,2,FALSE)+VLOOKUP('Emissões Evitadas'!B89,'Fatores de Emissão'!#REF!,3,FALSE),VLOOKUP(B89,Identificação!#REF!,2,FALSE)+VLOOKUP(B89,Identificação!#REF!,3,FALSE)),"")</f>
        <v/>
      </c>
      <c r="I89" s="360" t="str">
        <f>IFERROR(IF(H89&gt;'Fatores de Emissão'!#REF!, (E89+'Fatores de Emissão'!#REF!)/2, (E89+VLOOKUP(H89,'Fatores de Emissão'!#REF!,5,FALSE))/2),"")</f>
        <v/>
      </c>
      <c r="J89" s="360" t="str">
        <f t="shared" si="2"/>
        <v/>
      </c>
    </row>
    <row r="90" spans="2:10" hidden="1" outlineLevel="1" x14ac:dyDescent="0.25">
      <c r="B90" s="278"/>
      <c r="C90" s="374"/>
      <c r="D90" s="542"/>
      <c r="E90" s="360" t="str">
        <f>IF(C90="","",IF(C90&gt;'Fatores de Emissão'!#REF!,'Fatores de Emissão'!#REF!,VLOOKUP(C90,'Fatores de Emissão'!#REF!,5,FALSE)))</f>
        <v/>
      </c>
      <c r="F90" s="360" t="str">
        <f t="shared" si="0"/>
        <v/>
      </c>
      <c r="G90" s="361" t="str">
        <f t="shared" si="1"/>
        <v/>
      </c>
      <c r="H90" s="361" t="str">
        <f>IFERROR(IF(VLOOKUP(B90,Identificação!#REF!,3,FALSE)="",VLOOKUP(B90,Identificação!#REF!,2,FALSE)+VLOOKUP('Emissões Evitadas'!B90,'Fatores de Emissão'!#REF!,3,FALSE),VLOOKUP(B90,Identificação!#REF!,2,FALSE)+VLOOKUP(B90,Identificação!#REF!,3,FALSE)),"")</f>
        <v/>
      </c>
      <c r="I90" s="360" t="str">
        <f>IFERROR(IF(H90&gt;'Fatores de Emissão'!#REF!, (E90+'Fatores de Emissão'!#REF!)/2, (E90+VLOOKUP(H90,'Fatores de Emissão'!#REF!,5,FALSE))/2),"")</f>
        <v/>
      </c>
      <c r="J90" s="360" t="str">
        <f t="shared" si="2"/>
        <v/>
      </c>
    </row>
    <row r="91" spans="2:10" hidden="1" outlineLevel="1" x14ac:dyDescent="0.25">
      <c r="B91" s="278"/>
      <c r="C91" s="374"/>
      <c r="D91" s="542"/>
      <c r="E91" s="360" t="str">
        <f>IF(C91="","",IF(C91&gt;'Fatores de Emissão'!#REF!,'Fatores de Emissão'!#REF!,VLOOKUP(C91,'Fatores de Emissão'!#REF!,5,FALSE)))</f>
        <v/>
      </c>
      <c r="F91" s="360" t="str">
        <f t="shared" si="0"/>
        <v/>
      </c>
      <c r="G91" s="361" t="str">
        <f t="shared" si="1"/>
        <v/>
      </c>
      <c r="H91" s="361" t="str">
        <f>IFERROR(IF(VLOOKUP(B91,Identificação!#REF!,3,FALSE)="",VLOOKUP(B91,Identificação!#REF!,2,FALSE)+VLOOKUP('Emissões Evitadas'!B91,'Fatores de Emissão'!#REF!,3,FALSE),VLOOKUP(B91,Identificação!#REF!,2,FALSE)+VLOOKUP(B91,Identificação!#REF!,3,FALSE)),"")</f>
        <v/>
      </c>
      <c r="I91" s="360" t="str">
        <f>IFERROR(IF(H91&gt;'Fatores de Emissão'!#REF!, (E91+'Fatores de Emissão'!#REF!)/2, (E91+VLOOKUP(H91,'Fatores de Emissão'!#REF!,5,FALSE))/2),"")</f>
        <v/>
      </c>
      <c r="J91" s="360" t="str">
        <f t="shared" si="2"/>
        <v/>
      </c>
    </row>
    <row r="92" spans="2:10" hidden="1" outlineLevel="1" x14ac:dyDescent="0.25">
      <c r="B92" s="278"/>
      <c r="C92" s="374"/>
      <c r="D92" s="542"/>
      <c r="E92" s="360" t="str">
        <f>IF(C92="","",IF(C92&gt;'Fatores de Emissão'!#REF!,'Fatores de Emissão'!#REF!,VLOOKUP(C92,'Fatores de Emissão'!#REF!,5,FALSE)))</f>
        <v/>
      </c>
      <c r="F92" s="360" t="str">
        <f t="shared" si="0"/>
        <v/>
      </c>
      <c r="G92" s="361" t="str">
        <f t="shared" si="1"/>
        <v/>
      </c>
      <c r="H92" s="361" t="str">
        <f>IFERROR(IF(VLOOKUP(B92,Identificação!#REF!,3,FALSE)="",VLOOKUP(B92,Identificação!#REF!,2,FALSE)+VLOOKUP('Emissões Evitadas'!B92,'Fatores de Emissão'!#REF!,3,FALSE),VLOOKUP(B92,Identificação!#REF!,2,FALSE)+VLOOKUP(B92,Identificação!#REF!,3,FALSE)),"")</f>
        <v/>
      </c>
      <c r="I92" s="360" t="str">
        <f>IFERROR(IF(H92&gt;'Fatores de Emissão'!#REF!, (E92+'Fatores de Emissão'!#REF!)/2, (E92+VLOOKUP(H92,'Fatores de Emissão'!#REF!,5,FALSE))/2),"")</f>
        <v/>
      </c>
      <c r="J92" s="360" t="str">
        <f t="shared" si="2"/>
        <v/>
      </c>
    </row>
    <row r="93" spans="2:10" hidden="1" outlineLevel="1" x14ac:dyDescent="0.25">
      <c r="B93" s="278"/>
      <c r="C93" s="374"/>
      <c r="D93" s="542"/>
      <c r="E93" s="360" t="str">
        <f>IF(C93="","",IF(C93&gt;'Fatores de Emissão'!#REF!,'Fatores de Emissão'!#REF!,VLOOKUP(C93,'Fatores de Emissão'!#REF!,5,FALSE)))</f>
        <v/>
      </c>
      <c r="F93" s="360" t="str">
        <f t="shared" si="0"/>
        <v/>
      </c>
      <c r="G93" s="361" t="str">
        <f t="shared" si="1"/>
        <v/>
      </c>
      <c r="H93" s="361" t="str">
        <f>IFERROR(IF(VLOOKUP(B93,Identificação!#REF!,3,FALSE)="",VLOOKUP(B93,Identificação!#REF!,2,FALSE)+VLOOKUP('Emissões Evitadas'!B93,'Fatores de Emissão'!#REF!,3,FALSE),VLOOKUP(B93,Identificação!#REF!,2,FALSE)+VLOOKUP(B93,Identificação!#REF!,3,FALSE)),"")</f>
        <v/>
      </c>
      <c r="I93" s="360" t="str">
        <f>IFERROR(IF(H93&gt;'Fatores de Emissão'!#REF!, (E93+'Fatores de Emissão'!#REF!)/2, (E93+VLOOKUP(H93,'Fatores de Emissão'!#REF!,5,FALSE))/2),"")</f>
        <v/>
      </c>
      <c r="J93" s="360" t="str">
        <f t="shared" si="2"/>
        <v/>
      </c>
    </row>
    <row r="94" spans="2:10" hidden="1" outlineLevel="1" x14ac:dyDescent="0.25">
      <c r="B94" s="278"/>
      <c r="C94" s="374"/>
      <c r="D94" s="542"/>
      <c r="E94" s="360" t="str">
        <f>IF(C94="","",IF(C94&gt;'Fatores de Emissão'!#REF!,'Fatores de Emissão'!#REF!,VLOOKUP(C94,'Fatores de Emissão'!#REF!,5,FALSE)))</f>
        <v/>
      </c>
      <c r="F94" s="360" t="str">
        <f t="shared" si="0"/>
        <v/>
      </c>
      <c r="G94" s="361" t="str">
        <f t="shared" si="1"/>
        <v/>
      </c>
      <c r="H94" s="361" t="str">
        <f>IFERROR(IF(VLOOKUP(B94,Identificação!#REF!,3,FALSE)="",VLOOKUP(B94,Identificação!#REF!,2,FALSE)+VLOOKUP('Emissões Evitadas'!B94,'Fatores de Emissão'!#REF!,3,FALSE),VLOOKUP(B94,Identificação!#REF!,2,FALSE)+VLOOKUP(B94,Identificação!#REF!,3,FALSE)),"")</f>
        <v/>
      </c>
      <c r="I94" s="360" t="str">
        <f>IFERROR(IF(H94&gt;'Fatores de Emissão'!#REF!, (E94+'Fatores de Emissão'!#REF!)/2, (E94+VLOOKUP(H94,'Fatores de Emissão'!#REF!,5,FALSE))/2),"")</f>
        <v/>
      </c>
      <c r="J94" s="360" t="str">
        <f t="shared" si="2"/>
        <v/>
      </c>
    </row>
    <row r="95" spans="2:10" hidden="1" outlineLevel="1" x14ac:dyDescent="0.25">
      <c r="B95" s="278"/>
      <c r="C95" s="374"/>
      <c r="D95" s="542"/>
      <c r="E95" s="360" t="str">
        <f>IF(C95="","",IF(C95&gt;'Fatores de Emissão'!#REF!,'Fatores de Emissão'!#REF!,VLOOKUP(C95,'Fatores de Emissão'!#REF!,5,FALSE)))</f>
        <v/>
      </c>
      <c r="F95" s="360" t="str">
        <f t="shared" ref="F95:F129" si="3">IF(D95&lt;&gt;"",(D95*E95),"")</f>
        <v/>
      </c>
      <c r="G95" s="361" t="str">
        <f t="shared" ref="G95:G129" si="4">IFERROR(H95-C95,"")</f>
        <v/>
      </c>
      <c r="H95" s="361" t="str">
        <f>IFERROR(IF(VLOOKUP(B95,Identificação!#REF!,3,FALSE)="",VLOOKUP(B95,Identificação!#REF!,2,FALSE)+VLOOKUP('Emissões Evitadas'!B95,'Fatores de Emissão'!#REF!,3,FALSE),VLOOKUP(B95,Identificação!#REF!,2,FALSE)+VLOOKUP(B95,Identificação!#REF!,3,FALSE)),"")</f>
        <v/>
      </c>
      <c r="I95" s="360" t="str">
        <f>IFERROR(IF(H95&gt;'Fatores de Emissão'!#REF!, (E95+'Fatores de Emissão'!#REF!)/2, (E95+VLOOKUP(H95,'Fatores de Emissão'!#REF!,5,FALSE))/2),"")</f>
        <v/>
      </c>
      <c r="J95" s="360" t="str">
        <f t="shared" ref="J95:J129" si="5">IF(I95="","",I95*D95)</f>
        <v/>
      </c>
    </row>
    <row r="96" spans="2:10" hidden="1" outlineLevel="1" x14ac:dyDescent="0.25">
      <c r="B96" s="278"/>
      <c r="C96" s="374"/>
      <c r="D96" s="542"/>
      <c r="E96" s="360" t="str">
        <f>IF(C96="","",IF(C96&gt;'Fatores de Emissão'!#REF!,'Fatores de Emissão'!#REF!,VLOOKUP(C96,'Fatores de Emissão'!#REF!,5,FALSE)))</f>
        <v/>
      </c>
      <c r="F96" s="360" t="str">
        <f t="shared" si="3"/>
        <v/>
      </c>
      <c r="G96" s="361" t="str">
        <f t="shared" si="4"/>
        <v/>
      </c>
      <c r="H96" s="361" t="str">
        <f>IFERROR(IF(VLOOKUP(B96,Identificação!#REF!,3,FALSE)="",VLOOKUP(B96,Identificação!#REF!,2,FALSE)+VLOOKUP('Emissões Evitadas'!B96,'Fatores de Emissão'!#REF!,3,FALSE),VLOOKUP(B96,Identificação!#REF!,2,FALSE)+VLOOKUP(B96,Identificação!#REF!,3,FALSE)),"")</f>
        <v/>
      </c>
      <c r="I96" s="360" t="str">
        <f>IFERROR(IF(H96&gt;'Fatores de Emissão'!#REF!, (E96+'Fatores de Emissão'!#REF!)/2, (E96+VLOOKUP(H96,'Fatores de Emissão'!#REF!,5,FALSE))/2),"")</f>
        <v/>
      </c>
      <c r="J96" s="360" t="str">
        <f t="shared" si="5"/>
        <v/>
      </c>
    </row>
    <row r="97" spans="2:10" hidden="1" outlineLevel="1" x14ac:dyDescent="0.25">
      <c r="B97" s="278"/>
      <c r="C97" s="374"/>
      <c r="D97" s="542"/>
      <c r="E97" s="360" t="str">
        <f>IF(C97="","",IF(C97&gt;'Fatores de Emissão'!#REF!,'Fatores de Emissão'!#REF!,VLOOKUP(C97,'Fatores de Emissão'!#REF!,5,FALSE)))</f>
        <v/>
      </c>
      <c r="F97" s="360" t="str">
        <f t="shared" si="3"/>
        <v/>
      </c>
      <c r="G97" s="361" t="str">
        <f t="shared" si="4"/>
        <v/>
      </c>
      <c r="H97" s="361" t="str">
        <f>IFERROR(IF(VLOOKUP(B97,Identificação!#REF!,3,FALSE)="",VLOOKUP(B97,Identificação!#REF!,2,FALSE)+VLOOKUP('Emissões Evitadas'!B97,'Fatores de Emissão'!#REF!,3,FALSE),VLOOKUP(B97,Identificação!#REF!,2,FALSE)+VLOOKUP(B97,Identificação!#REF!,3,FALSE)),"")</f>
        <v/>
      </c>
      <c r="I97" s="360" t="str">
        <f>IFERROR(IF(H97&gt;'Fatores de Emissão'!#REF!, (E97+'Fatores de Emissão'!#REF!)/2, (E97+VLOOKUP(H97,'Fatores de Emissão'!#REF!,5,FALSE))/2),"")</f>
        <v/>
      </c>
      <c r="J97" s="360" t="str">
        <f t="shared" si="5"/>
        <v/>
      </c>
    </row>
    <row r="98" spans="2:10" hidden="1" outlineLevel="1" x14ac:dyDescent="0.25">
      <c r="B98" s="278"/>
      <c r="C98" s="374"/>
      <c r="D98" s="542"/>
      <c r="E98" s="360" t="str">
        <f>IF(C98="","",IF(C98&gt;'Fatores de Emissão'!#REF!,'Fatores de Emissão'!#REF!,VLOOKUP(C98,'Fatores de Emissão'!#REF!,5,FALSE)))</f>
        <v/>
      </c>
      <c r="F98" s="360" t="str">
        <f t="shared" si="3"/>
        <v/>
      </c>
      <c r="G98" s="361" t="str">
        <f t="shared" si="4"/>
        <v/>
      </c>
      <c r="H98" s="361" t="str">
        <f>IFERROR(IF(VLOOKUP(B98,Identificação!#REF!,3,FALSE)="",VLOOKUP(B98,Identificação!#REF!,2,FALSE)+VLOOKUP('Emissões Evitadas'!B98,'Fatores de Emissão'!#REF!,3,FALSE),VLOOKUP(B98,Identificação!#REF!,2,FALSE)+VLOOKUP(B98,Identificação!#REF!,3,FALSE)),"")</f>
        <v/>
      </c>
      <c r="I98" s="360" t="str">
        <f>IFERROR(IF(H98&gt;'Fatores de Emissão'!#REF!, (E98+'Fatores de Emissão'!#REF!)/2, (E98+VLOOKUP(H98,'Fatores de Emissão'!#REF!,5,FALSE))/2),"")</f>
        <v/>
      </c>
      <c r="J98" s="360" t="str">
        <f t="shared" si="5"/>
        <v/>
      </c>
    </row>
    <row r="99" spans="2:10" hidden="1" outlineLevel="1" x14ac:dyDescent="0.25">
      <c r="B99" s="278"/>
      <c r="C99" s="374"/>
      <c r="D99" s="542"/>
      <c r="E99" s="360" t="str">
        <f>IF(C99="","",IF(C99&gt;'Fatores de Emissão'!#REF!,'Fatores de Emissão'!#REF!,VLOOKUP(C99,'Fatores de Emissão'!#REF!,5,FALSE)))</f>
        <v/>
      </c>
      <c r="F99" s="360" t="str">
        <f t="shared" si="3"/>
        <v/>
      </c>
      <c r="G99" s="361" t="str">
        <f t="shared" si="4"/>
        <v/>
      </c>
      <c r="H99" s="361" t="str">
        <f>IFERROR(IF(VLOOKUP(B99,Identificação!#REF!,3,FALSE)="",VLOOKUP(B99,Identificação!#REF!,2,FALSE)+VLOOKUP('Emissões Evitadas'!B99,'Fatores de Emissão'!#REF!,3,FALSE),VLOOKUP(B99,Identificação!#REF!,2,FALSE)+VLOOKUP(B99,Identificação!#REF!,3,FALSE)),"")</f>
        <v/>
      </c>
      <c r="I99" s="360" t="str">
        <f>IFERROR(IF(H99&gt;'Fatores de Emissão'!#REF!, (E99+'Fatores de Emissão'!#REF!)/2, (E99+VLOOKUP(H99,'Fatores de Emissão'!#REF!,5,FALSE))/2),"")</f>
        <v/>
      </c>
      <c r="J99" s="360" t="str">
        <f t="shared" si="5"/>
        <v/>
      </c>
    </row>
    <row r="100" spans="2:10" hidden="1" outlineLevel="1" x14ac:dyDescent="0.25">
      <c r="B100" s="278"/>
      <c r="C100" s="374"/>
      <c r="D100" s="542"/>
      <c r="E100" s="360" t="str">
        <f>IF(C100="","",IF(C100&gt;'Fatores de Emissão'!#REF!,'Fatores de Emissão'!#REF!,VLOOKUP(C100,'Fatores de Emissão'!#REF!,5,FALSE)))</f>
        <v/>
      </c>
      <c r="F100" s="360" t="str">
        <f t="shared" si="3"/>
        <v/>
      </c>
      <c r="G100" s="361" t="str">
        <f t="shared" si="4"/>
        <v/>
      </c>
      <c r="H100" s="361" t="str">
        <f>IFERROR(IF(VLOOKUP(B100,Identificação!#REF!,3,FALSE)="",VLOOKUP(B100,Identificação!#REF!,2,FALSE)+VLOOKUP('Emissões Evitadas'!B100,'Fatores de Emissão'!#REF!,3,FALSE),VLOOKUP(B100,Identificação!#REF!,2,FALSE)+VLOOKUP(B100,Identificação!#REF!,3,FALSE)),"")</f>
        <v/>
      </c>
      <c r="I100" s="360" t="str">
        <f>IFERROR(IF(H100&gt;'Fatores de Emissão'!#REF!, (E100+'Fatores de Emissão'!#REF!)/2, (E100+VLOOKUP(H100,'Fatores de Emissão'!#REF!,5,FALSE))/2),"")</f>
        <v/>
      </c>
      <c r="J100" s="360" t="str">
        <f t="shared" si="5"/>
        <v/>
      </c>
    </row>
    <row r="101" spans="2:10" hidden="1" outlineLevel="1" x14ac:dyDescent="0.25">
      <c r="B101" s="278"/>
      <c r="C101" s="374"/>
      <c r="D101" s="542"/>
      <c r="E101" s="360" t="str">
        <f>IF(C101="","",IF(C101&gt;'Fatores de Emissão'!#REF!,'Fatores de Emissão'!#REF!,VLOOKUP(C101,'Fatores de Emissão'!#REF!,5,FALSE)))</f>
        <v/>
      </c>
      <c r="F101" s="360" t="str">
        <f t="shared" si="3"/>
        <v/>
      </c>
      <c r="G101" s="361" t="str">
        <f t="shared" si="4"/>
        <v/>
      </c>
      <c r="H101" s="361" t="str">
        <f>IFERROR(IF(VLOOKUP(B101,Identificação!#REF!,3,FALSE)="",VLOOKUP(B101,Identificação!#REF!,2,FALSE)+VLOOKUP('Emissões Evitadas'!B101,'Fatores de Emissão'!#REF!,3,FALSE),VLOOKUP(B101,Identificação!#REF!,2,FALSE)+VLOOKUP(B101,Identificação!#REF!,3,FALSE)),"")</f>
        <v/>
      </c>
      <c r="I101" s="360" t="str">
        <f>IFERROR(IF(H101&gt;'Fatores de Emissão'!#REF!, (E101+'Fatores de Emissão'!#REF!)/2, (E101+VLOOKUP(H101,'Fatores de Emissão'!#REF!,5,FALSE))/2),"")</f>
        <v/>
      </c>
      <c r="J101" s="360" t="str">
        <f t="shared" si="5"/>
        <v/>
      </c>
    </row>
    <row r="102" spans="2:10" hidden="1" outlineLevel="1" x14ac:dyDescent="0.25">
      <c r="B102" s="278"/>
      <c r="C102" s="374"/>
      <c r="D102" s="542"/>
      <c r="E102" s="360" t="str">
        <f>IF(C102="","",IF(C102&gt;'Fatores de Emissão'!#REF!,'Fatores de Emissão'!#REF!,VLOOKUP(C102,'Fatores de Emissão'!#REF!,5,FALSE)))</f>
        <v/>
      </c>
      <c r="F102" s="360" t="str">
        <f t="shared" si="3"/>
        <v/>
      </c>
      <c r="G102" s="361" t="str">
        <f t="shared" si="4"/>
        <v/>
      </c>
      <c r="H102" s="361" t="str">
        <f>IFERROR(IF(VLOOKUP(B102,Identificação!#REF!,3,FALSE)="",VLOOKUP(B102,Identificação!#REF!,2,FALSE)+VLOOKUP('Emissões Evitadas'!B102,'Fatores de Emissão'!#REF!,3,FALSE),VLOOKUP(B102,Identificação!#REF!,2,FALSE)+VLOOKUP(B102,Identificação!#REF!,3,FALSE)),"")</f>
        <v/>
      </c>
      <c r="I102" s="360" t="str">
        <f>IFERROR(IF(H102&gt;'Fatores de Emissão'!#REF!, (E102+'Fatores de Emissão'!#REF!)/2, (E102+VLOOKUP(H102,'Fatores de Emissão'!#REF!,5,FALSE))/2),"")</f>
        <v/>
      </c>
      <c r="J102" s="360" t="str">
        <f t="shared" si="5"/>
        <v/>
      </c>
    </row>
    <row r="103" spans="2:10" hidden="1" outlineLevel="1" x14ac:dyDescent="0.25">
      <c r="B103" s="278"/>
      <c r="C103" s="374"/>
      <c r="D103" s="542"/>
      <c r="E103" s="360" t="str">
        <f>IF(C103="","",IF(C103&gt;'Fatores de Emissão'!#REF!,'Fatores de Emissão'!#REF!,VLOOKUP(C103,'Fatores de Emissão'!#REF!,5,FALSE)))</f>
        <v/>
      </c>
      <c r="F103" s="360" t="str">
        <f t="shared" si="3"/>
        <v/>
      </c>
      <c r="G103" s="361" t="str">
        <f t="shared" si="4"/>
        <v/>
      </c>
      <c r="H103" s="361" t="str">
        <f>IFERROR(IF(VLOOKUP(B103,Identificação!#REF!,3,FALSE)="",VLOOKUP(B103,Identificação!#REF!,2,FALSE)+VLOOKUP('Emissões Evitadas'!B103,'Fatores de Emissão'!#REF!,3,FALSE),VLOOKUP(B103,Identificação!#REF!,2,FALSE)+VLOOKUP(B103,Identificação!#REF!,3,FALSE)),"")</f>
        <v/>
      </c>
      <c r="I103" s="360" t="str">
        <f>IFERROR(IF(H103&gt;'Fatores de Emissão'!#REF!, (E103+'Fatores de Emissão'!#REF!)/2, (E103+VLOOKUP(H103,'Fatores de Emissão'!#REF!,5,FALSE))/2),"")</f>
        <v/>
      </c>
      <c r="J103" s="360" t="str">
        <f t="shared" si="5"/>
        <v/>
      </c>
    </row>
    <row r="104" spans="2:10" hidden="1" outlineLevel="1" x14ac:dyDescent="0.25">
      <c r="B104" s="278"/>
      <c r="C104" s="374"/>
      <c r="D104" s="542"/>
      <c r="E104" s="360" t="str">
        <f>IF(C104="","",IF(C104&gt;'Fatores de Emissão'!#REF!,'Fatores de Emissão'!#REF!,VLOOKUP(C104,'Fatores de Emissão'!#REF!,5,FALSE)))</f>
        <v/>
      </c>
      <c r="F104" s="360" t="str">
        <f t="shared" si="3"/>
        <v/>
      </c>
      <c r="G104" s="361" t="str">
        <f t="shared" si="4"/>
        <v/>
      </c>
      <c r="H104" s="361" t="str">
        <f>IFERROR(IF(VLOOKUP(B104,Identificação!#REF!,3,FALSE)="",VLOOKUP(B104,Identificação!#REF!,2,FALSE)+VLOOKUP('Emissões Evitadas'!B104,'Fatores de Emissão'!#REF!,3,FALSE),VLOOKUP(B104,Identificação!#REF!,2,FALSE)+VLOOKUP(B104,Identificação!#REF!,3,FALSE)),"")</f>
        <v/>
      </c>
      <c r="I104" s="360" t="str">
        <f>IFERROR(IF(H104&gt;'Fatores de Emissão'!#REF!, (E104+'Fatores de Emissão'!#REF!)/2, (E104+VLOOKUP(H104,'Fatores de Emissão'!#REF!,5,FALSE))/2),"")</f>
        <v/>
      </c>
      <c r="J104" s="360" t="str">
        <f t="shared" si="5"/>
        <v/>
      </c>
    </row>
    <row r="105" spans="2:10" hidden="1" outlineLevel="1" x14ac:dyDescent="0.25">
      <c r="B105" s="278"/>
      <c r="C105" s="374"/>
      <c r="D105" s="542"/>
      <c r="E105" s="360" t="str">
        <f>IF(C105="","",IF(C105&gt;'Fatores de Emissão'!#REF!,'Fatores de Emissão'!#REF!,VLOOKUP(C105,'Fatores de Emissão'!#REF!,5,FALSE)))</f>
        <v/>
      </c>
      <c r="F105" s="360" t="str">
        <f t="shared" si="3"/>
        <v/>
      </c>
      <c r="G105" s="361" t="str">
        <f t="shared" si="4"/>
        <v/>
      </c>
      <c r="H105" s="361" t="str">
        <f>IFERROR(IF(VLOOKUP(B105,Identificação!#REF!,3,FALSE)="",VLOOKUP(B105,Identificação!#REF!,2,FALSE)+VLOOKUP('Emissões Evitadas'!B105,'Fatores de Emissão'!#REF!,3,FALSE),VLOOKUP(B105,Identificação!#REF!,2,FALSE)+VLOOKUP(B105,Identificação!#REF!,3,FALSE)),"")</f>
        <v/>
      </c>
      <c r="I105" s="360" t="str">
        <f>IFERROR(IF(H105&gt;'Fatores de Emissão'!#REF!, (E105+'Fatores de Emissão'!#REF!)/2, (E105+VLOOKUP(H105,'Fatores de Emissão'!#REF!,5,FALSE))/2),"")</f>
        <v/>
      </c>
      <c r="J105" s="360" t="str">
        <f t="shared" si="5"/>
        <v/>
      </c>
    </row>
    <row r="106" spans="2:10" hidden="1" outlineLevel="1" x14ac:dyDescent="0.25">
      <c r="B106" s="278"/>
      <c r="C106" s="374"/>
      <c r="D106" s="542"/>
      <c r="E106" s="360" t="str">
        <f>IF(C106="","",IF(C106&gt;'Fatores de Emissão'!#REF!,'Fatores de Emissão'!#REF!,VLOOKUP(C106,'Fatores de Emissão'!#REF!,5,FALSE)))</f>
        <v/>
      </c>
      <c r="F106" s="360" t="str">
        <f t="shared" si="3"/>
        <v/>
      </c>
      <c r="G106" s="361" t="str">
        <f t="shared" si="4"/>
        <v/>
      </c>
      <c r="H106" s="361" t="str">
        <f>IFERROR(IF(VLOOKUP(B106,Identificação!#REF!,3,FALSE)="",VLOOKUP(B106,Identificação!#REF!,2,FALSE)+VLOOKUP('Emissões Evitadas'!B106,'Fatores de Emissão'!#REF!,3,FALSE),VLOOKUP(B106,Identificação!#REF!,2,FALSE)+VLOOKUP(B106,Identificação!#REF!,3,FALSE)),"")</f>
        <v/>
      </c>
      <c r="I106" s="360" t="str">
        <f>IFERROR(IF(H106&gt;'Fatores de Emissão'!#REF!, (E106+'Fatores de Emissão'!#REF!)/2, (E106+VLOOKUP(H106,'Fatores de Emissão'!#REF!,5,FALSE))/2),"")</f>
        <v/>
      </c>
      <c r="J106" s="360" t="str">
        <f t="shared" si="5"/>
        <v/>
      </c>
    </row>
    <row r="107" spans="2:10" hidden="1" outlineLevel="1" x14ac:dyDescent="0.25">
      <c r="B107" s="278"/>
      <c r="C107" s="374"/>
      <c r="D107" s="542"/>
      <c r="E107" s="360" t="str">
        <f>IF(C107="","",IF(C107&gt;'Fatores de Emissão'!#REF!,'Fatores de Emissão'!#REF!,VLOOKUP(C107,'Fatores de Emissão'!#REF!,5,FALSE)))</f>
        <v/>
      </c>
      <c r="F107" s="360" t="str">
        <f t="shared" si="3"/>
        <v/>
      </c>
      <c r="G107" s="361" t="str">
        <f t="shared" si="4"/>
        <v/>
      </c>
      <c r="H107" s="361" t="str">
        <f>IFERROR(IF(VLOOKUP(B107,Identificação!#REF!,3,FALSE)="",VLOOKUP(B107,Identificação!#REF!,2,FALSE)+VLOOKUP('Emissões Evitadas'!B107,'Fatores de Emissão'!#REF!,3,FALSE),VLOOKUP(B107,Identificação!#REF!,2,FALSE)+VLOOKUP(B107,Identificação!#REF!,3,FALSE)),"")</f>
        <v/>
      </c>
      <c r="I107" s="360" t="str">
        <f>IFERROR(IF(H107&gt;'Fatores de Emissão'!#REF!, (E107+'Fatores de Emissão'!#REF!)/2, (E107+VLOOKUP(H107,'Fatores de Emissão'!#REF!,5,FALSE))/2),"")</f>
        <v/>
      </c>
      <c r="J107" s="360" t="str">
        <f t="shared" si="5"/>
        <v/>
      </c>
    </row>
    <row r="108" spans="2:10" hidden="1" outlineLevel="1" x14ac:dyDescent="0.25">
      <c r="B108" s="278"/>
      <c r="C108" s="374"/>
      <c r="D108" s="542"/>
      <c r="E108" s="360" t="str">
        <f>IF(C108="","",IF(C108&gt;'Fatores de Emissão'!#REF!,'Fatores de Emissão'!#REF!,VLOOKUP(C108,'Fatores de Emissão'!#REF!,5,FALSE)))</f>
        <v/>
      </c>
      <c r="F108" s="360" t="str">
        <f t="shared" si="3"/>
        <v/>
      </c>
      <c r="G108" s="361" t="str">
        <f t="shared" si="4"/>
        <v/>
      </c>
      <c r="H108" s="361" t="str">
        <f>IFERROR(IF(VLOOKUP(B108,Identificação!#REF!,3,FALSE)="",VLOOKUP(B108,Identificação!#REF!,2,FALSE)+VLOOKUP('Emissões Evitadas'!B108,'Fatores de Emissão'!#REF!,3,FALSE),VLOOKUP(B108,Identificação!#REF!,2,FALSE)+VLOOKUP(B108,Identificação!#REF!,3,FALSE)),"")</f>
        <v/>
      </c>
      <c r="I108" s="360" t="str">
        <f>IFERROR(IF(H108&gt;'Fatores de Emissão'!#REF!, (E108+'Fatores de Emissão'!#REF!)/2, (E108+VLOOKUP(H108,'Fatores de Emissão'!#REF!,5,FALSE))/2),"")</f>
        <v/>
      </c>
      <c r="J108" s="360" t="str">
        <f t="shared" si="5"/>
        <v/>
      </c>
    </row>
    <row r="109" spans="2:10" hidden="1" outlineLevel="1" x14ac:dyDescent="0.25">
      <c r="B109" s="278"/>
      <c r="C109" s="374"/>
      <c r="D109" s="542"/>
      <c r="E109" s="360" t="str">
        <f>IF(C109="","",IF(C109&gt;'Fatores de Emissão'!#REF!,'Fatores de Emissão'!#REF!,VLOOKUP(C109,'Fatores de Emissão'!#REF!,5,FALSE)))</f>
        <v/>
      </c>
      <c r="F109" s="360" t="str">
        <f t="shared" si="3"/>
        <v/>
      </c>
      <c r="G109" s="361" t="str">
        <f t="shared" si="4"/>
        <v/>
      </c>
      <c r="H109" s="361" t="str">
        <f>IFERROR(IF(VLOOKUP(B109,Identificação!#REF!,3,FALSE)="",VLOOKUP(B109,Identificação!#REF!,2,FALSE)+VLOOKUP('Emissões Evitadas'!B109,'Fatores de Emissão'!#REF!,3,FALSE),VLOOKUP(B109,Identificação!#REF!,2,FALSE)+VLOOKUP(B109,Identificação!#REF!,3,FALSE)),"")</f>
        <v/>
      </c>
      <c r="I109" s="360" t="str">
        <f>IFERROR(IF(H109&gt;'Fatores de Emissão'!#REF!, (E109+'Fatores de Emissão'!#REF!)/2, (E109+VLOOKUP(H109,'Fatores de Emissão'!#REF!,5,FALSE))/2),"")</f>
        <v/>
      </c>
      <c r="J109" s="360" t="str">
        <f t="shared" si="5"/>
        <v/>
      </c>
    </row>
    <row r="110" spans="2:10" hidden="1" outlineLevel="1" x14ac:dyDescent="0.25">
      <c r="B110" s="278"/>
      <c r="C110" s="374"/>
      <c r="D110" s="542"/>
      <c r="E110" s="360" t="str">
        <f>IF(C110="","",IF(C110&gt;'Fatores de Emissão'!#REF!,'Fatores de Emissão'!#REF!,VLOOKUP(C110,'Fatores de Emissão'!#REF!,5,FALSE)))</f>
        <v/>
      </c>
      <c r="F110" s="360" t="str">
        <f t="shared" si="3"/>
        <v/>
      </c>
      <c r="G110" s="361" t="str">
        <f t="shared" si="4"/>
        <v/>
      </c>
      <c r="H110" s="361" t="str">
        <f>IFERROR(IF(VLOOKUP(B110,Identificação!#REF!,3,FALSE)="",VLOOKUP(B110,Identificação!#REF!,2,FALSE)+VLOOKUP('Emissões Evitadas'!B110,'Fatores de Emissão'!#REF!,3,FALSE),VLOOKUP(B110,Identificação!#REF!,2,FALSE)+VLOOKUP(B110,Identificação!#REF!,3,FALSE)),"")</f>
        <v/>
      </c>
      <c r="I110" s="360" t="str">
        <f>IFERROR(IF(H110&gt;'Fatores de Emissão'!#REF!, (E110+'Fatores de Emissão'!#REF!)/2, (E110+VLOOKUP(H110,'Fatores de Emissão'!#REF!,5,FALSE))/2),"")</f>
        <v/>
      </c>
      <c r="J110" s="360" t="str">
        <f t="shared" si="5"/>
        <v/>
      </c>
    </row>
    <row r="111" spans="2:10" hidden="1" outlineLevel="1" x14ac:dyDescent="0.25">
      <c r="B111" s="278"/>
      <c r="C111" s="374"/>
      <c r="D111" s="542"/>
      <c r="E111" s="360" t="str">
        <f>IF(C111="","",IF(C111&gt;'Fatores de Emissão'!#REF!,'Fatores de Emissão'!#REF!,VLOOKUP(C111,'Fatores de Emissão'!#REF!,5,FALSE)))</f>
        <v/>
      </c>
      <c r="F111" s="360" t="str">
        <f t="shared" si="3"/>
        <v/>
      </c>
      <c r="G111" s="361" t="str">
        <f t="shared" si="4"/>
        <v/>
      </c>
      <c r="H111" s="361" t="str">
        <f>IFERROR(IF(VLOOKUP(B111,Identificação!#REF!,3,FALSE)="",VLOOKUP(B111,Identificação!#REF!,2,FALSE)+VLOOKUP('Emissões Evitadas'!B111,'Fatores de Emissão'!#REF!,3,FALSE),VLOOKUP(B111,Identificação!#REF!,2,FALSE)+VLOOKUP(B111,Identificação!#REF!,3,FALSE)),"")</f>
        <v/>
      </c>
      <c r="I111" s="360" t="str">
        <f>IFERROR(IF(H111&gt;'Fatores de Emissão'!#REF!, (E111+'Fatores de Emissão'!#REF!)/2, (E111+VLOOKUP(H111,'Fatores de Emissão'!#REF!,5,FALSE))/2),"")</f>
        <v/>
      </c>
      <c r="J111" s="360" t="str">
        <f t="shared" si="5"/>
        <v/>
      </c>
    </row>
    <row r="112" spans="2:10" hidden="1" outlineLevel="1" x14ac:dyDescent="0.25">
      <c r="B112" s="278"/>
      <c r="C112" s="374"/>
      <c r="D112" s="542"/>
      <c r="E112" s="360" t="str">
        <f>IF(C112="","",IF(C112&gt;'Fatores de Emissão'!#REF!,'Fatores de Emissão'!#REF!,VLOOKUP(C112,'Fatores de Emissão'!#REF!,5,FALSE)))</f>
        <v/>
      </c>
      <c r="F112" s="360" t="str">
        <f t="shared" si="3"/>
        <v/>
      </c>
      <c r="G112" s="361" t="str">
        <f t="shared" si="4"/>
        <v/>
      </c>
      <c r="H112" s="361" t="str">
        <f>IFERROR(IF(VLOOKUP(B112,Identificação!#REF!,3,FALSE)="",VLOOKUP(B112,Identificação!#REF!,2,FALSE)+VLOOKUP('Emissões Evitadas'!B112,'Fatores de Emissão'!#REF!,3,FALSE),VLOOKUP(B112,Identificação!#REF!,2,FALSE)+VLOOKUP(B112,Identificação!#REF!,3,FALSE)),"")</f>
        <v/>
      </c>
      <c r="I112" s="360" t="str">
        <f>IFERROR(IF(H112&gt;'Fatores de Emissão'!#REF!, (E112+'Fatores de Emissão'!#REF!)/2, (E112+VLOOKUP(H112,'Fatores de Emissão'!#REF!,5,FALSE))/2),"")</f>
        <v/>
      </c>
      <c r="J112" s="360" t="str">
        <f t="shared" si="5"/>
        <v/>
      </c>
    </row>
    <row r="113" spans="2:10" hidden="1" outlineLevel="1" x14ac:dyDescent="0.25">
      <c r="B113" s="278"/>
      <c r="C113" s="374"/>
      <c r="D113" s="542"/>
      <c r="E113" s="360" t="str">
        <f>IF(C113="","",IF(C113&gt;'Fatores de Emissão'!#REF!,'Fatores de Emissão'!#REF!,VLOOKUP(C113,'Fatores de Emissão'!#REF!,5,FALSE)))</f>
        <v/>
      </c>
      <c r="F113" s="360" t="str">
        <f t="shared" si="3"/>
        <v/>
      </c>
      <c r="G113" s="361" t="str">
        <f t="shared" si="4"/>
        <v/>
      </c>
      <c r="H113" s="361" t="str">
        <f>IFERROR(IF(VLOOKUP(B113,Identificação!#REF!,3,FALSE)="",VLOOKUP(B113,Identificação!#REF!,2,FALSE)+VLOOKUP('Emissões Evitadas'!B113,'Fatores de Emissão'!#REF!,3,FALSE),VLOOKUP(B113,Identificação!#REF!,2,FALSE)+VLOOKUP(B113,Identificação!#REF!,3,FALSE)),"")</f>
        <v/>
      </c>
      <c r="I113" s="360" t="str">
        <f>IFERROR(IF(H113&gt;'Fatores de Emissão'!#REF!, (E113+'Fatores de Emissão'!#REF!)/2, (E113+VLOOKUP(H113,'Fatores de Emissão'!#REF!,5,FALSE))/2),"")</f>
        <v/>
      </c>
      <c r="J113" s="360" t="str">
        <f t="shared" si="5"/>
        <v/>
      </c>
    </row>
    <row r="114" spans="2:10" hidden="1" outlineLevel="1" x14ac:dyDescent="0.25">
      <c r="B114" s="278"/>
      <c r="C114" s="374"/>
      <c r="D114" s="542"/>
      <c r="E114" s="360" t="str">
        <f>IF(C114="","",IF(C114&gt;'Fatores de Emissão'!#REF!,'Fatores de Emissão'!#REF!,VLOOKUP(C114,'Fatores de Emissão'!#REF!,5,FALSE)))</f>
        <v/>
      </c>
      <c r="F114" s="360" t="str">
        <f t="shared" si="3"/>
        <v/>
      </c>
      <c r="G114" s="361" t="str">
        <f t="shared" si="4"/>
        <v/>
      </c>
      <c r="H114" s="361" t="str">
        <f>IFERROR(IF(VLOOKUP(B114,Identificação!#REF!,3,FALSE)="",VLOOKUP(B114,Identificação!#REF!,2,FALSE)+VLOOKUP('Emissões Evitadas'!B114,'Fatores de Emissão'!#REF!,3,FALSE),VLOOKUP(B114,Identificação!#REF!,2,FALSE)+VLOOKUP(B114,Identificação!#REF!,3,FALSE)),"")</f>
        <v/>
      </c>
      <c r="I114" s="360" t="str">
        <f>IFERROR(IF(H114&gt;'Fatores de Emissão'!#REF!, (E114+'Fatores de Emissão'!#REF!)/2, (E114+VLOOKUP(H114,'Fatores de Emissão'!#REF!,5,FALSE))/2),"")</f>
        <v/>
      </c>
      <c r="J114" s="360" t="str">
        <f t="shared" si="5"/>
        <v/>
      </c>
    </row>
    <row r="115" spans="2:10" hidden="1" outlineLevel="1" x14ac:dyDescent="0.25">
      <c r="B115" s="278"/>
      <c r="C115" s="374"/>
      <c r="D115" s="542"/>
      <c r="E115" s="360" t="str">
        <f>IF(C115="","",IF(C115&gt;'Fatores de Emissão'!#REF!,'Fatores de Emissão'!#REF!,VLOOKUP(C115,'Fatores de Emissão'!#REF!,5,FALSE)))</f>
        <v/>
      </c>
      <c r="F115" s="360" t="str">
        <f t="shared" si="3"/>
        <v/>
      </c>
      <c r="G115" s="361" t="str">
        <f t="shared" si="4"/>
        <v/>
      </c>
      <c r="H115" s="361" t="str">
        <f>IFERROR(IF(VLOOKUP(B115,Identificação!#REF!,3,FALSE)="",VLOOKUP(B115,Identificação!#REF!,2,FALSE)+VLOOKUP('Emissões Evitadas'!B115,'Fatores de Emissão'!#REF!,3,FALSE),VLOOKUP(B115,Identificação!#REF!,2,FALSE)+VLOOKUP(B115,Identificação!#REF!,3,FALSE)),"")</f>
        <v/>
      </c>
      <c r="I115" s="360" t="str">
        <f>IFERROR(IF(H115&gt;'Fatores de Emissão'!#REF!, (E115+'Fatores de Emissão'!#REF!)/2, (E115+VLOOKUP(H115,'Fatores de Emissão'!#REF!,5,FALSE))/2),"")</f>
        <v/>
      </c>
      <c r="J115" s="360" t="str">
        <f t="shared" si="5"/>
        <v/>
      </c>
    </row>
    <row r="116" spans="2:10" hidden="1" outlineLevel="1" x14ac:dyDescent="0.25">
      <c r="B116" s="278"/>
      <c r="C116" s="374"/>
      <c r="D116" s="542"/>
      <c r="E116" s="360" t="str">
        <f>IF(C116="","",IF(C116&gt;'Fatores de Emissão'!#REF!,'Fatores de Emissão'!#REF!,VLOOKUP(C116,'Fatores de Emissão'!#REF!,5,FALSE)))</f>
        <v/>
      </c>
      <c r="F116" s="360" t="str">
        <f t="shared" si="3"/>
        <v/>
      </c>
      <c r="G116" s="361" t="str">
        <f t="shared" si="4"/>
        <v/>
      </c>
      <c r="H116" s="361" t="str">
        <f>IFERROR(IF(VLOOKUP(B116,Identificação!#REF!,3,FALSE)="",VLOOKUP(B116,Identificação!#REF!,2,FALSE)+VLOOKUP('Emissões Evitadas'!B116,'Fatores de Emissão'!#REF!,3,FALSE),VLOOKUP(B116,Identificação!#REF!,2,FALSE)+VLOOKUP(B116,Identificação!#REF!,3,FALSE)),"")</f>
        <v/>
      </c>
      <c r="I116" s="360" t="str">
        <f>IFERROR(IF(H116&gt;'Fatores de Emissão'!#REF!, (E116+'Fatores de Emissão'!#REF!)/2, (E116+VLOOKUP(H116,'Fatores de Emissão'!#REF!,5,FALSE))/2),"")</f>
        <v/>
      </c>
      <c r="J116" s="360" t="str">
        <f t="shared" si="5"/>
        <v/>
      </c>
    </row>
    <row r="117" spans="2:10" hidden="1" outlineLevel="1" x14ac:dyDescent="0.25">
      <c r="B117" s="278"/>
      <c r="C117" s="374"/>
      <c r="D117" s="542"/>
      <c r="E117" s="360" t="str">
        <f>IF(C117="","",IF(C117&gt;'Fatores de Emissão'!#REF!,'Fatores de Emissão'!#REF!,VLOOKUP(C117,'Fatores de Emissão'!#REF!,5,FALSE)))</f>
        <v/>
      </c>
      <c r="F117" s="360" t="str">
        <f t="shared" si="3"/>
        <v/>
      </c>
      <c r="G117" s="361" t="str">
        <f t="shared" si="4"/>
        <v/>
      </c>
      <c r="H117" s="361" t="str">
        <f>IFERROR(IF(VLOOKUP(B117,Identificação!#REF!,3,FALSE)="",VLOOKUP(B117,Identificação!#REF!,2,FALSE)+VLOOKUP('Emissões Evitadas'!B117,'Fatores de Emissão'!#REF!,3,FALSE),VLOOKUP(B117,Identificação!#REF!,2,FALSE)+VLOOKUP(B117,Identificação!#REF!,3,FALSE)),"")</f>
        <v/>
      </c>
      <c r="I117" s="360" t="str">
        <f>IFERROR(IF(H117&gt;'Fatores de Emissão'!#REF!, (E117+'Fatores de Emissão'!#REF!)/2, (E117+VLOOKUP(H117,'Fatores de Emissão'!#REF!,5,FALSE))/2),"")</f>
        <v/>
      </c>
      <c r="J117" s="360" t="str">
        <f t="shared" si="5"/>
        <v/>
      </c>
    </row>
    <row r="118" spans="2:10" hidden="1" outlineLevel="1" x14ac:dyDescent="0.25">
      <c r="B118" s="278"/>
      <c r="C118" s="374"/>
      <c r="D118" s="542"/>
      <c r="E118" s="360" t="str">
        <f>IF(C118="","",IF(C118&gt;'Fatores de Emissão'!#REF!,'Fatores de Emissão'!#REF!,VLOOKUP(C118,'Fatores de Emissão'!#REF!,5,FALSE)))</f>
        <v/>
      </c>
      <c r="F118" s="360" t="str">
        <f t="shared" si="3"/>
        <v/>
      </c>
      <c r="G118" s="361" t="str">
        <f t="shared" si="4"/>
        <v/>
      </c>
      <c r="H118" s="361" t="str">
        <f>IFERROR(IF(VLOOKUP(B118,Identificação!#REF!,3,FALSE)="",VLOOKUP(B118,Identificação!#REF!,2,FALSE)+VLOOKUP('Emissões Evitadas'!B118,'Fatores de Emissão'!#REF!,3,FALSE),VLOOKUP(B118,Identificação!#REF!,2,FALSE)+VLOOKUP(B118,Identificação!#REF!,3,FALSE)),"")</f>
        <v/>
      </c>
      <c r="I118" s="360" t="str">
        <f>IFERROR(IF(H118&gt;'Fatores de Emissão'!#REF!, (E118+'Fatores de Emissão'!#REF!)/2, (E118+VLOOKUP(H118,'Fatores de Emissão'!#REF!,5,FALSE))/2),"")</f>
        <v/>
      </c>
      <c r="J118" s="360" t="str">
        <f t="shared" si="5"/>
        <v/>
      </c>
    </row>
    <row r="119" spans="2:10" hidden="1" outlineLevel="1" x14ac:dyDescent="0.25">
      <c r="B119" s="278"/>
      <c r="C119" s="374"/>
      <c r="D119" s="542"/>
      <c r="E119" s="360" t="str">
        <f>IF(C119="","",IF(C119&gt;'Fatores de Emissão'!#REF!,'Fatores de Emissão'!#REF!,VLOOKUP(C119,'Fatores de Emissão'!#REF!,5,FALSE)))</f>
        <v/>
      </c>
      <c r="F119" s="360" t="str">
        <f t="shared" si="3"/>
        <v/>
      </c>
      <c r="G119" s="361" t="str">
        <f t="shared" si="4"/>
        <v/>
      </c>
      <c r="H119" s="361" t="str">
        <f>IFERROR(IF(VLOOKUP(B119,Identificação!#REF!,3,FALSE)="",VLOOKUP(B119,Identificação!#REF!,2,FALSE)+VLOOKUP('Emissões Evitadas'!B119,'Fatores de Emissão'!#REF!,3,FALSE),VLOOKUP(B119,Identificação!#REF!,2,FALSE)+VLOOKUP(B119,Identificação!#REF!,3,FALSE)),"")</f>
        <v/>
      </c>
      <c r="I119" s="360" t="str">
        <f>IFERROR(IF(H119&gt;'Fatores de Emissão'!#REF!, (E119+'Fatores de Emissão'!#REF!)/2, (E119+VLOOKUP(H119,'Fatores de Emissão'!#REF!,5,FALSE))/2),"")</f>
        <v/>
      </c>
      <c r="J119" s="360" t="str">
        <f t="shared" si="5"/>
        <v/>
      </c>
    </row>
    <row r="120" spans="2:10" hidden="1" outlineLevel="1" x14ac:dyDescent="0.25">
      <c r="B120" s="278"/>
      <c r="C120" s="374"/>
      <c r="D120" s="542"/>
      <c r="E120" s="360" t="str">
        <f>IF(C120="","",IF(C120&gt;'Fatores de Emissão'!#REF!,'Fatores de Emissão'!#REF!,VLOOKUP(C120,'Fatores de Emissão'!#REF!,5,FALSE)))</f>
        <v/>
      </c>
      <c r="F120" s="360" t="str">
        <f t="shared" si="3"/>
        <v/>
      </c>
      <c r="G120" s="361" t="str">
        <f t="shared" si="4"/>
        <v/>
      </c>
      <c r="H120" s="361" t="str">
        <f>IFERROR(IF(VLOOKUP(B120,Identificação!#REF!,3,FALSE)="",VLOOKUP(B120,Identificação!#REF!,2,FALSE)+VLOOKUP('Emissões Evitadas'!B120,'Fatores de Emissão'!#REF!,3,FALSE),VLOOKUP(B120,Identificação!#REF!,2,FALSE)+VLOOKUP(B120,Identificação!#REF!,3,FALSE)),"")</f>
        <v/>
      </c>
      <c r="I120" s="360" t="str">
        <f>IFERROR(IF(H120&gt;'Fatores de Emissão'!#REF!, (E120+'Fatores de Emissão'!#REF!)/2, (E120+VLOOKUP(H120,'Fatores de Emissão'!#REF!,5,FALSE))/2),"")</f>
        <v/>
      </c>
      <c r="J120" s="360" t="str">
        <f t="shared" si="5"/>
        <v/>
      </c>
    </row>
    <row r="121" spans="2:10" hidden="1" outlineLevel="1" x14ac:dyDescent="0.25">
      <c r="B121" s="278"/>
      <c r="C121" s="374"/>
      <c r="D121" s="542"/>
      <c r="E121" s="360" t="str">
        <f>IF(C121="","",IF(C121&gt;'Fatores de Emissão'!#REF!,'Fatores de Emissão'!#REF!,VLOOKUP(C121,'Fatores de Emissão'!#REF!,5,FALSE)))</f>
        <v/>
      </c>
      <c r="F121" s="360" t="str">
        <f t="shared" si="3"/>
        <v/>
      </c>
      <c r="G121" s="361" t="str">
        <f t="shared" si="4"/>
        <v/>
      </c>
      <c r="H121" s="361" t="str">
        <f>IFERROR(IF(VLOOKUP(B121,Identificação!#REF!,3,FALSE)="",VLOOKUP(B121,Identificação!#REF!,2,FALSE)+VLOOKUP('Emissões Evitadas'!B121,'Fatores de Emissão'!#REF!,3,FALSE),VLOOKUP(B121,Identificação!#REF!,2,FALSE)+VLOOKUP(B121,Identificação!#REF!,3,FALSE)),"")</f>
        <v/>
      </c>
      <c r="I121" s="360" t="str">
        <f>IFERROR(IF(H121&gt;'Fatores de Emissão'!#REF!, (E121+'Fatores de Emissão'!#REF!)/2, (E121+VLOOKUP(H121,'Fatores de Emissão'!#REF!,5,FALSE))/2),"")</f>
        <v/>
      </c>
      <c r="J121" s="360" t="str">
        <f t="shared" si="5"/>
        <v/>
      </c>
    </row>
    <row r="122" spans="2:10" hidden="1" outlineLevel="1" x14ac:dyDescent="0.25">
      <c r="B122" s="278"/>
      <c r="C122" s="374"/>
      <c r="D122" s="542"/>
      <c r="E122" s="360" t="str">
        <f>IF(C122="","",IF(C122&gt;'Fatores de Emissão'!#REF!,'Fatores de Emissão'!#REF!,VLOOKUP(C122,'Fatores de Emissão'!#REF!,5,FALSE)))</f>
        <v/>
      </c>
      <c r="F122" s="360" t="str">
        <f t="shared" si="3"/>
        <v/>
      </c>
      <c r="G122" s="361" t="str">
        <f t="shared" si="4"/>
        <v/>
      </c>
      <c r="H122" s="361" t="str">
        <f>IFERROR(IF(VLOOKUP(B122,Identificação!#REF!,3,FALSE)="",VLOOKUP(B122,Identificação!#REF!,2,FALSE)+VLOOKUP('Emissões Evitadas'!B122,'Fatores de Emissão'!#REF!,3,FALSE),VLOOKUP(B122,Identificação!#REF!,2,FALSE)+VLOOKUP(B122,Identificação!#REF!,3,FALSE)),"")</f>
        <v/>
      </c>
      <c r="I122" s="360" t="str">
        <f>IFERROR(IF(H122&gt;'Fatores de Emissão'!#REF!, (E122+'Fatores de Emissão'!#REF!)/2, (E122+VLOOKUP(H122,'Fatores de Emissão'!#REF!,5,FALSE))/2),"")</f>
        <v/>
      </c>
      <c r="J122" s="360" t="str">
        <f t="shared" si="5"/>
        <v/>
      </c>
    </row>
    <row r="123" spans="2:10" hidden="1" outlineLevel="1" x14ac:dyDescent="0.25">
      <c r="B123" s="278"/>
      <c r="C123" s="374"/>
      <c r="D123" s="542"/>
      <c r="E123" s="360" t="str">
        <f>IF(C123="","",IF(C123&gt;'Fatores de Emissão'!#REF!,'Fatores de Emissão'!#REF!,VLOOKUP(C123,'Fatores de Emissão'!#REF!,5,FALSE)))</f>
        <v/>
      </c>
      <c r="F123" s="360" t="str">
        <f t="shared" si="3"/>
        <v/>
      </c>
      <c r="G123" s="361" t="str">
        <f t="shared" si="4"/>
        <v/>
      </c>
      <c r="H123" s="361" t="str">
        <f>IFERROR(IF(VLOOKUP(B123,Identificação!#REF!,3,FALSE)="",VLOOKUP(B123,Identificação!#REF!,2,FALSE)+VLOOKUP('Emissões Evitadas'!B123,'Fatores de Emissão'!#REF!,3,FALSE),VLOOKUP(B123,Identificação!#REF!,2,FALSE)+VLOOKUP(B123,Identificação!#REF!,3,FALSE)),"")</f>
        <v/>
      </c>
      <c r="I123" s="360" t="str">
        <f>IFERROR(IF(H123&gt;'Fatores de Emissão'!#REF!, (E123+'Fatores de Emissão'!#REF!)/2, (E123+VLOOKUP(H123,'Fatores de Emissão'!#REF!,5,FALSE))/2),"")</f>
        <v/>
      </c>
      <c r="J123" s="360" t="str">
        <f t="shared" si="5"/>
        <v/>
      </c>
    </row>
    <row r="124" spans="2:10" hidden="1" outlineLevel="1" x14ac:dyDescent="0.25">
      <c r="B124" s="278"/>
      <c r="C124" s="374"/>
      <c r="D124" s="542"/>
      <c r="E124" s="360" t="str">
        <f>IF(C124="","",IF(C124&gt;'Fatores de Emissão'!#REF!,'Fatores de Emissão'!#REF!,VLOOKUP(C124,'Fatores de Emissão'!#REF!,5,FALSE)))</f>
        <v/>
      </c>
      <c r="F124" s="360" t="str">
        <f t="shared" si="3"/>
        <v/>
      </c>
      <c r="G124" s="361" t="str">
        <f t="shared" si="4"/>
        <v/>
      </c>
      <c r="H124" s="361" t="str">
        <f>IFERROR(IF(VLOOKUP(B124,Identificação!#REF!,3,FALSE)="",VLOOKUP(B124,Identificação!#REF!,2,FALSE)+VLOOKUP('Emissões Evitadas'!B124,'Fatores de Emissão'!#REF!,3,FALSE),VLOOKUP(B124,Identificação!#REF!,2,FALSE)+VLOOKUP(B124,Identificação!#REF!,3,FALSE)),"")</f>
        <v/>
      </c>
      <c r="I124" s="360" t="str">
        <f>IFERROR(IF(H124&gt;'Fatores de Emissão'!#REF!, (E124+'Fatores de Emissão'!#REF!)/2, (E124+VLOOKUP(H124,'Fatores de Emissão'!#REF!,5,FALSE))/2),"")</f>
        <v/>
      </c>
      <c r="J124" s="360" t="str">
        <f t="shared" si="5"/>
        <v/>
      </c>
    </row>
    <row r="125" spans="2:10" hidden="1" outlineLevel="1" x14ac:dyDescent="0.25">
      <c r="B125" s="278"/>
      <c r="C125" s="374"/>
      <c r="D125" s="542"/>
      <c r="E125" s="360" t="str">
        <f>IF(C125="","",IF(C125&gt;'Fatores de Emissão'!#REF!,'Fatores de Emissão'!#REF!,VLOOKUP(C125,'Fatores de Emissão'!#REF!,5,FALSE)))</f>
        <v/>
      </c>
      <c r="F125" s="360" t="str">
        <f t="shared" si="3"/>
        <v/>
      </c>
      <c r="G125" s="361" t="str">
        <f t="shared" si="4"/>
        <v/>
      </c>
      <c r="H125" s="361" t="str">
        <f>IFERROR(IF(VLOOKUP(B125,Identificação!#REF!,3,FALSE)="",VLOOKUP(B125,Identificação!#REF!,2,FALSE)+VLOOKUP('Emissões Evitadas'!B125,'Fatores de Emissão'!#REF!,3,FALSE),VLOOKUP(B125,Identificação!#REF!,2,FALSE)+VLOOKUP(B125,Identificação!#REF!,3,FALSE)),"")</f>
        <v/>
      </c>
      <c r="I125" s="360" t="str">
        <f>IFERROR(IF(H125&gt;'Fatores de Emissão'!#REF!, (E125+'Fatores de Emissão'!#REF!)/2, (E125+VLOOKUP(H125,'Fatores de Emissão'!#REF!,5,FALSE))/2),"")</f>
        <v/>
      </c>
      <c r="J125" s="360" t="str">
        <f t="shared" si="5"/>
        <v/>
      </c>
    </row>
    <row r="126" spans="2:10" hidden="1" outlineLevel="1" x14ac:dyDescent="0.25">
      <c r="B126" s="278"/>
      <c r="C126" s="374"/>
      <c r="D126" s="542"/>
      <c r="E126" s="360" t="str">
        <f>IF(C126="","",IF(C126&gt;'Fatores de Emissão'!#REF!,'Fatores de Emissão'!#REF!,VLOOKUP(C126,'Fatores de Emissão'!#REF!,5,FALSE)))</f>
        <v/>
      </c>
      <c r="F126" s="360" t="str">
        <f t="shared" si="3"/>
        <v/>
      </c>
      <c r="G126" s="361" t="str">
        <f t="shared" si="4"/>
        <v/>
      </c>
      <c r="H126" s="361" t="str">
        <f>IFERROR(IF(VLOOKUP(B126,Identificação!#REF!,3,FALSE)="",VLOOKUP(B126,Identificação!#REF!,2,FALSE)+VLOOKUP('Emissões Evitadas'!B126,'Fatores de Emissão'!#REF!,3,FALSE),VLOOKUP(B126,Identificação!#REF!,2,FALSE)+VLOOKUP(B126,Identificação!#REF!,3,FALSE)),"")</f>
        <v/>
      </c>
      <c r="I126" s="360" t="str">
        <f>IFERROR(IF(H126&gt;'Fatores de Emissão'!#REF!, (E126+'Fatores de Emissão'!#REF!)/2, (E126+VLOOKUP(H126,'Fatores de Emissão'!#REF!,5,FALSE))/2),"")</f>
        <v/>
      </c>
      <c r="J126" s="360" t="str">
        <f t="shared" si="5"/>
        <v/>
      </c>
    </row>
    <row r="127" spans="2:10" hidden="1" outlineLevel="1" x14ac:dyDescent="0.25">
      <c r="B127" s="278"/>
      <c r="C127" s="374"/>
      <c r="D127" s="542"/>
      <c r="E127" s="360" t="str">
        <f>IF(C127="","",IF(C127&gt;'Fatores de Emissão'!#REF!,'Fatores de Emissão'!#REF!,VLOOKUP(C127,'Fatores de Emissão'!#REF!,5,FALSE)))</f>
        <v/>
      </c>
      <c r="F127" s="360" t="str">
        <f t="shared" si="3"/>
        <v/>
      </c>
      <c r="G127" s="361" t="str">
        <f t="shared" si="4"/>
        <v/>
      </c>
      <c r="H127" s="361" t="str">
        <f>IFERROR(IF(VLOOKUP(B127,Identificação!#REF!,3,FALSE)="",VLOOKUP(B127,Identificação!#REF!,2,FALSE)+VLOOKUP('Emissões Evitadas'!B127,'Fatores de Emissão'!#REF!,3,FALSE),VLOOKUP(B127,Identificação!#REF!,2,FALSE)+VLOOKUP(B127,Identificação!#REF!,3,FALSE)),"")</f>
        <v/>
      </c>
      <c r="I127" s="360" t="str">
        <f>IFERROR(IF(H127&gt;'Fatores de Emissão'!#REF!, (E127+'Fatores de Emissão'!#REF!)/2, (E127+VLOOKUP(H127,'Fatores de Emissão'!#REF!,5,FALSE))/2),"")</f>
        <v/>
      </c>
      <c r="J127" s="360" t="str">
        <f t="shared" si="5"/>
        <v/>
      </c>
    </row>
    <row r="128" spans="2:10" hidden="1" outlineLevel="1" x14ac:dyDescent="0.25">
      <c r="B128" s="278"/>
      <c r="C128" s="374"/>
      <c r="D128" s="542"/>
      <c r="E128" s="360" t="str">
        <f>IF(C128="","",IF(C128&gt;'Fatores de Emissão'!#REF!,'Fatores de Emissão'!#REF!,VLOOKUP(C128,'Fatores de Emissão'!#REF!,5,FALSE)))</f>
        <v/>
      </c>
      <c r="F128" s="360" t="str">
        <f t="shared" si="3"/>
        <v/>
      </c>
      <c r="G128" s="361" t="str">
        <f t="shared" si="4"/>
        <v/>
      </c>
      <c r="H128" s="361" t="str">
        <f>IFERROR(IF(VLOOKUP(B128,Identificação!#REF!,3,FALSE)="",VLOOKUP(B128,Identificação!#REF!,2,FALSE)+VLOOKUP('Emissões Evitadas'!B128,'Fatores de Emissão'!#REF!,3,FALSE),VLOOKUP(B128,Identificação!#REF!,2,FALSE)+VLOOKUP(B128,Identificação!#REF!,3,FALSE)),"")</f>
        <v/>
      </c>
      <c r="I128" s="360" t="str">
        <f>IFERROR(IF(H128&gt;'Fatores de Emissão'!#REF!, (E128+'Fatores de Emissão'!#REF!)/2, (E128+VLOOKUP(H128,'Fatores de Emissão'!#REF!,5,FALSE))/2),"")</f>
        <v/>
      </c>
      <c r="J128" s="360" t="str">
        <f t="shared" si="5"/>
        <v/>
      </c>
    </row>
    <row r="129" spans="2:28" hidden="1" outlineLevel="1" x14ac:dyDescent="0.25">
      <c r="B129" s="278"/>
      <c r="C129" s="374"/>
      <c r="D129" s="542"/>
      <c r="E129" s="360" t="str">
        <f>IF(C129="","",IF(C129&gt;'Fatores de Emissão'!#REF!,'Fatores de Emissão'!#REF!,VLOOKUP(C129,'Fatores de Emissão'!#REF!,5,FALSE)))</f>
        <v/>
      </c>
      <c r="F129" s="360" t="str">
        <f t="shared" si="3"/>
        <v/>
      </c>
      <c r="G129" s="361" t="str">
        <f t="shared" si="4"/>
        <v/>
      </c>
      <c r="H129" s="361" t="str">
        <f>IFERROR(IF(VLOOKUP(B129,Identificação!#REF!,3,FALSE)="",VLOOKUP(B129,Identificação!#REF!,2,FALSE)+VLOOKUP('Emissões Evitadas'!B129,'Fatores de Emissão'!#REF!,3,FALSE),VLOOKUP(B129,Identificação!#REF!,2,FALSE)+VLOOKUP(B129,Identificação!#REF!,3,FALSE)),"")</f>
        <v/>
      </c>
      <c r="I129" s="360" t="str">
        <f>IFERROR(IF(H129&gt;'Fatores de Emissão'!#REF!, (E129+'Fatores de Emissão'!#REF!)/2, (E129+VLOOKUP(H129,'Fatores de Emissão'!#REF!,5,FALSE))/2),"")</f>
        <v/>
      </c>
      <c r="J129" s="360" t="str">
        <f t="shared" si="5"/>
        <v/>
      </c>
    </row>
    <row r="130" spans="2:28" collapsed="1" x14ac:dyDescent="0.25">
      <c r="B130" s="216" t="s">
        <v>37</v>
      </c>
      <c r="C130" s="217"/>
      <c r="D130" s="538"/>
      <c r="E130" s="232"/>
      <c r="F130" s="362">
        <f>SUM(F30:F129)</f>
        <v>0</v>
      </c>
      <c r="G130" s="1426"/>
      <c r="H130" s="1427"/>
      <c r="I130" s="1428"/>
      <c r="J130" s="362">
        <f>SUM(J30:J129)</f>
        <v>0</v>
      </c>
    </row>
    <row r="131" spans="2:28" x14ac:dyDescent="0.25"/>
    <row r="132" spans="2:28" x14ac:dyDescent="0.25"/>
    <row r="133" spans="2:28" s="332" customFormat="1" ht="30" customHeight="1" x14ac:dyDescent="0.25">
      <c r="B133" s="231" t="s">
        <v>940</v>
      </c>
    </row>
    <row r="134" spans="2:28" x14ac:dyDescent="0.25"/>
    <row r="135" spans="2:28" ht="24.6" customHeight="1" x14ac:dyDescent="0.25">
      <c r="B135" s="237" t="s">
        <v>0</v>
      </c>
      <c r="C135" s="238"/>
      <c r="D135" s="238"/>
      <c r="E135" s="238"/>
      <c r="F135" s="238"/>
      <c r="G135" s="238"/>
      <c r="H135" s="238"/>
      <c r="I135" s="238"/>
      <c r="J135" s="239"/>
      <c r="K135" s="239"/>
      <c r="L135" s="239"/>
      <c r="M135" s="239"/>
      <c r="N135" s="239"/>
      <c r="O135" s="239"/>
      <c r="P135" s="239"/>
      <c r="Q135" s="239"/>
      <c r="R135" s="239"/>
      <c r="S135" s="239"/>
      <c r="T135" s="239"/>
      <c r="U135" s="239"/>
      <c r="V135" s="239"/>
      <c r="W135" s="239"/>
      <c r="X135" s="239"/>
      <c r="Y135" s="239"/>
      <c r="Z135" s="239"/>
      <c r="AA135" s="239"/>
      <c r="AB135" s="239"/>
    </row>
    <row r="136" spans="2:28" x14ac:dyDescent="0.25">
      <c r="B136" s="245" t="s">
        <v>935</v>
      </c>
      <c r="C136" s="169"/>
      <c r="D136" s="169"/>
      <c r="E136" s="169"/>
      <c r="F136" s="169"/>
      <c r="G136" s="169"/>
      <c r="H136" s="169"/>
      <c r="I136" s="169"/>
    </row>
    <row r="137" spans="2:28" ht="16.899999999999999" customHeight="1" x14ac:dyDescent="0.25">
      <c r="B137" s="246" t="s">
        <v>936</v>
      </c>
      <c r="C137" s="238"/>
      <c r="D137" s="238"/>
      <c r="E137" s="238"/>
      <c r="F137" s="238"/>
      <c r="G137" s="238"/>
      <c r="H137" s="238"/>
      <c r="I137" s="238"/>
      <c r="J137" s="239"/>
      <c r="K137" s="239"/>
      <c r="L137" s="239"/>
      <c r="M137" s="239"/>
      <c r="N137" s="239"/>
      <c r="O137" s="239"/>
      <c r="P137" s="239"/>
      <c r="Q137" s="239"/>
      <c r="R137" s="239"/>
      <c r="S137" s="239"/>
      <c r="T137" s="239"/>
      <c r="U137" s="239"/>
      <c r="V137" s="239"/>
      <c r="W137" s="239"/>
      <c r="X137" s="239"/>
      <c r="Y137" s="239"/>
      <c r="Z137" s="239"/>
      <c r="AA137" s="239"/>
      <c r="AB137" s="239"/>
    </row>
    <row r="138" spans="2:28" ht="22.15" customHeight="1" x14ac:dyDescent="0.25">
      <c r="B138" s="1429" t="s">
        <v>1135</v>
      </c>
      <c r="C138" s="1429"/>
      <c r="D138" s="1429"/>
      <c r="E138" s="1429"/>
      <c r="F138" s="1429"/>
      <c r="G138" s="1429"/>
      <c r="H138" s="1429"/>
      <c r="I138" s="1429"/>
      <c r="J138" s="239"/>
      <c r="K138" s="239"/>
      <c r="L138" s="239"/>
      <c r="M138" s="239"/>
      <c r="N138" s="239"/>
      <c r="O138" s="239"/>
      <c r="P138" s="239"/>
      <c r="Q138" s="239"/>
      <c r="R138" s="239"/>
      <c r="S138" s="239"/>
      <c r="T138" s="239"/>
      <c r="U138" s="239"/>
      <c r="V138" s="239"/>
      <c r="W138" s="239"/>
      <c r="X138" s="239"/>
      <c r="Y138" s="239"/>
      <c r="Z138" s="239"/>
      <c r="AA138" s="239"/>
      <c r="AB138" s="239"/>
    </row>
    <row r="139" spans="2:28" ht="35.450000000000003" customHeight="1" x14ac:dyDescent="0.25">
      <c r="B139" s="1429" t="s">
        <v>1136</v>
      </c>
      <c r="C139" s="1429"/>
      <c r="D139" s="1429"/>
      <c r="E139" s="1429"/>
      <c r="F139" s="1429"/>
      <c r="G139" s="1429"/>
      <c r="H139" s="1429"/>
      <c r="I139" s="1429"/>
      <c r="J139" s="239"/>
      <c r="K139" s="239"/>
      <c r="L139" s="239"/>
      <c r="M139" s="239"/>
      <c r="N139" s="239"/>
      <c r="O139" s="239"/>
      <c r="P139" s="239"/>
      <c r="Q139" s="239"/>
      <c r="R139" s="239"/>
      <c r="S139" s="239"/>
      <c r="T139" s="239"/>
      <c r="U139" s="239"/>
      <c r="V139" s="239"/>
      <c r="W139" s="239"/>
      <c r="X139" s="239"/>
      <c r="Y139" s="239"/>
      <c r="Z139" s="239"/>
      <c r="AA139" s="239"/>
      <c r="AB139" s="239"/>
    </row>
    <row r="140" spans="2:28" ht="40.15" customHeight="1" x14ac:dyDescent="0.25">
      <c r="B140" s="1430" t="s">
        <v>1137</v>
      </c>
      <c r="C140" s="1430"/>
      <c r="D140" s="1430"/>
      <c r="E140" s="1430"/>
      <c r="F140" s="1430"/>
      <c r="G140" s="1430"/>
      <c r="H140" s="1430"/>
      <c r="I140" s="1430"/>
      <c r="J140" s="239"/>
      <c r="K140" s="239"/>
      <c r="L140" s="239"/>
      <c r="M140" s="239"/>
      <c r="N140" s="239"/>
      <c r="O140" s="239"/>
      <c r="P140" s="239"/>
      <c r="Q140" s="239"/>
      <c r="R140" s="239"/>
      <c r="S140" s="239"/>
      <c r="T140" s="239"/>
      <c r="U140" s="239"/>
      <c r="V140" s="239"/>
      <c r="W140" s="239"/>
      <c r="X140" s="239"/>
      <c r="Y140" s="239"/>
      <c r="Z140" s="239"/>
      <c r="AA140" s="239"/>
      <c r="AB140" s="239"/>
    </row>
    <row r="141" spans="2:28" ht="18" customHeight="1" x14ac:dyDescent="0.25">
      <c r="B141" s="1430" t="s">
        <v>1138</v>
      </c>
      <c r="C141" s="1430"/>
      <c r="D141" s="1430"/>
      <c r="E141" s="1430"/>
      <c r="F141" s="1430"/>
      <c r="G141" s="1430"/>
      <c r="H141" s="1430"/>
      <c r="I141" s="1430"/>
      <c r="J141" s="239"/>
      <c r="K141" s="239"/>
      <c r="L141" s="239"/>
      <c r="M141" s="239"/>
      <c r="N141" s="239"/>
      <c r="O141" s="239"/>
      <c r="P141" s="239"/>
      <c r="Q141" s="239"/>
      <c r="R141" s="239"/>
      <c r="S141" s="239"/>
      <c r="T141" s="239"/>
      <c r="U141" s="239"/>
      <c r="V141" s="239"/>
      <c r="W141" s="239"/>
      <c r="X141" s="239"/>
      <c r="Y141" s="239"/>
      <c r="Z141" s="239"/>
      <c r="AA141" s="239"/>
      <c r="AB141" s="239"/>
    </row>
    <row r="142" spans="2:28" ht="18.75" x14ac:dyDescent="0.25">
      <c r="B142" s="245" t="s">
        <v>1139</v>
      </c>
      <c r="C142" s="238"/>
      <c r="D142" s="238"/>
      <c r="E142" s="238"/>
      <c r="F142" s="238"/>
      <c r="G142" s="238"/>
      <c r="H142" s="238"/>
      <c r="I142" s="238"/>
      <c r="J142" s="239"/>
      <c r="K142" s="239"/>
      <c r="L142" s="239"/>
      <c r="M142" s="239"/>
      <c r="N142" s="239"/>
      <c r="O142" s="239"/>
      <c r="P142" s="239"/>
      <c r="Q142" s="239"/>
      <c r="R142" s="239"/>
      <c r="S142" s="239"/>
      <c r="T142" s="239"/>
      <c r="U142" s="239"/>
      <c r="V142" s="239"/>
      <c r="W142" s="239"/>
      <c r="X142" s="239"/>
      <c r="Y142" s="239"/>
      <c r="Z142" s="239"/>
      <c r="AA142" s="239"/>
      <c r="AB142" s="239"/>
    </row>
    <row r="143" spans="2:28" x14ac:dyDescent="0.25">
      <c r="B143" s="245" t="s">
        <v>949</v>
      </c>
      <c r="C143" s="238"/>
      <c r="D143" s="238"/>
      <c r="E143" s="238"/>
      <c r="F143" s="238"/>
      <c r="G143" s="238"/>
      <c r="H143" s="238"/>
      <c r="I143" s="238"/>
      <c r="J143" s="239"/>
      <c r="K143" s="239"/>
      <c r="L143" s="239"/>
      <c r="M143" s="239"/>
      <c r="N143" s="239"/>
      <c r="O143" s="239"/>
      <c r="P143" s="239"/>
      <c r="Q143" s="239"/>
      <c r="R143" s="239"/>
      <c r="S143" s="239"/>
      <c r="T143" s="239"/>
      <c r="U143" s="239"/>
      <c r="V143" s="239"/>
      <c r="W143" s="239"/>
      <c r="X143" s="239"/>
      <c r="Y143" s="239"/>
      <c r="Z143" s="239"/>
      <c r="AA143" s="239"/>
      <c r="AB143" s="239"/>
    </row>
    <row r="144" spans="2:28" x14ac:dyDescent="0.25">
      <c r="B144" s="245"/>
      <c r="C144" s="238"/>
      <c r="D144" s="238"/>
      <c r="E144" s="238"/>
      <c r="F144" s="238"/>
      <c r="G144" s="238"/>
      <c r="H144" s="238"/>
      <c r="I144" s="238"/>
      <c r="J144" s="239"/>
      <c r="K144" s="239"/>
      <c r="L144" s="239"/>
      <c r="M144" s="239"/>
      <c r="N144" s="239"/>
      <c r="O144" s="239"/>
      <c r="P144" s="239"/>
      <c r="Q144" s="239"/>
      <c r="R144" s="239"/>
      <c r="S144" s="239"/>
      <c r="T144" s="239"/>
      <c r="U144" s="239"/>
      <c r="V144" s="239"/>
      <c r="W144" s="239"/>
      <c r="X144" s="239"/>
      <c r="Y144" s="239"/>
      <c r="Z144" s="239"/>
      <c r="AA144" s="239"/>
      <c r="AB144" s="239"/>
    </row>
    <row r="145" spans="1:17" x14ac:dyDescent="0.25"/>
    <row r="146" spans="1:17" x14ac:dyDescent="0.25">
      <c r="B146" s="166" t="s">
        <v>951</v>
      </c>
    </row>
    <row r="147" spans="1:17" ht="84" customHeight="1" x14ac:dyDescent="0.25">
      <c r="A147" s="240"/>
      <c r="B147" s="174" t="s">
        <v>621</v>
      </c>
      <c r="C147" s="174" t="s">
        <v>941</v>
      </c>
      <c r="D147" s="174" t="s">
        <v>952</v>
      </c>
      <c r="E147" s="174" t="s">
        <v>945</v>
      </c>
      <c r="F147" s="174" t="s">
        <v>947</v>
      </c>
      <c r="G147" s="174" t="s">
        <v>943</v>
      </c>
      <c r="H147" s="174" t="s">
        <v>948</v>
      </c>
      <c r="I147" s="211" t="s">
        <v>944</v>
      </c>
      <c r="J147" s="247"/>
      <c r="Q147" s="247"/>
    </row>
    <row r="148" spans="1:17" s="342" customFormat="1" ht="119.45" customHeight="1" x14ac:dyDescent="0.25">
      <c r="A148" s="242" t="s">
        <v>36</v>
      </c>
      <c r="B148" s="340" t="s">
        <v>33</v>
      </c>
      <c r="C148" s="340" t="s">
        <v>942</v>
      </c>
      <c r="D148" s="340" t="s">
        <v>953</v>
      </c>
      <c r="E148" s="340" t="s">
        <v>954</v>
      </c>
      <c r="F148" s="541">
        <v>1000</v>
      </c>
      <c r="G148" s="341" t="s">
        <v>946</v>
      </c>
      <c r="H148" s="541">
        <v>50</v>
      </c>
      <c r="I148" s="341" t="s">
        <v>950</v>
      </c>
      <c r="J148" s="364"/>
      <c r="Q148" s="365"/>
    </row>
    <row r="149" spans="1:17" x14ac:dyDescent="0.25">
      <c r="B149" s="371"/>
      <c r="C149" s="372"/>
      <c r="D149" s="371"/>
      <c r="E149" s="371"/>
      <c r="F149" s="543"/>
      <c r="G149" s="373"/>
      <c r="H149" s="543"/>
      <c r="I149" s="373"/>
      <c r="J149" s="366"/>
      <c r="Q149" s="367"/>
    </row>
    <row r="150" spans="1:17" x14ac:dyDescent="0.25">
      <c r="B150" s="371"/>
      <c r="C150" s="372"/>
      <c r="D150" s="371"/>
      <c r="E150" s="371"/>
      <c r="F150" s="543"/>
      <c r="G150" s="373"/>
      <c r="H150" s="543"/>
      <c r="I150" s="373"/>
      <c r="J150" s="366"/>
      <c r="Q150" s="367"/>
    </row>
    <row r="151" spans="1:17" x14ac:dyDescent="0.25">
      <c r="B151" s="371"/>
      <c r="C151" s="372"/>
      <c r="D151" s="371"/>
      <c r="E151" s="371"/>
      <c r="F151" s="543"/>
      <c r="G151" s="373"/>
      <c r="H151" s="543"/>
      <c r="I151" s="373"/>
      <c r="J151" s="366"/>
      <c r="Q151" s="367"/>
    </row>
    <row r="152" spans="1:17" x14ac:dyDescent="0.25">
      <c r="B152" s="371"/>
      <c r="C152" s="372"/>
      <c r="D152" s="371"/>
      <c r="E152" s="371"/>
      <c r="F152" s="543"/>
      <c r="G152" s="373"/>
      <c r="H152" s="543"/>
      <c r="I152" s="373"/>
      <c r="J152" s="366"/>
      <c r="Q152" s="367"/>
    </row>
    <row r="153" spans="1:17" x14ac:dyDescent="0.25">
      <c r="B153" s="371"/>
      <c r="C153" s="372"/>
      <c r="D153" s="371"/>
      <c r="E153" s="371"/>
      <c r="F153" s="543"/>
      <c r="G153" s="373"/>
      <c r="H153" s="543"/>
      <c r="I153" s="373"/>
      <c r="J153" s="366"/>
      <c r="Q153" s="367"/>
    </row>
    <row r="154" spans="1:17" x14ac:dyDescent="0.25">
      <c r="B154" s="371"/>
      <c r="C154" s="372"/>
      <c r="D154" s="371"/>
      <c r="E154" s="371"/>
      <c r="F154" s="543"/>
      <c r="G154" s="373"/>
      <c r="H154" s="543"/>
      <c r="I154" s="373"/>
      <c r="J154" s="366"/>
      <c r="Q154" s="367"/>
    </row>
    <row r="155" spans="1:17" x14ac:dyDescent="0.25">
      <c r="B155" s="371"/>
      <c r="C155" s="372"/>
      <c r="D155" s="371"/>
      <c r="E155" s="371"/>
      <c r="F155" s="543"/>
      <c r="G155" s="373"/>
      <c r="H155" s="543"/>
      <c r="I155" s="373"/>
      <c r="J155" s="366"/>
      <c r="Q155" s="367"/>
    </row>
    <row r="156" spans="1:17" x14ac:dyDescent="0.25">
      <c r="B156" s="371"/>
      <c r="C156" s="372"/>
      <c r="D156" s="371"/>
      <c r="E156" s="371"/>
      <c r="F156" s="543"/>
      <c r="G156" s="373"/>
      <c r="H156" s="543"/>
      <c r="I156" s="373"/>
      <c r="J156" s="366"/>
      <c r="Q156" s="367"/>
    </row>
    <row r="157" spans="1:17" x14ac:dyDescent="0.25">
      <c r="B157" s="371"/>
      <c r="C157" s="372"/>
      <c r="D157" s="371"/>
      <c r="E157" s="371"/>
      <c r="F157" s="543"/>
      <c r="G157" s="373"/>
      <c r="H157" s="543"/>
      <c r="I157" s="373"/>
      <c r="J157" s="366"/>
      <c r="Q157" s="367"/>
    </row>
    <row r="158" spans="1:17" x14ac:dyDescent="0.25">
      <c r="B158" s="371"/>
      <c r="C158" s="372"/>
      <c r="D158" s="371"/>
      <c r="E158" s="371"/>
      <c r="F158" s="543"/>
      <c r="G158" s="373"/>
      <c r="H158" s="543"/>
      <c r="I158" s="373"/>
      <c r="J158" s="366"/>
      <c r="Q158" s="367"/>
    </row>
    <row r="159" spans="1:17" x14ac:dyDescent="0.25">
      <c r="B159" s="371"/>
      <c r="C159" s="372"/>
      <c r="D159" s="371"/>
      <c r="E159" s="371"/>
      <c r="F159" s="543"/>
      <c r="G159" s="373"/>
      <c r="H159" s="543"/>
      <c r="I159" s="373"/>
      <c r="J159" s="366"/>
      <c r="Q159" s="367"/>
    </row>
    <row r="160" spans="1:17" hidden="1" outlineLevel="1" x14ac:dyDescent="0.25">
      <c r="B160" s="371"/>
      <c r="C160" s="372"/>
      <c r="D160" s="371"/>
      <c r="E160" s="371"/>
      <c r="F160" s="543"/>
      <c r="G160" s="373"/>
      <c r="H160" s="543"/>
      <c r="I160" s="373"/>
      <c r="J160" s="366"/>
      <c r="Q160" s="367"/>
    </row>
    <row r="161" spans="2:17" hidden="1" outlineLevel="1" x14ac:dyDescent="0.25">
      <c r="B161" s="371"/>
      <c r="C161" s="372"/>
      <c r="D161" s="371"/>
      <c r="E161" s="371"/>
      <c r="F161" s="543"/>
      <c r="G161" s="373"/>
      <c r="H161" s="543"/>
      <c r="I161" s="373"/>
      <c r="J161" s="366"/>
      <c r="Q161" s="367"/>
    </row>
    <row r="162" spans="2:17" hidden="1" outlineLevel="1" x14ac:dyDescent="0.25">
      <c r="B162" s="371"/>
      <c r="C162" s="372"/>
      <c r="D162" s="371"/>
      <c r="E162" s="371"/>
      <c r="F162" s="543"/>
      <c r="G162" s="373"/>
      <c r="H162" s="543"/>
      <c r="I162" s="373"/>
      <c r="J162" s="366"/>
      <c r="Q162" s="367"/>
    </row>
    <row r="163" spans="2:17" hidden="1" outlineLevel="1" x14ac:dyDescent="0.25">
      <c r="B163" s="371"/>
      <c r="C163" s="372"/>
      <c r="D163" s="371"/>
      <c r="E163" s="371"/>
      <c r="F163" s="543"/>
      <c r="G163" s="373"/>
      <c r="H163" s="543"/>
      <c r="I163" s="373"/>
      <c r="J163" s="366"/>
      <c r="Q163" s="367"/>
    </row>
    <row r="164" spans="2:17" hidden="1" outlineLevel="1" x14ac:dyDescent="0.25">
      <c r="B164" s="371"/>
      <c r="C164" s="372"/>
      <c r="D164" s="371"/>
      <c r="E164" s="371"/>
      <c r="F164" s="543"/>
      <c r="G164" s="373"/>
      <c r="H164" s="543"/>
      <c r="I164" s="373"/>
      <c r="J164" s="366"/>
      <c r="Q164" s="367"/>
    </row>
    <row r="165" spans="2:17" hidden="1" outlineLevel="1" x14ac:dyDescent="0.25">
      <c r="B165" s="371"/>
      <c r="C165" s="372"/>
      <c r="D165" s="371"/>
      <c r="E165" s="371"/>
      <c r="F165" s="543"/>
      <c r="G165" s="373"/>
      <c r="H165" s="543"/>
      <c r="I165" s="373"/>
      <c r="J165" s="366"/>
      <c r="Q165" s="367"/>
    </row>
    <row r="166" spans="2:17" hidden="1" outlineLevel="1" x14ac:dyDescent="0.25">
      <c r="B166" s="371"/>
      <c r="C166" s="372"/>
      <c r="D166" s="371"/>
      <c r="E166" s="371"/>
      <c r="F166" s="543"/>
      <c r="G166" s="373"/>
      <c r="H166" s="543"/>
      <c r="I166" s="373"/>
      <c r="J166" s="366"/>
      <c r="Q166" s="367"/>
    </row>
    <row r="167" spans="2:17" hidden="1" outlineLevel="1" x14ac:dyDescent="0.25">
      <c r="B167" s="371"/>
      <c r="C167" s="372"/>
      <c r="D167" s="371"/>
      <c r="E167" s="371"/>
      <c r="F167" s="543"/>
      <c r="G167" s="373"/>
      <c r="H167" s="543"/>
      <c r="I167" s="373"/>
      <c r="J167" s="366"/>
      <c r="Q167" s="367"/>
    </row>
    <row r="168" spans="2:17" hidden="1" outlineLevel="1" x14ac:dyDescent="0.25">
      <c r="B168" s="371"/>
      <c r="C168" s="372"/>
      <c r="D168" s="371"/>
      <c r="E168" s="371"/>
      <c r="F168" s="543"/>
      <c r="G168" s="373"/>
      <c r="H168" s="543"/>
      <c r="I168" s="373"/>
      <c r="J168" s="366"/>
      <c r="Q168" s="367"/>
    </row>
    <row r="169" spans="2:17" hidden="1" outlineLevel="1" x14ac:dyDescent="0.25">
      <c r="B169" s="371"/>
      <c r="C169" s="372"/>
      <c r="D169" s="371"/>
      <c r="E169" s="371"/>
      <c r="F169" s="543"/>
      <c r="G169" s="373"/>
      <c r="H169" s="543"/>
      <c r="I169" s="373"/>
      <c r="J169" s="366"/>
      <c r="Q169" s="367"/>
    </row>
    <row r="170" spans="2:17" hidden="1" outlineLevel="1" x14ac:dyDescent="0.25">
      <c r="B170" s="371"/>
      <c r="C170" s="372"/>
      <c r="D170" s="371"/>
      <c r="E170" s="371"/>
      <c r="F170" s="543"/>
      <c r="G170" s="373"/>
      <c r="H170" s="543"/>
      <c r="I170" s="373"/>
      <c r="J170" s="366"/>
      <c r="Q170" s="367"/>
    </row>
    <row r="171" spans="2:17" hidden="1" outlineLevel="1" x14ac:dyDescent="0.25">
      <c r="B171" s="371"/>
      <c r="C171" s="372"/>
      <c r="D171" s="371"/>
      <c r="E171" s="371"/>
      <c r="F171" s="543"/>
      <c r="G171" s="373"/>
      <c r="H171" s="543"/>
      <c r="I171" s="373"/>
      <c r="J171" s="366"/>
      <c r="Q171" s="367"/>
    </row>
    <row r="172" spans="2:17" hidden="1" outlineLevel="1" x14ac:dyDescent="0.25">
      <c r="B172" s="371"/>
      <c r="C172" s="372"/>
      <c r="D172" s="371"/>
      <c r="E172" s="371"/>
      <c r="F172" s="543"/>
      <c r="G172" s="373"/>
      <c r="H172" s="543"/>
      <c r="I172" s="373"/>
      <c r="J172" s="366"/>
      <c r="Q172" s="367"/>
    </row>
    <row r="173" spans="2:17" hidden="1" outlineLevel="1" x14ac:dyDescent="0.25">
      <c r="B173" s="371"/>
      <c r="C173" s="372"/>
      <c r="D173" s="371"/>
      <c r="E173" s="371"/>
      <c r="F173" s="543"/>
      <c r="G173" s="373"/>
      <c r="H173" s="543"/>
      <c r="I173" s="373"/>
      <c r="J173" s="366"/>
      <c r="Q173" s="367"/>
    </row>
    <row r="174" spans="2:17" hidden="1" outlineLevel="1" x14ac:dyDescent="0.25">
      <c r="B174" s="371"/>
      <c r="C174" s="372"/>
      <c r="D174" s="371"/>
      <c r="E174" s="371"/>
      <c r="F174" s="543"/>
      <c r="G174" s="373"/>
      <c r="H174" s="543"/>
      <c r="I174" s="373"/>
      <c r="J174" s="366"/>
      <c r="Q174" s="367"/>
    </row>
    <row r="175" spans="2:17" hidden="1" outlineLevel="1" x14ac:dyDescent="0.25">
      <c r="B175" s="371"/>
      <c r="C175" s="372"/>
      <c r="D175" s="371"/>
      <c r="E175" s="371"/>
      <c r="F175" s="543"/>
      <c r="G175" s="373"/>
      <c r="H175" s="543"/>
      <c r="I175" s="373"/>
      <c r="J175" s="366"/>
      <c r="Q175" s="367"/>
    </row>
    <row r="176" spans="2:17" hidden="1" outlineLevel="1" x14ac:dyDescent="0.25">
      <c r="B176" s="371"/>
      <c r="C176" s="372"/>
      <c r="D176" s="371"/>
      <c r="E176" s="371"/>
      <c r="F176" s="543"/>
      <c r="G176" s="373"/>
      <c r="H176" s="543"/>
      <c r="I176" s="373"/>
      <c r="J176" s="366"/>
      <c r="Q176" s="367"/>
    </row>
    <row r="177" spans="2:17" hidden="1" outlineLevel="1" x14ac:dyDescent="0.25">
      <c r="B177" s="371"/>
      <c r="C177" s="372"/>
      <c r="D177" s="371"/>
      <c r="E177" s="371"/>
      <c r="F177" s="543"/>
      <c r="G177" s="373"/>
      <c r="H177" s="543"/>
      <c r="I177" s="373"/>
      <c r="J177" s="366"/>
      <c r="Q177" s="367"/>
    </row>
    <row r="178" spans="2:17" hidden="1" outlineLevel="1" x14ac:dyDescent="0.25">
      <c r="B178" s="371"/>
      <c r="C178" s="372"/>
      <c r="D178" s="371"/>
      <c r="E178" s="371"/>
      <c r="F178" s="543"/>
      <c r="G178" s="373"/>
      <c r="H178" s="543"/>
      <c r="I178" s="373"/>
      <c r="J178" s="366"/>
      <c r="Q178" s="367"/>
    </row>
    <row r="179" spans="2:17" hidden="1" outlineLevel="1" x14ac:dyDescent="0.25">
      <c r="B179" s="371"/>
      <c r="C179" s="372"/>
      <c r="D179" s="371"/>
      <c r="E179" s="371"/>
      <c r="F179" s="543"/>
      <c r="G179" s="373"/>
      <c r="H179" s="543"/>
      <c r="I179" s="373"/>
      <c r="J179" s="366"/>
      <c r="Q179" s="367"/>
    </row>
    <row r="180" spans="2:17" hidden="1" outlineLevel="1" x14ac:dyDescent="0.25">
      <c r="B180" s="371"/>
      <c r="C180" s="372"/>
      <c r="D180" s="371"/>
      <c r="E180" s="371"/>
      <c r="F180" s="543"/>
      <c r="G180" s="373"/>
      <c r="H180" s="543"/>
      <c r="I180" s="373"/>
      <c r="J180" s="366"/>
      <c r="Q180" s="367"/>
    </row>
    <row r="181" spans="2:17" hidden="1" outlineLevel="1" x14ac:dyDescent="0.25">
      <c r="B181" s="371"/>
      <c r="C181" s="372"/>
      <c r="D181" s="371"/>
      <c r="E181" s="371"/>
      <c r="F181" s="543"/>
      <c r="G181" s="373"/>
      <c r="H181" s="543"/>
      <c r="I181" s="373"/>
      <c r="J181" s="366"/>
      <c r="Q181" s="367"/>
    </row>
    <row r="182" spans="2:17" hidden="1" outlineLevel="1" x14ac:dyDescent="0.25">
      <c r="B182" s="371"/>
      <c r="C182" s="372"/>
      <c r="D182" s="371"/>
      <c r="E182" s="371"/>
      <c r="F182" s="543"/>
      <c r="G182" s="373"/>
      <c r="H182" s="543"/>
      <c r="I182" s="373"/>
      <c r="J182" s="366"/>
      <c r="Q182" s="367"/>
    </row>
    <row r="183" spans="2:17" hidden="1" outlineLevel="1" x14ac:dyDescent="0.25">
      <c r="B183" s="371"/>
      <c r="C183" s="372"/>
      <c r="D183" s="371"/>
      <c r="E183" s="371"/>
      <c r="F183" s="543"/>
      <c r="G183" s="373"/>
      <c r="H183" s="543"/>
      <c r="I183" s="373"/>
      <c r="J183" s="366"/>
      <c r="Q183" s="367"/>
    </row>
    <row r="184" spans="2:17" hidden="1" outlineLevel="1" x14ac:dyDescent="0.25">
      <c r="B184" s="371"/>
      <c r="C184" s="372"/>
      <c r="D184" s="371"/>
      <c r="E184" s="371"/>
      <c r="F184" s="543"/>
      <c r="G184" s="373"/>
      <c r="H184" s="543"/>
      <c r="I184" s="373"/>
      <c r="J184" s="366"/>
      <c r="Q184" s="367"/>
    </row>
    <row r="185" spans="2:17" hidden="1" outlineLevel="1" x14ac:dyDescent="0.25">
      <c r="B185" s="371"/>
      <c r="C185" s="372"/>
      <c r="D185" s="371"/>
      <c r="E185" s="371"/>
      <c r="F185" s="543"/>
      <c r="G185" s="373"/>
      <c r="H185" s="543"/>
      <c r="I185" s="373"/>
      <c r="J185" s="366"/>
      <c r="Q185" s="367"/>
    </row>
    <row r="186" spans="2:17" hidden="1" outlineLevel="1" x14ac:dyDescent="0.25">
      <c r="B186" s="371"/>
      <c r="C186" s="372"/>
      <c r="D186" s="371"/>
      <c r="E186" s="371"/>
      <c r="F186" s="543"/>
      <c r="G186" s="373"/>
      <c r="H186" s="543"/>
      <c r="I186" s="373"/>
      <c r="J186" s="366"/>
      <c r="Q186" s="367"/>
    </row>
    <row r="187" spans="2:17" hidden="1" outlineLevel="1" x14ac:dyDescent="0.25">
      <c r="B187" s="371"/>
      <c r="C187" s="372"/>
      <c r="D187" s="371"/>
      <c r="E187" s="371"/>
      <c r="F187" s="543"/>
      <c r="G187" s="373"/>
      <c r="H187" s="543"/>
      <c r="I187" s="373"/>
      <c r="J187" s="366"/>
      <c r="Q187" s="367"/>
    </row>
    <row r="188" spans="2:17" hidden="1" outlineLevel="1" x14ac:dyDescent="0.25">
      <c r="B188" s="371"/>
      <c r="C188" s="372"/>
      <c r="D188" s="371"/>
      <c r="E188" s="371"/>
      <c r="F188" s="543"/>
      <c r="G188" s="373"/>
      <c r="H188" s="543"/>
      <c r="I188" s="373"/>
      <c r="J188" s="366"/>
      <c r="Q188" s="367"/>
    </row>
    <row r="189" spans="2:17" hidden="1" outlineLevel="1" x14ac:dyDescent="0.25">
      <c r="B189" s="371"/>
      <c r="C189" s="372"/>
      <c r="D189" s="371"/>
      <c r="E189" s="371"/>
      <c r="F189" s="543"/>
      <c r="G189" s="373"/>
      <c r="H189" s="543"/>
      <c r="I189" s="373"/>
      <c r="J189" s="366"/>
      <c r="Q189" s="367"/>
    </row>
    <row r="190" spans="2:17" hidden="1" outlineLevel="1" x14ac:dyDescent="0.25">
      <c r="B190" s="371"/>
      <c r="C190" s="372"/>
      <c r="D190" s="371"/>
      <c r="E190" s="371"/>
      <c r="F190" s="543"/>
      <c r="G190" s="373"/>
      <c r="H190" s="543"/>
      <c r="I190" s="373"/>
      <c r="J190" s="366"/>
      <c r="Q190" s="367"/>
    </row>
    <row r="191" spans="2:17" hidden="1" outlineLevel="1" x14ac:dyDescent="0.25">
      <c r="B191" s="371"/>
      <c r="C191" s="372"/>
      <c r="D191" s="371"/>
      <c r="E191" s="371"/>
      <c r="F191" s="543"/>
      <c r="G191" s="373"/>
      <c r="H191" s="543"/>
      <c r="I191" s="373"/>
      <c r="J191" s="366"/>
      <c r="Q191" s="367"/>
    </row>
    <row r="192" spans="2:17" hidden="1" outlineLevel="1" x14ac:dyDescent="0.25">
      <c r="B192" s="371"/>
      <c r="C192" s="372"/>
      <c r="D192" s="371"/>
      <c r="E192" s="371"/>
      <c r="F192" s="543"/>
      <c r="G192" s="373"/>
      <c r="H192" s="543"/>
      <c r="I192" s="373"/>
      <c r="J192" s="366"/>
      <c r="Q192" s="367"/>
    </row>
    <row r="193" spans="2:17" hidden="1" outlineLevel="1" x14ac:dyDescent="0.25">
      <c r="B193" s="371"/>
      <c r="C193" s="372"/>
      <c r="D193" s="371"/>
      <c r="E193" s="371"/>
      <c r="F193" s="543"/>
      <c r="G193" s="373"/>
      <c r="H193" s="543"/>
      <c r="I193" s="373"/>
      <c r="J193" s="366"/>
      <c r="Q193" s="367"/>
    </row>
    <row r="194" spans="2:17" hidden="1" outlineLevel="1" x14ac:dyDescent="0.25">
      <c r="B194" s="371"/>
      <c r="C194" s="372"/>
      <c r="D194" s="371"/>
      <c r="E194" s="371"/>
      <c r="F194" s="543"/>
      <c r="G194" s="373"/>
      <c r="H194" s="543"/>
      <c r="I194" s="373"/>
      <c r="J194" s="366"/>
      <c r="Q194" s="367"/>
    </row>
    <row r="195" spans="2:17" hidden="1" outlineLevel="1" x14ac:dyDescent="0.25">
      <c r="B195" s="371"/>
      <c r="C195" s="372"/>
      <c r="D195" s="371"/>
      <c r="E195" s="371"/>
      <c r="F195" s="543"/>
      <c r="G195" s="373"/>
      <c r="H195" s="543"/>
      <c r="I195" s="373"/>
      <c r="J195" s="366"/>
      <c r="Q195" s="367"/>
    </row>
    <row r="196" spans="2:17" hidden="1" outlineLevel="1" x14ac:dyDescent="0.25">
      <c r="B196" s="371"/>
      <c r="C196" s="372"/>
      <c r="D196" s="371"/>
      <c r="E196" s="371"/>
      <c r="F196" s="543"/>
      <c r="G196" s="373"/>
      <c r="H196" s="543"/>
      <c r="I196" s="373"/>
      <c r="J196" s="366"/>
      <c r="Q196" s="367"/>
    </row>
    <row r="197" spans="2:17" hidden="1" outlineLevel="1" x14ac:dyDescent="0.25">
      <c r="B197" s="371"/>
      <c r="C197" s="372"/>
      <c r="D197" s="371"/>
      <c r="E197" s="371"/>
      <c r="F197" s="543"/>
      <c r="G197" s="373"/>
      <c r="H197" s="543"/>
      <c r="I197" s="373"/>
      <c r="J197" s="366"/>
      <c r="Q197" s="367"/>
    </row>
    <row r="198" spans="2:17" hidden="1" outlineLevel="1" x14ac:dyDescent="0.25">
      <c r="B198" s="371"/>
      <c r="C198" s="372"/>
      <c r="D198" s="371"/>
      <c r="E198" s="371"/>
      <c r="F198" s="543"/>
      <c r="G198" s="373"/>
      <c r="H198" s="543"/>
      <c r="I198" s="373"/>
      <c r="J198" s="366"/>
      <c r="Q198" s="367"/>
    </row>
    <row r="199" spans="2:17" hidden="1" outlineLevel="1" x14ac:dyDescent="0.25">
      <c r="B199" s="371"/>
      <c r="C199" s="372"/>
      <c r="D199" s="371"/>
      <c r="E199" s="371"/>
      <c r="F199" s="543"/>
      <c r="G199" s="373"/>
      <c r="H199" s="543"/>
      <c r="I199" s="373"/>
      <c r="J199" s="366"/>
      <c r="Q199" s="367"/>
    </row>
    <row r="200" spans="2:17" hidden="1" outlineLevel="1" x14ac:dyDescent="0.25">
      <c r="B200" s="371"/>
      <c r="C200" s="372"/>
      <c r="D200" s="371"/>
      <c r="E200" s="371"/>
      <c r="F200" s="543"/>
      <c r="G200" s="373"/>
      <c r="H200" s="543"/>
      <c r="I200" s="373"/>
      <c r="J200" s="366"/>
      <c r="Q200" s="367"/>
    </row>
    <row r="201" spans="2:17" hidden="1" outlineLevel="1" x14ac:dyDescent="0.25">
      <c r="B201" s="371"/>
      <c r="C201" s="372"/>
      <c r="D201" s="371"/>
      <c r="E201" s="371"/>
      <c r="F201" s="543"/>
      <c r="G201" s="373"/>
      <c r="H201" s="543"/>
      <c r="I201" s="373"/>
      <c r="J201" s="366"/>
      <c r="Q201" s="367"/>
    </row>
    <row r="202" spans="2:17" hidden="1" outlineLevel="1" x14ac:dyDescent="0.25">
      <c r="B202" s="371"/>
      <c r="C202" s="372"/>
      <c r="D202" s="371"/>
      <c r="E202" s="371"/>
      <c r="F202" s="543"/>
      <c r="G202" s="373"/>
      <c r="H202" s="543"/>
      <c r="I202" s="373"/>
      <c r="J202" s="366"/>
      <c r="Q202" s="367"/>
    </row>
    <row r="203" spans="2:17" hidden="1" outlineLevel="1" x14ac:dyDescent="0.25">
      <c r="B203" s="371"/>
      <c r="C203" s="372"/>
      <c r="D203" s="371"/>
      <c r="E203" s="371"/>
      <c r="F203" s="543"/>
      <c r="G203" s="373"/>
      <c r="H203" s="543"/>
      <c r="I203" s="373"/>
      <c r="J203" s="366"/>
      <c r="Q203" s="367"/>
    </row>
    <row r="204" spans="2:17" hidden="1" outlineLevel="1" x14ac:dyDescent="0.25">
      <c r="B204" s="371"/>
      <c r="C204" s="372"/>
      <c r="D204" s="371"/>
      <c r="E204" s="371"/>
      <c r="F204" s="543"/>
      <c r="G204" s="373"/>
      <c r="H204" s="543"/>
      <c r="I204" s="373"/>
      <c r="J204" s="366"/>
      <c r="Q204" s="367"/>
    </row>
    <row r="205" spans="2:17" hidden="1" outlineLevel="1" x14ac:dyDescent="0.25">
      <c r="B205" s="371"/>
      <c r="C205" s="372"/>
      <c r="D205" s="371"/>
      <c r="E205" s="371"/>
      <c r="F205" s="543"/>
      <c r="G205" s="373"/>
      <c r="H205" s="543"/>
      <c r="I205" s="373"/>
      <c r="J205" s="366"/>
      <c r="Q205" s="367"/>
    </row>
    <row r="206" spans="2:17" hidden="1" outlineLevel="1" x14ac:dyDescent="0.25">
      <c r="B206" s="371"/>
      <c r="C206" s="372"/>
      <c r="D206" s="371"/>
      <c r="E206" s="371"/>
      <c r="F206" s="543"/>
      <c r="G206" s="373"/>
      <c r="H206" s="543"/>
      <c r="I206" s="373"/>
      <c r="J206" s="366"/>
      <c r="Q206" s="367"/>
    </row>
    <row r="207" spans="2:17" hidden="1" outlineLevel="1" x14ac:dyDescent="0.25">
      <c r="B207" s="371"/>
      <c r="C207" s="372"/>
      <c r="D207" s="371"/>
      <c r="E207" s="371"/>
      <c r="F207" s="543"/>
      <c r="G207" s="373"/>
      <c r="H207" s="543"/>
      <c r="I207" s="373"/>
      <c r="J207" s="366"/>
      <c r="Q207" s="367"/>
    </row>
    <row r="208" spans="2:17" hidden="1" outlineLevel="1" x14ac:dyDescent="0.25">
      <c r="B208" s="371"/>
      <c r="C208" s="372"/>
      <c r="D208" s="371"/>
      <c r="E208" s="371"/>
      <c r="F208" s="543"/>
      <c r="G208" s="373"/>
      <c r="H208" s="543"/>
      <c r="I208" s="373"/>
      <c r="J208" s="366"/>
      <c r="Q208" s="367"/>
    </row>
    <row r="209" spans="2:17" hidden="1" outlineLevel="1" x14ac:dyDescent="0.25">
      <c r="B209" s="371"/>
      <c r="C209" s="372"/>
      <c r="D209" s="371"/>
      <c r="E209" s="371"/>
      <c r="F209" s="543"/>
      <c r="G209" s="373"/>
      <c r="H209" s="543"/>
      <c r="I209" s="373"/>
      <c r="J209" s="366"/>
      <c r="Q209" s="367"/>
    </row>
    <row r="210" spans="2:17" hidden="1" outlineLevel="1" x14ac:dyDescent="0.25">
      <c r="B210" s="371"/>
      <c r="C210" s="372"/>
      <c r="D210" s="371"/>
      <c r="E210" s="371"/>
      <c r="F210" s="543"/>
      <c r="G210" s="373"/>
      <c r="H210" s="543"/>
      <c r="I210" s="373"/>
      <c r="J210" s="366"/>
      <c r="Q210" s="367"/>
    </row>
    <row r="211" spans="2:17" hidden="1" outlineLevel="1" x14ac:dyDescent="0.25">
      <c r="B211" s="371"/>
      <c r="C211" s="372"/>
      <c r="D211" s="371"/>
      <c r="E211" s="371"/>
      <c r="F211" s="543"/>
      <c r="G211" s="373"/>
      <c r="H211" s="543"/>
      <c r="I211" s="373"/>
      <c r="J211" s="366"/>
      <c r="Q211" s="367"/>
    </row>
    <row r="212" spans="2:17" hidden="1" outlineLevel="1" x14ac:dyDescent="0.25">
      <c r="B212" s="371"/>
      <c r="C212" s="372"/>
      <c r="D212" s="371"/>
      <c r="E212" s="371"/>
      <c r="F212" s="543"/>
      <c r="G212" s="373"/>
      <c r="H212" s="543"/>
      <c r="I212" s="373"/>
      <c r="J212" s="366"/>
      <c r="Q212" s="367"/>
    </row>
    <row r="213" spans="2:17" hidden="1" outlineLevel="1" x14ac:dyDescent="0.25">
      <c r="B213" s="371"/>
      <c r="C213" s="372"/>
      <c r="D213" s="371"/>
      <c r="E213" s="371"/>
      <c r="F213" s="543"/>
      <c r="G213" s="373"/>
      <c r="H213" s="543"/>
      <c r="I213" s="373"/>
      <c r="J213" s="366"/>
      <c r="Q213" s="367"/>
    </row>
    <row r="214" spans="2:17" hidden="1" outlineLevel="1" x14ac:dyDescent="0.25">
      <c r="B214" s="371"/>
      <c r="C214" s="372"/>
      <c r="D214" s="371"/>
      <c r="E214" s="371"/>
      <c r="F214" s="543"/>
      <c r="G214" s="373"/>
      <c r="H214" s="543"/>
      <c r="I214" s="373"/>
      <c r="J214" s="366"/>
      <c r="Q214" s="367"/>
    </row>
    <row r="215" spans="2:17" hidden="1" outlineLevel="1" x14ac:dyDescent="0.25">
      <c r="B215" s="371"/>
      <c r="C215" s="372"/>
      <c r="D215" s="371"/>
      <c r="E215" s="371"/>
      <c r="F215" s="543"/>
      <c r="G215" s="373"/>
      <c r="H215" s="543"/>
      <c r="I215" s="373"/>
      <c r="J215" s="366"/>
      <c r="Q215" s="367"/>
    </row>
    <row r="216" spans="2:17" hidden="1" outlineLevel="1" x14ac:dyDescent="0.25">
      <c r="B216" s="371"/>
      <c r="C216" s="372"/>
      <c r="D216" s="371"/>
      <c r="E216" s="371"/>
      <c r="F216" s="543"/>
      <c r="G216" s="373"/>
      <c r="H216" s="543"/>
      <c r="I216" s="373"/>
      <c r="J216" s="366"/>
      <c r="Q216" s="367"/>
    </row>
    <row r="217" spans="2:17" hidden="1" outlineLevel="1" x14ac:dyDescent="0.25">
      <c r="B217" s="371"/>
      <c r="C217" s="372"/>
      <c r="D217" s="371"/>
      <c r="E217" s="371"/>
      <c r="F217" s="543"/>
      <c r="G217" s="373"/>
      <c r="H217" s="543"/>
      <c r="I217" s="373"/>
      <c r="J217" s="366"/>
      <c r="Q217" s="367"/>
    </row>
    <row r="218" spans="2:17" hidden="1" outlineLevel="1" x14ac:dyDescent="0.25">
      <c r="B218" s="371"/>
      <c r="C218" s="372"/>
      <c r="D218" s="371"/>
      <c r="E218" s="371"/>
      <c r="F218" s="543"/>
      <c r="G218" s="373"/>
      <c r="H218" s="543"/>
      <c r="I218" s="373"/>
      <c r="J218" s="366"/>
      <c r="Q218" s="367"/>
    </row>
    <row r="219" spans="2:17" hidden="1" outlineLevel="1" x14ac:dyDescent="0.25">
      <c r="B219" s="371"/>
      <c r="C219" s="372"/>
      <c r="D219" s="371"/>
      <c r="E219" s="371"/>
      <c r="F219" s="543"/>
      <c r="G219" s="373"/>
      <c r="H219" s="543"/>
      <c r="I219" s="373"/>
      <c r="J219" s="366"/>
      <c r="Q219" s="367"/>
    </row>
    <row r="220" spans="2:17" hidden="1" outlineLevel="1" x14ac:dyDescent="0.25">
      <c r="B220" s="371"/>
      <c r="C220" s="372"/>
      <c r="D220" s="371"/>
      <c r="E220" s="371"/>
      <c r="F220" s="543"/>
      <c r="G220" s="373"/>
      <c r="H220" s="543"/>
      <c r="I220" s="373"/>
      <c r="J220" s="366"/>
      <c r="Q220" s="367"/>
    </row>
    <row r="221" spans="2:17" hidden="1" outlineLevel="1" x14ac:dyDescent="0.25">
      <c r="B221" s="371"/>
      <c r="C221" s="372"/>
      <c r="D221" s="371"/>
      <c r="E221" s="371"/>
      <c r="F221" s="543"/>
      <c r="G221" s="373"/>
      <c r="H221" s="543"/>
      <c r="I221" s="373"/>
      <c r="J221" s="366"/>
      <c r="Q221" s="367"/>
    </row>
    <row r="222" spans="2:17" hidden="1" outlineLevel="1" x14ac:dyDescent="0.25">
      <c r="B222" s="371"/>
      <c r="C222" s="372"/>
      <c r="D222" s="371"/>
      <c r="E222" s="371"/>
      <c r="F222" s="543"/>
      <c r="G222" s="373"/>
      <c r="H222" s="543"/>
      <c r="I222" s="373"/>
      <c r="J222" s="366"/>
      <c r="Q222" s="367"/>
    </row>
    <row r="223" spans="2:17" hidden="1" outlineLevel="1" x14ac:dyDescent="0.25">
      <c r="B223" s="371"/>
      <c r="C223" s="372"/>
      <c r="D223" s="371"/>
      <c r="E223" s="371"/>
      <c r="F223" s="543"/>
      <c r="G223" s="373"/>
      <c r="H223" s="543"/>
      <c r="I223" s="373"/>
      <c r="J223" s="366"/>
      <c r="Q223" s="367"/>
    </row>
    <row r="224" spans="2:17" hidden="1" outlineLevel="1" x14ac:dyDescent="0.25">
      <c r="B224" s="371"/>
      <c r="C224" s="372"/>
      <c r="D224" s="371"/>
      <c r="E224" s="371"/>
      <c r="F224" s="543"/>
      <c r="G224" s="373"/>
      <c r="H224" s="543"/>
      <c r="I224" s="373"/>
      <c r="J224" s="366"/>
      <c r="Q224" s="367"/>
    </row>
    <row r="225" spans="2:17" hidden="1" outlineLevel="1" x14ac:dyDescent="0.25">
      <c r="B225" s="371"/>
      <c r="C225" s="372"/>
      <c r="D225" s="371"/>
      <c r="E225" s="371"/>
      <c r="F225" s="543"/>
      <c r="G225" s="373"/>
      <c r="H225" s="543"/>
      <c r="I225" s="373"/>
      <c r="J225" s="366"/>
      <c r="Q225" s="367"/>
    </row>
    <row r="226" spans="2:17" hidden="1" outlineLevel="1" x14ac:dyDescent="0.25">
      <c r="B226" s="371"/>
      <c r="C226" s="372"/>
      <c r="D226" s="371"/>
      <c r="E226" s="371"/>
      <c r="F226" s="543"/>
      <c r="G226" s="373"/>
      <c r="H226" s="543"/>
      <c r="I226" s="373"/>
      <c r="J226" s="366"/>
      <c r="Q226" s="367"/>
    </row>
    <row r="227" spans="2:17" hidden="1" outlineLevel="1" x14ac:dyDescent="0.25">
      <c r="B227" s="371"/>
      <c r="C227" s="372"/>
      <c r="D227" s="371"/>
      <c r="E227" s="371"/>
      <c r="F227" s="543"/>
      <c r="G227" s="373"/>
      <c r="H227" s="543"/>
      <c r="I227" s="373"/>
      <c r="J227" s="366"/>
      <c r="Q227" s="367"/>
    </row>
    <row r="228" spans="2:17" hidden="1" outlineLevel="1" x14ac:dyDescent="0.25">
      <c r="B228" s="371"/>
      <c r="C228" s="372"/>
      <c r="D228" s="371"/>
      <c r="E228" s="371"/>
      <c r="F228" s="543"/>
      <c r="G228" s="373"/>
      <c r="H228" s="543"/>
      <c r="I228" s="373"/>
      <c r="J228" s="366"/>
      <c r="Q228" s="367"/>
    </row>
    <row r="229" spans="2:17" hidden="1" outlineLevel="1" x14ac:dyDescent="0.25">
      <c r="B229" s="371"/>
      <c r="C229" s="372"/>
      <c r="D229" s="371"/>
      <c r="E229" s="371"/>
      <c r="F229" s="543"/>
      <c r="G229" s="373"/>
      <c r="H229" s="543"/>
      <c r="I229" s="373"/>
      <c r="J229" s="366"/>
      <c r="Q229" s="367"/>
    </row>
    <row r="230" spans="2:17" hidden="1" outlineLevel="1" x14ac:dyDescent="0.25">
      <c r="B230" s="371"/>
      <c r="C230" s="372"/>
      <c r="D230" s="371"/>
      <c r="E230" s="371"/>
      <c r="F230" s="543"/>
      <c r="G230" s="373"/>
      <c r="H230" s="543"/>
      <c r="I230" s="373"/>
      <c r="J230" s="366"/>
      <c r="Q230" s="367"/>
    </row>
    <row r="231" spans="2:17" hidden="1" outlineLevel="1" x14ac:dyDescent="0.25">
      <c r="B231" s="371"/>
      <c r="C231" s="372"/>
      <c r="D231" s="371"/>
      <c r="E231" s="371"/>
      <c r="F231" s="543"/>
      <c r="G231" s="373"/>
      <c r="H231" s="543"/>
      <c r="I231" s="373"/>
      <c r="J231" s="366"/>
      <c r="Q231" s="367"/>
    </row>
    <row r="232" spans="2:17" hidden="1" outlineLevel="1" x14ac:dyDescent="0.25">
      <c r="B232" s="371"/>
      <c r="C232" s="372"/>
      <c r="D232" s="371"/>
      <c r="E232" s="371"/>
      <c r="F232" s="543"/>
      <c r="G232" s="373"/>
      <c r="H232" s="543"/>
      <c r="I232" s="373"/>
      <c r="J232" s="366"/>
      <c r="Q232" s="367"/>
    </row>
    <row r="233" spans="2:17" hidden="1" outlineLevel="1" x14ac:dyDescent="0.25">
      <c r="B233" s="371"/>
      <c r="C233" s="372"/>
      <c r="D233" s="371"/>
      <c r="E233" s="371"/>
      <c r="F233" s="543"/>
      <c r="G233" s="373"/>
      <c r="H233" s="543"/>
      <c r="I233" s="373"/>
      <c r="J233" s="366"/>
      <c r="Q233" s="367"/>
    </row>
    <row r="234" spans="2:17" hidden="1" outlineLevel="1" x14ac:dyDescent="0.25">
      <c r="B234" s="371"/>
      <c r="C234" s="372"/>
      <c r="D234" s="371"/>
      <c r="E234" s="371"/>
      <c r="F234" s="543"/>
      <c r="G234" s="373"/>
      <c r="H234" s="543"/>
      <c r="I234" s="373"/>
      <c r="J234" s="366"/>
      <c r="Q234" s="367"/>
    </row>
    <row r="235" spans="2:17" hidden="1" outlineLevel="1" x14ac:dyDescent="0.25">
      <c r="B235" s="371"/>
      <c r="C235" s="372"/>
      <c r="D235" s="371"/>
      <c r="E235" s="371"/>
      <c r="F235" s="543"/>
      <c r="G235" s="373"/>
      <c r="H235" s="543"/>
      <c r="I235" s="373"/>
      <c r="J235" s="366"/>
      <c r="Q235" s="367"/>
    </row>
    <row r="236" spans="2:17" hidden="1" outlineLevel="1" x14ac:dyDescent="0.25">
      <c r="B236" s="371"/>
      <c r="C236" s="372"/>
      <c r="D236" s="371"/>
      <c r="E236" s="371"/>
      <c r="F236" s="543"/>
      <c r="G236" s="373"/>
      <c r="H236" s="543"/>
      <c r="I236" s="373"/>
      <c r="J236" s="366"/>
      <c r="Q236" s="367"/>
    </row>
    <row r="237" spans="2:17" hidden="1" outlineLevel="1" x14ac:dyDescent="0.25">
      <c r="B237" s="371"/>
      <c r="C237" s="372"/>
      <c r="D237" s="371"/>
      <c r="E237" s="371"/>
      <c r="F237" s="543"/>
      <c r="G237" s="373"/>
      <c r="H237" s="543"/>
      <c r="I237" s="373"/>
      <c r="J237" s="366"/>
      <c r="Q237" s="367"/>
    </row>
    <row r="238" spans="2:17" hidden="1" outlineLevel="1" x14ac:dyDescent="0.25">
      <c r="B238" s="371"/>
      <c r="C238" s="372"/>
      <c r="D238" s="371"/>
      <c r="E238" s="371"/>
      <c r="F238" s="543"/>
      <c r="G238" s="373"/>
      <c r="H238" s="543"/>
      <c r="I238" s="373"/>
      <c r="J238" s="366"/>
      <c r="Q238" s="367"/>
    </row>
    <row r="239" spans="2:17" hidden="1" outlineLevel="1" x14ac:dyDescent="0.25">
      <c r="B239" s="371"/>
      <c r="C239" s="372"/>
      <c r="D239" s="371"/>
      <c r="E239" s="371"/>
      <c r="F239" s="543"/>
      <c r="G239" s="373"/>
      <c r="H239" s="543"/>
      <c r="I239" s="373"/>
      <c r="J239" s="366"/>
      <c r="Q239" s="367"/>
    </row>
    <row r="240" spans="2:17" hidden="1" outlineLevel="1" x14ac:dyDescent="0.25">
      <c r="B240" s="371"/>
      <c r="C240" s="372"/>
      <c r="D240" s="371"/>
      <c r="E240" s="371"/>
      <c r="F240" s="543"/>
      <c r="G240" s="373"/>
      <c r="H240" s="543"/>
      <c r="I240" s="373"/>
      <c r="J240" s="366"/>
      <c r="Q240" s="367"/>
    </row>
    <row r="241" spans="2:17" hidden="1" outlineLevel="1" x14ac:dyDescent="0.25">
      <c r="B241" s="371"/>
      <c r="C241" s="372"/>
      <c r="D241" s="371"/>
      <c r="E241" s="371"/>
      <c r="F241" s="543"/>
      <c r="G241" s="373"/>
      <c r="H241" s="543"/>
      <c r="I241" s="373"/>
      <c r="J241" s="366"/>
      <c r="Q241" s="367"/>
    </row>
    <row r="242" spans="2:17" hidden="1" outlineLevel="1" x14ac:dyDescent="0.25">
      <c r="B242" s="371"/>
      <c r="C242" s="372"/>
      <c r="D242" s="371"/>
      <c r="E242" s="371"/>
      <c r="F242" s="543"/>
      <c r="G242" s="373"/>
      <c r="H242" s="543"/>
      <c r="I242" s="373"/>
      <c r="J242" s="366"/>
      <c r="Q242" s="367"/>
    </row>
    <row r="243" spans="2:17" hidden="1" outlineLevel="1" x14ac:dyDescent="0.25">
      <c r="B243" s="371"/>
      <c r="C243" s="372"/>
      <c r="D243" s="371"/>
      <c r="E243" s="371"/>
      <c r="F243" s="543"/>
      <c r="G243" s="373"/>
      <c r="H243" s="543"/>
      <c r="I243" s="373"/>
      <c r="J243" s="366"/>
      <c r="Q243" s="367"/>
    </row>
    <row r="244" spans="2:17" hidden="1" outlineLevel="1" x14ac:dyDescent="0.25">
      <c r="B244" s="371"/>
      <c r="C244" s="372"/>
      <c r="D244" s="371"/>
      <c r="E244" s="371"/>
      <c r="F244" s="543"/>
      <c r="G244" s="373"/>
      <c r="H244" s="543"/>
      <c r="I244" s="373"/>
      <c r="J244" s="366"/>
      <c r="Q244" s="367"/>
    </row>
    <row r="245" spans="2:17" hidden="1" outlineLevel="1" x14ac:dyDescent="0.25">
      <c r="B245" s="371"/>
      <c r="C245" s="372"/>
      <c r="D245" s="371"/>
      <c r="E245" s="371"/>
      <c r="F245" s="543"/>
      <c r="G245" s="373"/>
      <c r="H245" s="543"/>
      <c r="I245" s="373"/>
      <c r="J245" s="366"/>
      <c r="Q245" s="367"/>
    </row>
    <row r="246" spans="2:17" hidden="1" outlineLevel="1" x14ac:dyDescent="0.25">
      <c r="B246" s="371"/>
      <c r="C246" s="372"/>
      <c r="D246" s="371"/>
      <c r="E246" s="371"/>
      <c r="F246" s="543"/>
      <c r="G246" s="373"/>
      <c r="H246" s="543"/>
      <c r="I246" s="373"/>
      <c r="J246" s="366"/>
      <c r="Q246" s="367"/>
    </row>
    <row r="247" spans="2:17" hidden="1" outlineLevel="1" x14ac:dyDescent="0.25">
      <c r="B247" s="371"/>
      <c r="C247" s="372"/>
      <c r="D247" s="371"/>
      <c r="E247" s="371"/>
      <c r="F247" s="543"/>
      <c r="G247" s="373"/>
      <c r="H247" s="543"/>
      <c r="I247" s="373"/>
      <c r="J247" s="366"/>
      <c r="Q247" s="367"/>
    </row>
    <row r="248" spans="2:17" hidden="1" outlineLevel="1" x14ac:dyDescent="0.25">
      <c r="B248" s="371"/>
      <c r="C248" s="372"/>
      <c r="D248" s="371"/>
      <c r="E248" s="371"/>
      <c r="F248" s="543"/>
      <c r="G248" s="373"/>
      <c r="H248" s="543"/>
      <c r="I248" s="373"/>
      <c r="J248" s="366"/>
      <c r="Q248" s="367"/>
    </row>
    <row r="249" spans="2:17" collapsed="1" x14ac:dyDescent="0.25">
      <c r="B249" s="216" t="s">
        <v>37</v>
      </c>
      <c r="C249" s="217"/>
      <c r="D249" s="217"/>
      <c r="E249" s="217"/>
      <c r="F249" s="362">
        <f>SUM(F149:F248)</f>
        <v>0</v>
      </c>
      <c r="G249" s="217"/>
      <c r="H249" s="363">
        <f>SUM(H149:H248)</f>
        <v>0</v>
      </c>
      <c r="I249" s="248"/>
      <c r="J249" s="368"/>
      <c r="Q249" s="369"/>
    </row>
    <row r="250" spans="2:17" x14ac:dyDescent="0.25"/>
    <row r="251" spans="2:17" s="332" customFormat="1" ht="30" customHeight="1" x14ac:dyDescent="0.25">
      <c r="B251" s="231" t="s">
        <v>604</v>
      </c>
    </row>
    <row r="252" spans="2:17" x14ac:dyDescent="0.25"/>
    <row r="253" spans="2:17" x14ac:dyDescent="0.25">
      <c r="E253" s="1432" t="s">
        <v>32</v>
      </c>
      <c r="F253" s="1433"/>
      <c r="G253" s="1434"/>
    </row>
    <row r="254" spans="2:17" x14ac:dyDescent="0.25">
      <c r="E254" s="218" t="e">
        <f>FAEV!D9</f>
        <v>#REF!</v>
      </c>
      <c r="F254" s="219" t="e">
        <f>FAEV!E9</f>
        <v>#REF!</v>
      </c>
      <c r="G254" s="179" t="e">
        <f>FAEV!F9</f>
        <v>#REF!</v>
      </c>
      <c r="H254" s="250" t="s">
        <v>37</v>
      </c>
      <c r="I254" s="370"/>
      <c r="J254" s="370"/>
    </row>
    <row r="255" spans="2:17" ht="25.9" customHeight="1" x14ac:dyDescent="0.25">
      <c r="B255" s="1424" t="s">
        <v>961</v>
      </c>
      <c r="C255" s="1425"/>
      <c r="D255" s="1435"/>
      <c r="E255" s="544" t="e">
        <f>FAEV!D110</f>
        <v>#REF!</v>
      </c>
      <c r="F255" s="544" t="e">
        <f>FAEV!E110</f>
        <v>#REF!</v>
      </c>
      <c r="G255" s="544" t="e">
        <f>FAEV!F110</f>
        <v>#REF!</v>
      </c>
      <c r="H255" s="545" t="e">
        <f>E255+F255+G255</f>
        <v>#REF!</v>
      </c>
    </row>
    <row r="256" spans="2:17" ht="16.899999999999999" customHeight="1" x14ac:dyDescent="0.25">
      <c r="B256" s="1424" t="s">
        <v>962</v>
      </c>
      <c r="C256" s="1425"/>
      <c r="D256" s="1425"/>
      <c r="E256" s="546"/>
      <c r="F256" s="547"/>
      <c r="G256" s="547"/>
      <c r="H256" s="548">
        <f>H249</f>
        <v>0</v>
      </c>
    </row>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sheetData>
  <sheetProtection formatRows="0" selectLockedCells="1"/>
  <mergeCells count="9">
    <mergeCell ref="B256:D256"/>
    <mergeCell ref="G130:I130"/>
    <mergeCell ref="B139:I139"/>
    <mergeCell ref="B140:I140"/>
    <mergeCell ref="D9:J9"/>
    <mergeCell ref="B138:I138"/>
    <mergeCell ref="B141:I141"/>
    <mergeCell ref="E253:G253"/>
    <mergeCell ref="B255:D25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CE3548F-F765-4690-83C5-4E182F130054}">
          <x14:formula1>
            <xm:f>FACM!$A$25:$A$27</xm:f>
          </x14:formula1>
          <xm:sqref>B29:B129 B148:B248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20209-4D51-44E4-B910-700295DA15A2}">
  <dimension ref="B8:F111"/>
  <sheetViews>
    <sheetView showGridLines="0" zoomScale="70" zoomScaleNormal="70" workbookViewId="0">
      <selection activeCell="J28" sqref="J28"/>
    </sheetView>
  </sheetViews>
  <sheetFormatPr defaultRowHeight="15" x14ac:dyDescent="0.25"/>
  <cols>
    <col min="3" max="3" width="22.625" customWidth="1"/>
    <col min="4" max="4" width="11.875" customWidth="1"/>
    <col min="5" max="5" width="11.625" customWidth="1"/>
    <col min="6" max="6" width="13" customWidth="1"/>
  </cols>
  <sheetData>
    <row r="8" spans="2:6" x14ac:dyDescent="0.25">
      <c r="C8" s="1"/>
      <c r="D8" s="1259"/>
      <c r="E8" s="1260"/>
      <c r="F8" s="1261"/>
    </row>
    <row r="9" spans="2:6" ht="19.5" x14ac:dyDescent="0.25">
      <c r="B9" s="55" t="s">
        <v>32</v>
      </c>
      <c r="C9" s="55" t="s">
        <v>955</v>
      </c>
      <c r="D9" s="23" t="e">
        <f>'Fatores de Emissão'!#REF!</f>
        <v>#REF!</v>
      </c>
      <c r="E9" s="24" t="e">
        <f>'Fatores de Emissão'!#REF!</f>
        <v>#REF!</v>
      </c>
      <c r="F9" s="25" t="e">
        <f>'Fatores de Emissão'!#REF!</f>
        <v>#REF!</v>
      </c>
    </row>
    <row r="10" spans="2:6" x14ac:dyDescent="0.25">
      <c r="B10" s="22">
        <f>'Emissões Evitadas'!B30</f>
        <v>0</v>
      </c>
      <c r="C10" s="60" t="str">
        <f>'Emissões Evitadas'!J30</f>
        <v/>
      </c>
      <c r="D10" s="5" t="e">
        <f>IF($B10=$D$9,$C10,0)</f>
        <v>#REF!</v>
      </c>
      <c r="E10" s="5" t="e">
        <f>IF($B10=$E$9,$C10,0)</f>
        <v>#REF!</v>
      </c>
      <c r="F10" s="5" t="e">
        <f>IF($B10=$F$9,$C10,0)</f>
        <v>#REF!</v>
      </c>
    </row>
    <row r="11" spans="2:6" x14ac:dyDescent="0.25">
      <c r="B11" s="22">
        <f>'Emissões Evitadas'!B31</f>
        <v>0</v>
      </c>
      <c r="C11" s="60" t="str">
        <f>'Emissões Evitadas'!J31</f>
        <v/>
      </c>
      <c r="D11" s="5" t="e">
        <f t="shared" ref="D11:D74" si="0">IF($B11=$D$9,$C11,0)</f>
        <v>#REF!</v>
      </c>
      <c r="E11" s="5" t="e">
        <f t="shared" ref="E11:E74" si="1">IF($B11=$E$9,$C11,0)</f>
        <v>#REF!</v>
      </c>
      <c r="F11" s="5" t="e">
        <f t="shared" ref="F11:F74" si="2">IF($B11=$F$9,$C11,0)</f>
        <v>#REF!</v>
      </c>
    </row>
    <row r="12" spans="2:6" x14ac:dyDescent="0.25">
      <c r="B12" s="22">
        <f>'Emissões Evitadas'!B32</f>
        <v>0</v>
      </c>
      <c r="C12" s="60" t="str">
        <f>'Emissões Evitadas'!J32</f>
        <v/>
      </c>
      <c r="D12" s="5" t="e">
        <f t="shared" si="0"/>
        <v>#REF!</v>
      </c>
      <c r="E12" s="5" t="e">
        <f t="shared" si="1"/>
        <v>#REF!</v>
      </c>
      <c r="F12" s="5" t="e">
        <f t="shared" si="2"/>
        <v>#REF!</v>
      </c>
    </row>
    <row r="13" spans="2:6" x14ac:dyDescent="0.25">
      <c r="B13" s="22">
        <f>'Emissões Evitadas'!B33</f>
        <v>0</v>
      </c>
      <c r="C13" s="60" t="str">
        <f>'Emissões Evitadas'!J33</f>
        <v/>
      </c>
      <c r="D13" s="5" t="e">
        <f t="shared" si="0"/>
        <v>#REF!</v>
      </c>
      <c r="E13" s="5" t="e">
        <f t="shared" si="1"/>
        <v>#REF!</v>
      </c>
      <c r="F13" s="5" t="e">
        <f t="shared" si="2"/>
        <v>#REF!</v>
      </c>
    </row>
    <row r="14" spans="2:6" x14ac:dyDescent="0.25">
      <c r="B14" s="22">
        <f>'Emissões Evitadas'!B34</f>
        <v>0</v>
      </c>
      <c r="C14" s="60" t="str">
        <f>'Emissões Evitadas'!J34</f>
        <v/>
      </c>
      <c r="D14" s="5" t="e">
        <f t="shared" si="0"/>
        <v>#REF!</v>
      </c>
      <c r="E14" s="5" t="e">
        <f t="shared" si="1"/>
        <v>#REF!</v>
      </c>
      <c r="F14" s="5" t="e">
        <f t="shared" si="2"/>
        <v>#REF!</v>
      </c>
    </row>
    <row r="15" spans="2:6" x14ac:dyDescent="0.25">
      <c r="B15" s="22">
        <f>'Emissões Evitadas'!B35</f>
        <v>0</v>
      </c>
      <c r="C15" s="60" t="str">
        <f>'Emissões Evitadas'!J35</f>
        <v/>
      </c>
      <c r="D15" s="5" t="e">
        <f t="shared" si="0"/>
        <v>#REF!</v>
      </c>
      <c r="E15" s="5" t="e">
        <f t="shared" si="1"/>
        <v>#REF!</v>
      </c>
      <c r="F15" s="5" t="e">
        <f t="shared" si="2"/>
        <v>#REF!</v>
      </c>
    </row>
    <row r="16" spans="2:6" x14ac:dyDescent="0.25">
      <c r="B16" s="22">
        <f>'Emissões Evitadas'!B36</f>
        <v>0</v>
      </c>
      <c r="C16" s="60" t="str">
        <f>'Emissões Evitadas'!J36</f>
        <v/>
      </c>
      <c r="D16" s="5" t="e">
        <f t="shared" si="0"/>
        <v>#REF!</v>
      </c>
      <c r="E16" s="5" t="e">
        <f t="shared" si="1"/>
        <v>#REF!</v>
      </c>
      <c r="F16" s="5" t="e">
        <f t="shared" si="2"/>
        <v>#REF!</v>
      </c>
    </row>
    <row r="17" spans="2:6" x14ac:dyDescent="0.25">
      <c r="B17" s="22">
        <f>'Emissões Evitadas'!B37</f>
        <v>0</v>
      </c>
      <c r="C17" s="60" t="str">
        <f>'Emissões Evitadas'!J37</f>
        <v/>
      </c>
      <c r="D17" s="5" t="e">
        <f t="shared" si="0"/>
        <v>#REF!</v>
      </c>
      <c r="E17" s="5" t="e">
        <f t="shared" si="1"/>
        <v>#REF!</v>
      </c>
      <c r="F17" s="5" t="e">
        <f t="shared" si="2"/>
        <v>#REF!</v>
      </c>
    </row>
    <row r="18" spans="2:6" x14ac:dyDescent="0.25">
      <c r="B18" s="22">
        <f>'Emissões Evitadas'!B38</f>
        <v>0</v>
      </c>
      <c r="C18" s="60" t="str">
        <f>'Emissões Evitadas'!J38</f>
        <v/>
      </c>
      <c r="D18" s="5" t="e">
        <f t="shared" si="0"/>
        <v>#REF!</v>
      </c>
      <c r="E18" s="5" t="e">
        <f t="shared" si="1"/>
        <v>#REF!</v>
      </c>
      <c r="F18" s="5" t="e">
        <f t="shared" si="2"/>
        <v>#REF!</v>
      </c>
    </row>
    <row r="19" spans="2:6" x14ac:dyDescent="0.25">
      <c r="B19" s="22">
        <f>'Emissões Evitadas'!B39</f>
        <v>0</v>
      </c>
      <c r="C19" s="60" t="str">
        <f>'Emissões Evitadas'!J39</f>
        <v/>
      </c>
      <c r="D19" s="5" t="e">
        <f t="shared" si="0"/>
        <v>#REF!</v>
      </c>
      <c r="E19" s="5" t="e">
        <f t="shared" si="1"/>
        <v>#REF!</v>
      </c>
      <c r="F19" s="5" t="e">
        <f t="shared" si="2"/>
        <v>#REF!</v>
      </c>
    </row>
    <row r="20" spans="2:6" x14ac:dyDescent="0.25">
      <c r="B20" s="22">
        <f>'Emissões Evitadas'!B40</f>
        <v>0</v>
      </c>
      <c r="C20" s="60" t="str">
        <f>'Emissões Evitadas'!J40</f>
        <v/>
      </c>
      <c r="D20" s="5" t="e">
        <f t="shared" si="0"/>
        <v>#REF!</v>
      </c>
      <c r="E20" s="5" t="e">
        <f t="shared" si="1"/>
        <v>#REF!</v>
      </c>
      <c r="F20" s="5" t="e">
        <f t="shared" si="2"/>
        <v>#REF!</v>
      </c>
    </row>
    <row r="21" spans="2:6" x14ac:dyDescent="0.25">
      <c r="B21" s="22">
        <f>'Emissões Evitadas'!B41</f>
        <v>0</v>
      </c>
      <c r="C21" s="60" t="str">
        <f>'Emissões Evitadas'!J41</f>
        <v/>
      </c>
      <c r="D21" s="5" t="e">
        <f t="shared" si="0"/>
        <v>#REF!</v>
      </c>
      <c r="E21" s="5" t="e">
        <f t="shared" si="1"/>
        <v>#REF!</v>
      </c>
      <c r="F21" s="5" t="e">
        <f t="shared" si="2"/>
        <v>#REF!</v>
      </c>
    </row>
    <row r="22" spans="2:6" x14ac:dyDescent="0.25">
      <c r="B22" s="22">
        <f>'Emissões Evitadas'!B42</f>
        <v>0</v>
      </c>
      <c r="C22" s="60" t="str">
        <f>'Emissões Evitadas'!J42</f>
        <v/>
      </c>
      <c r="D22" s="5" t="e">
        <f t="shared" si="0"/>
        <v>#REF!</v>
      </c>
      <c r="E22" s="5" t="e">
        <f t="shared" si="1"/>
        <v>#REF!</v>
      </c>
      <c r="F22" s="5" t="e">
        <f t="shared" si="2"/>
        <v>#REF!</v>
      </c>
    </row>
    <row r="23" spans="2:6" x14ac:dyDescent="0.25">
      <c r="B23" s="22">
        <f>'Emissões Evitadas'!B43</f>
        <v>0</v>
      </c>
      <c r="C23" s="60" t="str">
        <f>'Emissões Evitadas'!J43</f>
        <v/>
      </c>
      <c r="D23" s="5" t="e">
        <f t="shared" si="0"/>
        <v>#REF!</v>
      </c>
      <c r="E23" s="5" t="e">
        <f t="shared" si="1"/>
        <v>#REF!</v>
      </c>
      <c r="F23" s="5" t="e">
        <f t="shared" si="2"/>
        <v>#REF!</v>
      </c>
    </row>
    <row r="24" spans="2:6" x14ac:dyDescent="0.25">
      <c r="B24" s="22">
        <f>'Emissões Evitadas'!B44</f>
        <v>0</v>
      </c>
      <c r="C24" s="60" t="str">
        <f>'Emissões Evitadas'!J44</f>
        <v/>
      </c>
      <c r="D24" s="5" t="e">
        <f t="shared" si="0"/>
        <v>#REF!</v>
      </c>
      <c r="E24" s="5" t="e">
        <f t="shared" si="1"/>
        <v>#REF!</v>
      </c>
      <c r="F24" s="5" t="e">
        <f t="shared" si="2"/>
        <v>#REF!</v>
      </c>
    </row>
    <row r="25" spans="2:6" x14ac:dyDescent="0.25">
      <c r="B25" s="22">
        <f>'Emissões Evitadas'!B45</f>
        <v>0</v>
      </c>
      <c r="C25" s="60" t="str">
        <f>'Emissões Evitadas'!J45</f>
        <v/>
      </c>
      <c r="D25" s="5" t="e">
        <f t="shared" si="0"/>
        <v>#REF!</v>
      </c>
      <c r="E25" s="5" t="e">
        <f t="shared" si="1"/>
        <v>#REF!</v>
      </c>
      <c r="F25" s="5" t="e">
        <f t="shared" si="2"/>
        <v>#REF!</v>
      </c>
    </row>
    <row r="26" spans="2:6" x14ac:dyDescent="0.25">
      <c r="B26" s="22">
        <f>'Emissões Evitadas'!B46</f>
        <v>0</v>
      </c>
      <c r="C26" s="60" t="str">
        <f>'Emissões Evitadas'!J46</f>
        <v/>
      </c>
      <c r="D26" s="5" t="e">
        <f t="shared" si="0"/>
        <v>#REF!</v>
      </c>
      <c r="E26" s="5" t="e">
        <f t="shared" si="1"/>
        <v>#REF!</v>
      </c>
      <c r="F26" s="5" t="e">
        <f t="shared" si="2"/>
        <v>#REF!</v>
      </c>
    </row>
    <row r="27" spans="2:6" x14ac:dyDescent="0.25">
      <c r="B27" s="22">
        <f>'Emissões Evitadas'!B47</f>
        <v>0</v>
      </c>
      <c r="C27" s="60" t="str">
        <f>'Emissões Evitadas'!J47</f>
        <v/>
      </c>
      <c r="D27" s="5" t="e">
        <f t="shared" si="0"/>
        <v>#REF!</v>
      </c>
      <c r="E27" s="5" t="e">
        <f t="shared" si="1"/>
        <v>#REF!</v>
      </c>
      <c r="F27" s="5" t="e">
        <f t="shared" si="2"/>
        <v>#REF!</v>
      </c>
    </row>
    <row r="28" spans="2:6" x14ac:dyDescent="0.25">
      <c r="B28" s="22">
        <f>'Emissões Evitadas'!B48</f>
        <v>0</v>
      </c>
      <c r="C28" s="60" t="str">
        <f>'Emissões Evitadas'!J48</f>
        <v/>
      </c>
      <c r="D28" s="5" t="e">
        <f t="shared" si="0"/>
        <v>#REF!</v>
      </c>
      <c r="E28" s="5" t="e">
        <f t="shared" si="1"/>
        <v>#REF!</v>
      </c>
      <c r="F28" s="5" t="e">
        <f t="shared" si="2"/>
        <v>#REF!</v>
      </c>
    </row>
    <row r="29" spans="2:6" x14ac:dyDescent="0.25">
      <c r="B29" s="22">
        <f>'Emissões Evitadas'!B49</f>
        <v>0</v>
      </c>
      <c r="C29" s="60" t="str">
        <f>'Emissões Evitadas'!J49</f>
        <v/>
      </c>
      <c r="D29" s="5" t="e">
        <f t="shared" si="0"/>
        <v>#REF!</v>
      </c>
      <c r="E29" s="5" t="e">
        <f t="shared" si="1"/>
        <v>#REF!</v>
      </c>
      <c r="F29" s="5" t="e">
        <f t="shared" si="2"/>
        <v>#REF!</v>
      </c>
    </row>
    <row r="30" spans="2:6" x14ac:dyDescent="0.25">
      <c r="B30" s="22">
        <f>'Emissões Evitadas'!B50</f>
        <v>0</v>
      </c>
      <c r="C30" s="60" t="str">
        <f>'Emissões Evitadas'!J50</f>
        <v/>
      </c>
      <c r="D30" s="5" t="e">
        <f t="shared" si="0"/>
        <v>#REF!</v>
      </c>
      <c r="E30" s="5" t="e">
        <f t="shared" si="1"/>
        <v>#REF!</v>
      </c>
      <c r="F30" s="5" t="e">
        <f t="shared" si="2"/>
        <v>#REF!</v>
      </c>
    </row>
    <row r="31" spans="2:6" x14ac:dyDescent="0.25">
      <c r="B31" s="22">
        <f>'Emissões Evitadas'!B51</f>
        <v>0</v>
      </c>
      <c r="C31" s="60" t="str">
        <f>'Emissões Evitadas'!J51</f>
        <v/>
      </c>
      <c r="D31" s="5" t="e">
        <f t="shared" si="0"/>
        <v>#REF!</v>
      </c>
      <c r="E31" s="5" t="e">
        <f t="shared" si="1"/>
        <v>#REF!</v>
      </c>
      <c r="F31" s="5" t="e">
        <f t="shared" si="2"/>
        <v>#REF!</v>
      </c>
    </row>
    <row r="32" spans="2:6" x14ac:dyDescent="0.25">
      <c r="B32" s="22">
        <f>'Emissões Evitadas'!B52</f>
        <v>0</v>
      </c>
      <c r="C32" s="60" t="str">
        <f>'Emissões Evitadas'!J52</f>
        <v/>
      </c>
      <c r="D32" s="5" t="e">
        <f t="shared" si="0"/>
        <v>#REF!</v>
      </c>
      <c r="E32" s="5" t="e">
        <f t="shared" si="1"/>
        <v>#REF!</v>
      </c>
      <c r="F32" s="5" t="e">
        <f t="shared" si="2"/>
        <v>#REF!</v>
      </c>
    </row>
    <row r="33" spans="2:6" x14ac:dyDescent="0.25">
      <c r="B33" s="22">
        <f>'Emissões Evitadas'!B53</f>
        <v>0</v>
      </c>
      <c r="C33" s="60" t="str">
        <f>'Emissões Evitadas'!J53</f>
        <v/>
      </c>
      <c r="D33" s="5" t="e">
        <f t="shared" si="0"/>
        <v>#REF!</v>
      </c>
      <c r="E33" s="5" t="e">
        <f t="shared" si="1"/>
        <v>#REF!</v>
      </c>
      <c r="F33" s="5" t="e">
        <f t="shared" si="2"/>
        <v>#REF!</v>
      </c>
    </row>
    <row r="34" spans="2:6" x14ac:dyDescent="0.25">
      <c r="B34" s="22">
        <f>'Emissões Evitadas'!B54</f>
        <v>0</v>
      </c>
      <c r="C34" s="60" t="str">
        <f>'Emissões Evitadas'!J54</f>
        <v/>
      </c>
      <c r="D34" s="5" t="e">
        <f t="shared" si="0"/>
        <v>#REF!</v>
      </c>
      <c r="E34" s="5" t="e">
        <f t="shared" si="1"/>
        <v>#REF!</v>
      </c>
      <c r="F34" s="5" t="e">
        <f t="shared" si="2"/>
        <v>#REF!</v>
      </c>
    </row>
    <row r="35" spans="2:6" x14ac:dyDescent="0.25">
      <c r="B35" s="22">
        <f>'Emissões Evitadas'!B55</f>
        <v>0</v>
      </c>
      <c r="C35" s="60" t="str">
        <f>'Emissões Evitadas'!J55</f>
        <v/>
      </c>
      <c r="D35" s="5" t="e">
        <f t="shared" si="0"/>
        <v>#REF!</v>
      </c>
      <c r="E35" s="5" t="e">
        <f t="shared" si="1"/>
        <v>#REF!</v>
      </c>
      <c r="F35" s="5" t="e">
        <f t="shared" si="2"/>
        <v>#REF!</v>
      </c>
    </row>
    <row r="36" spans="2:6" x14ac:dyDescent="0.25">
      <c r="B36" s="22">
        <f>'Emissões Evitadas'!B56</f>
        <v>0</v>
      </c>
      <c r="C36" s="60" t="str">
        <f>'Emissões Evitadas'!J56</f>
        <v/>
      </c>
      <c r="D36" s="5" t="e">
        <f t="shared" si="0"/>
        <v>#REF!</v>
      </c>
      <c r="E36" s="5" t="e">
        <f t="shared" si="1"/>
        <v>#REF!</v>
      </c>
      <c r="F36" s="5" t="e">
        <f t="shared" si="2"/>
        <v>#REF!</v>
      </c>
    </row>
    <row r="37" spans="2:6" x14ac:dyDescent="0.25">
      <c r="B37" s="22">
        <f>'Emissões Evitadas'!B57</f>
        <v>0</v>
      </c>
      <c r="C37" s="60" t="str">
        <f>'Emissões Evitadas'!J57</f>
        <v/>
      </c>
      <c r="D37" s="5" t="e">
        <f t="shared" si="0"/>
        <v>#REF!</v>
      </c>
      <c r="E37" s="5" t="e">
        <f t="shared" si="1"/>
        <v>#REF!</v>
      </c>
      <c r="F37" s="5" t="e">
        <f t="shared" si="2"/>
        <v>#REF!</v>
      </c>
    </row>
    <row r="38" spans="2:6" x14ac:dyDescent="0.25">
      <c r="B38" s="22">
        <f>'Emissões Evitadas'!B58</f>
        <v>0</v>
      </c>
      <c r="C38" s="60" t="str">
        <f>'Emissões Evitadas'!J58</f>
        <v/>
      </c>
      <c r="D38" s="5" t="e">
        <f t="shared" si="0"/>
        <v>#REF!</v>
      </c>
      <c r="E38" s="5" t="e">
        <f t="shared" si="1"/>
        <v>#REF!</v>
      </c>
      <c r="F38" s="5" t="e">
        <f t="shared" si="2"/>
        <v>#REF!</v>
      </c>
    </row>
    <row r="39" spans="2:6" x14ac:dyDescent="0.25">
      <c r="B39" s="22">
        <f>'Emissões Evitadas'!B59</f>
        <v>0</v>
      </c>
      <c r="C39" s="60" t="str">
        <f>'Emissões Evitadas'!J59</f>
        <v/>
      </c>
      <c r="D39" s="5" t="e">
        <f t="shared" si="0"/>
        <v>#REF!</v>
      </c>
      <c r="E39" s="5" t="e">
        <f t="shared" si="1"/>
        <v>#REF!</v>
      </c>
      <c r="F39" s="5" t="e">
        <f t="shared" si="2"/>
        <v>#REF!</v>
      </c>
    </row>
    <row r="40" spans="2:6" x14ac:dyDescent="0.25">
      <c r="B40" s="22">
        <f>'Emissões Evitadas'!B60</f>
        <v>0</v>
      </c>
      <c r="C40" s="60" t="str">
        <f>'Emissões Evitadas'!J60</f>
        <v/>
      </c>
      <c r="D40" s="5" t="e">
        <f t="shared" si="0"/>
        <v>#REF!</v>
      </c>
      <c r="E40" s="5" t="e">
        <f t="shared" si="1"/>
        <v>#REF!</v>
      </c>
      <c r="F40" s="5" t="e">
        <f t="shared" si="2"/>
        <v>#REF!</v>
      </c>
    </row>
    <row r="41" spans="2:6" x14ac:dyDescent="0.25">
      <c r="B41" s="22">
        <f>'Emissões Evitadas'!B61</f>
        <v>0</v>
      </c>
      <c r="C41" s="60" t="str">
        <f>'Emissões Evitadas'!J61</f>
        <v/>
      </c>
      <c r="D41" s="5" t="e">
        <f t="shared" si="0"/>
        <v>#REF!</v>
      </c>
      <c r="E41" s="5" t="e">
        <f t="shared" si="1"/>
        <v>#REF!</v>
      </c>
      <c r="F41" s="5" t="e">
        <f t="shared" si="2"/>
        <v>#REF!</v>
      </c>
    </row>
    <row r="42" spans="2:6" x14ac:dyDescent="0.25">
      <c r="B42" s="22">
        <f>'Emissões Evitadas'!B62</f>
        <v>0</v>
      </c>
      <c r="C42" s="60" t="str">
        <f>'Emissões Evitadas'!J62</f>
        <v/>
      </c>
      <c r="D42" s="5" t="e">
        <f t="shared" si="0"/>
        <v>#REF!</v>
      </c>
      <c r="E42" s="5" t="e">
        <f t="shared" si="1"/>
        <v>#REF!</v>
      </c>
      <c r="F42" s="5" t="e">
        <f t="shared" si="2"/>
        <v>#REF!</v>
      </c>
    </row>
    <row r="43" spans="2:6" x14ac:dyDescent="0.25">
      <c r="B43" s="22">
        <f>'Emissões Evitadas'!B63</f>
        <v>0</v>
      </c>
      <c r="C43" s="60" t="str">
        <f>'Emissões Evitadas'!J63</f>
        <v/>
      </c>
      <c r="D43" s="5" t="e">
        <f t="shared" si="0"/>
        <v>#REF!</v>
      </c>
      <c r="E43" s="5" t="e">
        <f t="shared" si="1"/>
        <v>#REF!</v>
      </c>
      <c r="F43" s="5" t="e">
        <f t="shared" si="2"/>
        <v>#REF!</v>
      </c>
    </row>
    <row r="44" spans="2:6" x14ac:dyDescent="0.25">
      <c r="B44" s="22">
        <f>'Emissões Evitadas'!B64</f>
        <v>0</v>
      </c>
      <c r="C44" s="60" t="str">
        <f>'Emissões Evitadas'!J64</f>
        <v/>
      </c>
      <c r="D44" s="5" t="e">
        <f t="shared" si="0"/>
        <v>#REF!</v>
      </c>
      <c r="E44" s="5" t="e">
        <f t="shared" si="1"/>
        <v>#REF!</v>
      </c>
      <c r="F44" s="5" t="e">
        <f t="shared" si="2"/>
        <v>#REF!</v>
      </c>
    </row>
    <row r="45" spans="2:6" x14ac:dyDescent="0.25">
      <c r="B45" s="22">
        <f>'Emissões Evitadas'!B65</f>
        <v>0</v>
      </c>
      <c r="C45" s="60" t="str">
        <f>'Emissões Evitadas'!J65</f>
        <v/>
      </c>
      <c r="D45" s="5" t="e">
        <f t="shared" si="0"/>
        <v>#REF!</v>
      </c>
      <c r="E45" s="5" t="e">
        <f t="shared" si="1"/>
        <v>#REF!</v>
      </c>
      <c r="F45" s="5" t="e">
        <f t="shared" si="2"/>
        <v>#REF!</v>
      </c>
    </row>
    <row r="46" spans="2:6" x14ac:dyDescent="0.25">
      <c r="B46" s="22">
        <f>'Emissões Evitadas'!B66</f>
        <v>0</v>
      </c>
      <c r="C46" s="60" t="str">
        <f>'Emissões Evitadas'!J66</f>
        <v/>
      </c>
      <c r="D46" s="5" t="e">
        <f t="shared" si="0"/>
        <v>#REF!</v>
      </c>
      <c r="E46" s="5" t="e">
        <f t="shared" si="1"/>
        <v>#REF!</v>
      </c>
      <c r="F46" s="5" t="e">
        <f t="shared" si="2"/>
        <v>#REF!</v>
      </c>
    </row>
    <row r="47" spans="2:6" x14ac:dyDescent="0.25">
      <c r="B47" s="22">
        <f>'Emissões Evitadas'!B67</f>
        <v>0</v>
      </c>
      <c r="C47" s="60" t="str">
        <f>'Emissões Evitadas'!J67</f>
        <v/>
      </c>
      <c r="D47" s="5" t="e">
        <f t="shared" si="0"/>
        <v>#REF!</v>
      </c>
      <c r="E47" s="5" t="e">
        <f t="shared" si="1"/>
        <v>#REF!</v>
      </c>
      <c r="F47" s="5" t="e">
        <f t="shared" si="2"/>
        <v>#REF!</v>
      </c>
    </row>
    <row r="48" spans="2:6" x14ac:dyDescent="0.25">
      <c r="B48" s="22">
        <f>'Emissões Evitadas'!B68</f>
        <v>0</v>
      </c>
      <c r="C48" s="60" t="str">
        <f>'Emissões Evitadas'!J68</f>
        <v/>
      </c>
      <c r="D48" s="5" t="e">
        <f t="shared" si="0"/>
        <v>#REF!</v>
      </c>
      <c r="E48" s="5" t="e">
        <f t="shared" si="1"/>
        <v>#REF!</v>
      </c>
      <c r="F48" s="5" t="e">
        <f t="shared" si="2"/>
        <v>#REF!</v>
      </c>
    </row>
    <row r="49" spans="2:6" x14ac:dyDescent="0.25">
      <c r="B49" s="22">
        <f>'Emissões Evitadas'!B69</f>
        <v>0</v>
      </c>
      <c r="C49" s="60" t="str">
        <f>'Emissões Evitadas'!J69</f>
        <v/>
      </c>
      <c r="D49" s="5" t="e">
        <f t="shared" si="0"/>
        <v>#REF!</v>
      </c>
      <c r="E49" s="5" t="e">
        <f t="shared" si="1"/>
        <v>#REF!</v>
      </c>
      <c r="F49" s="5" t="e">
        <f t="shared" si="2"/>
        <v>#REF!</v>
      </c>
    </row>
    <row r="50" spans="2:6" x14ac:dyDescent="0.25">
      <c r="B50" s="22">
        <f>'Emissões Evitadas'!B70</f>
        <v>0</v>
      </c>
      <c r="C50" s="60" t="str">
        <f>'Emissões Evitadas'!J70</f>
        <v/>
      </c>
      <c r="D50" s="5" t="e">
        <f t="shared" si="0"/>
        <v>#REF!</v>
      </c>
      <c r="E50" s="5" t="e">
        <f t="shared" si="1"/>
        <v>#REF!</v>
      </c>
      <c r="F50" s="5" t="e">
        <f t="shared" si="2"/>
        <v>#REF!</v>
      </c>
    </row>
    <row r="51" spans="2:6" x14ac:dyDescent="0.25">
      <c r="B51" s="22">
        <f>'Emissões Evitadas'!B71</f>
        <v>0</v>
      </c>
      <c r="C51" s="60" t="str">
        <f>'Emissões Evitadas'!J71</f>
        <v/>
      </c>
      <c r="D51" s="5" t="e">
        <f t="shared" si="0"/>
        <v>#REF!</v>
      </c>
      <c r="E51" s="5" t="e">
        <f t="shared" si="1"/>
        <v>#REF!</v>
      </c>
      <c r="F51" s="5" t="e">
        <f t="shared" si="2"/>
        <v>#REF!</v>
      </c>
    </row>
    <row r="52" spans="2:6" x14ac:dyDescent="0.25">
      <c r="B52" s="22">
        <f>'Emissões Evitadas'!B72</f>
        <v>0</v>
      </c>
      <c r="C52" s="60" t="str">
        <f>'Emissões Evitadas'!J72</f>
        <v/>
      </c>
      <c r="D52" s="5" t="e">
        <f t="shared" si="0"/>
        <v>#REF!</v>
      </c>
      <c r="E52" s="5" t="e">
        <f t="shared" si="1"/>
        <v>#REF!</v>
      </c>
      <c r="F52" s="5" t="e">
        <f t="shared" si="2"/>
        <v>#REF!</v>
      </c>
    </row>
    <row r="53" spans="2:6" x14ac:dyDescent="0.25">
      <c r="B53" s="22">
        <f>'Emissões Evitadas'!B73</f>
        <v>0</v>
      </c>
      <c r="C53" s="60" t="str">
        <f>'Emissões Evitadas'!J73</f>
        <v/>
      </c>
      <c r="D53" s="5" t="e">
        <f t="shared" si="0"/>
        <v>#REF!</v>
      </c>
      <c r="E53" s="5" t="e">
        <f t="shared" si="1"/>
        <v>#REF!</v>
      </c>
      <c r="F53" s="5" t="e">
        <f t="shared" si="2"/>
        <v>#REF!</v>
      </c>
    </row>
    <row r="54" spans="2:6" x14ac:dyDescent="0.25">
      <c r="B54" s="22">
        <f>'Emissões Evitadas'!B74</f>
        <v>0</v>
      </c>
      <c r="C54" s="60" t="str">
        <f>'Emissões Evitadas'!J74</f>
        <v/>
      </c>
      <c r="D54" s="5" t="e">
        <f t="shared" si="0"/>
        <v>#REF!</v>
      </c>
      <c r="E54" s="5" t="e">
        <f t="shared" si="1"/>
        <v>#REF!</v>
      </c>
      <c r="F54" s="5" t="e">
        <f t="shared" si="2"/>
        <v>#REF!</v>
      </c>
    </row>
    <row r="55" spans="2:6" x14ac:dyDescent="0.25">
      <c r="B55" s="22">
        <f>'Emissões Evitadas'!B75</f>
        <v>0</v>
      </c>
      <c r="C55" s="60" t="str">
        <f>'Emissões Evitadas'!J75</f>
        <v/>
      </c>
      <c r="D55" s="5" t="e">
        <f t="shared" si="0"/>
        <v>#REF!</v>
      </c>
      <c r="E55" s="5" t="e">
        <f t="shared" si="1"/>
        <v>#REF!</v>
      </c>
      <c r="F55" s="5" t="e">
        <f t="shared" si="2"/>
        <v>#REF!</v>
      </c>
    </row>
    <row r="56" spans="2:6" x14ac:dyDescent="0.25">
      <c r="B56" s="22">
        <f>'Emissões Evitadas'!B76</f>
        <v>0</v>
      </c>
      <c r="C56" s="60" t="str">
        <f>'Emissões Evitadas'!J76</f>
        <v/>
      </c>
      <c r="D56" s="5" t="e">
        <f t="shared" si="0"/>
        <v>#REF!</v>
      </c>
      <c r="E56" s="5" t="e">
        <f t="shared" si="1"/>
        <v>#REF!</v>
      </c>
      <c r="F56" s="5" t="e">
        <f t="shared" si="2"/>
        <v>#REF!</v>
      </c>
    </row>
    <row r="57" spans="2:6" x14ac:dyDescent="0.25">
      <c r="B57" s="22">
        <f>'Emissões Evitadas'!B77</f>
        <v>0</v>
      </c>
      <c r="C57" s="60" t="str">
        <f>'Emissões Evitadas'!J77</f>
        <v/>
      </c>
      <c r="D57" s="5" t="e">
        <f t="shared" si="0"/>
        <v>#REF!</v>
      </c>
      <c r="E57" s="5" t="e">
        <f t="shared" si="1"/>
        <v>#REF!</v>
      </c>
      <c r="F57" s="5" t="e">
        <f t="shared" si="2"/>
        <v>#REF!</v>
      </c>
    </row>
    <row r="58" spans="2:6" x14ac:dyDescent="0.25">
      <c r="B58" s="22">
        <f>'Emissões Evitadas'!B78</f>
        <v>0</v>
      </c>
      <c r="C58" s="60" t="str">
        <f>'Emissões Evitadas'!J78</f>
        <v/>
      </c>
      <c r="D58" s="5" t="e">
        <f t="shared" si="0"/>
        <v>#REF!</v>
      </c>
      <c r="E58" s="5" t="e">
        <f t="shared" si="1"/>
        <v>#REF!</v>
      </c>
      <c r="F58" s="5" t="e">
        <f t="shared" si="2"/>
        <v>#REF!</v>
      </c>
    </row>
    <row r="59" spans="2:6" x14ac:dyDescent="0.25">
      <c r="B59" s="22">
        <f>'Emissões Evitadas'!B79</f>
        <v>0</v>
      </c>
      <c r="C59" s="60" t="str">
        <f>'Emissões Evitadas'!J79</f>
        <v/>
      </c>
      <c r="D59" s="5" t="e">
        <f t="shared" si="0"/>
        <v>#REF!</v>
      </c>
      <c r="E59" s="5" t="e">
        <f t="shared" si="1"/>
        <v>#REF!</v>
      </c>
      <c r="F59" s="5" t="e">
        <f t="shared" si="2"/>
        <v>#REF!</v>
      </c>
    </row>
    <row r="60" spans="2:6" x14ac:dyDescent="0.25">
      <c r="B60" s="22">
        <f>'Emissões Evitadas'!B80</f>
        <v>0</v>
      </c>
      <c r="C60" s="60" t="str">
        <f>'Emissões Evitadas'!J80</f>
        <v/>
      </c>
      <c r="D60" s="5" t="e">
        <f t="shared" si="0"/>
        <v>#REF!</v>
      </c>
      <c r="E60" s="5" t="e">
        <f t="shared" si="1"/>
        <v>#REF!</v>
      </c>
      <c r="F60" s="5" t="e">
        <f t="shared" si="2"/>
        <v>#REF!</v>
      </c>
    </row>
    <row r="61" spans="2:6" x14ac:dyDescent="0.25">
      <c r="B61" s="22">
        <f>'Emissões Evitadas'!B81</f>
        <v>0</v>
      </c>
      <c r="C61" s="60" t="str">
        <f>'Emissões Evitadas'!J81</f>
        <v/>
      </c>
      <c r="D61" s="5" t="e">
        <f t="shared" si="0"/>
        <v>#REF!</v>
      </c>
      <c r="E61" s="5" t="e">
        <f t="shared" si="1"/>
        <v>#REF!</v>
      </c>
      <c r="F61" s="5" t="e">
        <f t="shared" si="2"/>
        <v>#REF!</v>
      </c>
    </row>
    <row r="62" spans="2:6" x14ac:dyDescent="0.25">
      <c r="B62" s="22">
        <f>'Emissões Evitadas'!B82</f>
        <v>0</v>
      </c>
      <c r="C62" s="60" t="str">
        <f>'Emissões Evitadas'!J82</f>
        <v/>
      </c>
      <c r="D62" s="5" t="e">
        <f t="shared" si="0"/>
        <v>#REF!</v>
      </c>
      <c r="E62" s="5" t="e">
        <f t="shared" si="1"/>
        <v>#REF!</v>
      </c>
      <c r="F62" s="5" t="e">
        <f t="shared" si="2"/>
        <v>#REF!</v>
      </c>
    </row>
    <row r="63" spans="2:6" x14ac:dyDescent="0.25">
      <c r="B63" s="22">
        <f>'Emissões Evitadas'!B83</f>
        <v>0</v>
      </c>
      <c r="C63" s="60" t="str">
        <f>'Emissões Evitadas'!J83</f>
        <v/>
      </c>
      <c r="D63" s="5" t="e">
        <f t="shared" si="0"/>
        <v>#REF!</v>
      </c>
      <c r="E63" s="5" t="e">
        <f t="shared" si="1"/>
        <v>#REF!</v>
      </c>
      <c r="F63" s="5" t="e">
        <f t="shared" si="2"/>
        <v>#REF!</v>
      </c>
    </row>
    <row r="64" spans="2:6" x14ac:dyDescent="0.25">
      <c r="B64" s="22">
        <f>'Emissões Evitadas'!B84</f>
        <v>0</v>
      </c>
      <c r="C64" s="60" t="str">
        <f>'Emissões Evitadas'!J84</f>
        <v/>
      </c>
      <c r="D64" s="5" t="e">
        <f t="shared" si="0"/>
        <v>#REF!</v>
      </c>
      <c r="E64" s="5" t="e">
        <f t="shared" si="1"/>
        <v>#REF!</v>
      </c>
      <c r="F64" s="5" t="e">
        <f t="shared" si="2"/>
        <v>#REF!</v>
      </c>
    </row>
    <row r="65" spans="2:6" x14ac:dyDescent="0.25">
      <c r="B65" s="22">
        <f>'Emissões Evitadas'!B85</f>
        <v>0</v>
      </c>
      <c r="C65" s="60" t="str">
        <f>'Emissões Evitadas'!J85</f>
        <v/>
      </c>
      <c r="D65" s="5" t="e">
        <f t="shared" si="0"/>
        <v>#REF!</v>
      </c>
      <c r="E65" s="5" t="e">
        <f t="shared" si="1"/>
        <v>#REF!</v>
      </c>
      <c r="F65" s="5" t="e">
        <f t="shared" si="2"/>
        <v>#REF!</v>
      </c>
    </row>
    <row r="66" spans="2:6" x14ac:dyDescent="0.25">
      <c r="B66" s="22">
        <f>'Emissões Evitadas'!B86</f>
        <v>0</v>
      </c>
      <c r="C66" s="60" t="str">
        <f>'Emissões Evitadas'!J86</f>
        <v/>
      </c>
      <c r="D66" s="5" t="e">
        <f t="shared" si="0"/>
        <v>#REF!</v>
      </c>
      <c r="E66" s="5" t="e">
        <f t="shared" si="1"/>
        <v>#REF!</v>
      </c>
      <c r="F66" s="5" t="e">
        <f t="shared" si="2"/>
        <v>#REF!</v>
      </c>
    </row>
    <row r="67" spans="2:6" x14ac:dyDescent="0.25">
      <c r="B67" s="22">
        <f>'Emissões Evitadas'!B87</f>
        <v>0</v>
      </c>
      <c r="C67" s="60" t="str">
        <f>'Emissões Evitadas'!J87</f>
        <v/>
      </c>
      <c r="D67" s="5" t="e">
        <f t="shared" si="0"/>
        <v>#REF!</v>
      </c>
      <c r="E67" s="5" t="e">
        <f t="shared" si="1"/>
        <v>#REF!</v>
      </c>
      <c r="F67" s="5" t="e">
        <f t="shared" si="2"/>
        <v>#REF!</v>
      </c>
    </row>
    <row r="68" spans="2:6" x14ac:dyDescent="0.25">
      <c r="B68" s="22">
        <f>'Emissões Evitadas'!B88</f>
        <v>0</v>
      </c>
      <c r="C68" s="60" t="str">
        <f>'Emissões Evitadas'!J88</f>
        <v/>
      </c>
      <c r="D68" s="5" t="e">
        <f t="shared" si="0"/>
        <v>#REF!</v>
      </c>
      <c r="E68" s="5" t="e">
        <f t="shared" si="1"/>
        <v>#REF!</v>
      </c>
      <c r="F68" s="5" t="e">
        <f t="shared" si="2"/>
        <v>#REF!</v>
      </c>
    </row>
    <row r="69" spans="2:6" x14ac:dyDescent="0.25">
      <c r="B69" s="22">
        <f>'Emissões Evitadas'!B89</f>
        <v>0</v>
      </c>
      <c r="C69" s="60" t="str">
        <f>'Emissões Evitadas'!J89</f>
        <v/>
      </c>
      <c r="D69" s="5" t="e">
        <f t="shared" si="0"/>
        <v>#REF!</v>
      </c>
      <c r="E69" s="5" t="e">
        <f t="shared" si="1"/>
        <v>#REF!</v>
      </c>
      <c r="F69" s="5" t="e">
        <f t="shared" si="2"/>
        <v>#REF!</v>
      </c>
    </row>
    <row r="70" spans="2:6" x14ac:dyDescent="0.25">
      <c r="B70" s="22">
        <f>'Emissões Evitadas'!B90</f>
        <v>0</v>
      </c>
      <c r="C70" s="60" t="str">
        <f>'Emissões Evitadas'!J90</f>
        <v/>
      </c>
      <c r="D70" s="5" t="e">
        <f t="shared" si="0"/>
        <v>#REF!</v>
      </c>
      <c r="E70" s="5" t="e">
        <f t="shared" si="1"/>
        <v>#REF!</v>
      </c>
      <c r="F70" s="5" t="e">
        <f t="shared" si="2"/>
        <v>#REF!</v>
      </c>
    </row>
    <row r="71" spans="2:6" x14ac:dyDescent="0.25">
      <c r="B71" s="22">
        <f>'Emissões Evitadas'!B91</f>
        <v>0</v>
      </c>
      <c r="C71" s="60" t="str">
        <f>'Emissões Evitadas'!J91</f>
        <v/>
      </c>
      <c r="D71" s="5" t="e">
        <f t="shared" si="0"/>
        <v>#REF!</v>
      </c>
      <c r="E71" s="5" t="e">
        <f t="shared" si="1"/>
        <v>#REF!</v>
      </c>
      <c r="F71" s="5" t="e">
        <f t="shared" si="2"/>
        <v>#REF!</v>
      </c>
    </row>
    <row r="72" spans="2:6" x14ac:dyDescent="0.25">
      <c r="B72" s="22">
        <f>'Emissões Evitadas'!B92</f>
        <v>0</v>
      </c>
      <c r="C72" s="60" t="str">
        <f>'Emissões Evitadas'!J92</f>
        <v/>
      </c>
      <c r="D72" s="5" t="e">
        <f t="shared" si="0"/>
        <v>#REF!</v>
      </c>
      <c r="E72" s="5" t="e">
        <f t="shared" si="1"/>
        <v>#REF!</v>
      </c>
      <c r="F72" s="5" t="e">
        <f t="shared" si="2"/>
        <v>#REF!</v>
      </c>
    </row>
    <row r="73" spans="2:6" x14ac:dyDescent="0.25">
      <c r="B73" s="22">
        <f>'Emissões Evitadas'!B93</f>
        <v>0</v>
      </c>
      <c r="C73" s="60" t="str">
        <f>'Emissões Evitadas'!J93</f>
        <v/>
      </c>
      <c r="D73" s="5" t="e">
        <f t="shared" si="0"/>
        <v>#REF!</v>
      </c>
      <c r="E73" s="5" t="e">
        <f t="shared" si="1"/>
        <v>#REF!</v>
      </c>
      <c r="F73" s="5" t="e">
        <f t="shared" si="2"/>
        <v>#REF!</v>
      </c>
    </row>
    <row r="74" spans="2:6" x14ac:dyDescent="0.25">
      <c r="B74" s="22">
        <f>'Emissões Evitadas'!B94</f>
        <v>0</v>
      </c>
      <c r="C74" s="60" t="str">
        <f>'Emissões Evitadas'!J94</f>
        <v/>
      </c>
      <c r="D74" s="5" t="e">
        <f t="shared" si="0"/>
        <v>#REF!</v>
      </c>
      <c r="E74" s="5" t="e">
        <f t="shared" si="1"/>
        <v>#REF!</v>
      </c>
      <c r="F74" s="5" t="e">
        <f t="shared" si="2"/>
        <v>#REF!</v>
      </c>
    </row>
    <row r="75" spans="2:6" x14ac:dyDescent="0.25">
      <c r="B75" s="22">
        <f>'Emissões Evitadas'!B95</f>
        <v>0</v>
      </c>
      <c r="C75" s="60" t="str">
        <f>'Emissões Evitadas'!J95</f>
        <v/>
      </c>
      <c r="D75" s="5" t="e">
        <f t="shared" ref="D75:D109" si="3">IF($B75=$D$9,$C75,0)</f>
        <v>#REF!</v>
      </c>
      <c r="E75" s="5" t="e">
        <f t="shared" ref="E75:E109" si="4">IF($B75=$E$9,$C75,0)</f>
        <v>#REF!</v>
      </c>
      <c r="F75" s="5" t="e">
        <f t="shared" ref="F75:F109" si="5">IF($B75=$F$9,$C75,0)</f>
        <v>#REF!</v>
      </c>
    </row>
    <row r="76" spans="2:6" x14ac:dyDescent="0.25">
      <c r="B76" s="22">
        <f>'Emissões Evitadas'!B96</f>
        <v>0</v>
      </c>
      <c r="C76" s="60" t="str">
        <f>'Emissões Evitadas'!J96</f>
        <v/>
      </c>
      <c r="D76" s="5" t="e">
        <f t="shared" si="3"/>
        <v>#REF!</v>
      </c>
      <c r="E76" s="5" t="e">
        <f t="shared" si="4"/>
        <v>#REF!</v>
      </c>
      <c r="F76" s="5" t="e">
        <f t="shared" si="5"/>
        <v>#REF!</v>
      </c>
    </row>
    <row r="77" spans="2:6" x14ac:dyDescent="0.25">
      <c r="B77" s="22">
        <f>'Emissões Evitadas'!B97</f>
        <v>0</v>
      </c>
      <c r="C77" s="60" t="str">
        <f>'Emissões Evitadas'!J97</f>
        <v/>
      </c>
      <c r="D77" s="5" t="e">
        <f t="shared" si="3"/>
        <v>#REF!</v>
      </c>
      <c r="E77" s="5" t="e">
        <f t="shared" si="4"/>
        <v>#REF!</v>
      </c>
      <c r="F77" s="5" t="e">
        <f t="shared" si="5"/>
        <v>#REF!</v>
      </c>
    </row>
    <row r="78" spans="2:6" x14ac:dyDescent="0.25">
      <c r="B78" s="22">
        <f>'Emissões Evitadas'!B98</f>
        <v>0</v>
      </c>
      <c r="C78" s="60" t="str">
        <f>'Emissões Evitadas'!J98</f>
        <v/>
      </c>
      <c r="D78" s="5" t="e">
        <f t="shared" si="3"/>
        <v>#REF!</v>
      </c>
      <c r="E78" s="5" t="e">
        <f t="shared" si="4"/>
        <v>#REF!</v>
      </c>
      <c r="F78" s="5" t="e">
        <f t="shared" si="5"/>
        <v>#REF!</v>
      </c>
    </row>
    <row r="79" spans="2:6" x14ac:dyDescent="0.25">
      <c r="B79" s="22">
        <f>'Emissões Evitadas'!B99</f>
        <v>0</v>
      </c>
      <c r="C79" s="60" t="str">
        <f>'Emissões Evitadas'!J99</f>
        <v/>
      </c>
      <c r="D79" s="5" t="e">
        <f t="shared" si="3"/>
        <v>#REF!</v>
      </c>
      <c r="E79" s="5" t="e">
        <f t="shared" si="4"/>
        <v>#REF!</v>
      </c>
      <c r="F79" s="5" t="e">
        <f t="shared" si="5"/>
        <v>#REF!</v>
      </c>
    </row>
    <row r="80" spans="2:6" x14ac:dyDescent="0.25">
      <c r="B80" s="22">
        <f>'Emissões Evitadas'!B100</f>
        <v>0</v>
      </c>
      <c r="C80" s="60" t="str">
        <f>'Emissões Evitadas'!J100</f>
        <v/>
      </c>
      <c r="D80" s="5" t="e">
        <f t="shared" si="3"/>
        <v>#REF!</v>
      </c>
      <c r="E80" s="5" t="e">
        <f t="shared" si="4"/>
        <v>#REF!</v>
      </c>
      <c r="F80" s="5" t="e">
        <f t="shared" si="5"/>
        <v>#REF!</v>
      </c>
    </row>
    <row r="81" spans="2:6" x14ac:dyDescent="0.25">
      <c r="B81" s="22">
        <f>'Emissões Evitadas'!B101</f>
        <v>0</v>
      </c>
      <c r="C81" s="60" t="str">
        <f>'Emissões Evitadas'!J101</f>
        <v/>
      </c>
      <c r="D81" s="5" t="e">
        <f t="shared" si="3"/>
        <v>#REF!</v>
      </c>
      <c r="E81" s="5" t="e">
        <f t="shared" si="4"/>
        <v>#REF!</v>
      </c>
      <c r="F81" s="5" t="e">
        <f t="shared" si="5"/>
        <v>#REF!</v>
      </c>
    </row>
    <row r="82" spans="2:6" x14ac:dyDescent="0.25">
      <c r="B82" s="22">
        <f>'Emissões Evitadas'!B102</f>
        <v>0</v>
      </c>
      <c r="C82" s="60" t="str">
        <f>'Emissões Evitadas'!J102</f>
        <v/>
      </c>
      <c r="D82" s="5" t="e">
        <f t="shared" si="3"/>
        <v>#REF!</v>
      </c>
      <c r="E82" s="5" t="e">
        <f t="shared" si="4"/>
        <v>#REF!</v>
      </c>
      <c r="F82" s="5" t="e">
        <f t="shared" si="5"/>
        <v>#REF!</v>
      </c>
    </row>
    <row r="83" spans="2:6" x14ac:dyDescent="0.25">
      <c r="B83" s="22">
        <f>'Emissões Evitadas'!B103</f>
        <v>0</v>
      </c>
      <c r="C83" s="60" t="str">
        <f>'Emissões Evitadas'!J103</f>
        <v/>
      </c>
      <c r="D83" s="5" t="e">
        <f t="shared" si="3"/>
        <v>#REF!</v>
      </c>
      <c r="E83" s="5" t="e">
        <f t="shared" si="4"/>
        <v>#REF!</v>
      </c>
      <c r="F83" s="5" t="e">
        <f t="shared" si="5"/>
        <v>#REF!</v>
      </c>
    </row>
    <row r="84" spans="2:6" x14ac:dyDescent="0.25">
      <c r="B84" s="22">
        <f>'Emissões Evitadas'!B104</f>
        <v>0</v>
      </c>
      <c r="C84" s="60" t="str">
        <f>'Emissões Evitadas'!J104</f>
        <v/>
      </c>
      <c r="D84" s="5" t="e">
        <f t="shared" si="3"/>
        <v>#REF!</v>
      </c>
      <c r="E84" s="5" t="e">
        <f t="shared" si="4"/>
        <v>#REF!</v>
      </c>
      <c r="F84" s="5" t="e">
        <f t="shared" si="5"/>
        <v>#REF!</v>
      </c>
    </row>
    <row r="85" spans="2:6" x14ac:dyDescent="0.25">
      <c r="B85" s="22">
        <f>'Emissões Evitadas'!B105</f>
        <v>0</v>
      </c>
      <c r="C85" s="60" t="str">
        <f>'Emissões Evitadas'!J105</f>
        <v/>
      </c>
      <c r="D85" s="5" t="e">
        <f t="shared" si="3"/>
        <v>#REF!</v>
      </c>
      <c r="E85" s="5" t="e">
        <f t="shared" si="4"/>
        <v>#REF!</v>
      </c>
      <c r="F85" s="5" t="e">
        <f t="shared" si="5"/>
        <v>#REF!</v>
      </c>
    </row>
    <row r="86" spans="2:6" x14ac:dyDescent="0.25">
      <c r="B86" s="22">
        <f>'Emissões Evitadas'!B106</f>
        <v>0</v>
      </c>
      <c r="C86" s="60" t="str">
        <f>'Emissões Evitadas'!J106</f>
        <v/>
      </c>
      <c r="D86" s="5" t="e">
        <f t="shared" si="3"/>
        <v>#REF!</v>
      </c>
      <c r="E86" s="5" t="e">
        <f t="shared" si="4"/>
        <v>#REF!</v>
      </c>
      <c r="F86" s="5" t="e">
        <f t="shared" si="5"/>
        <v>#REF!</v>
      </c>
    </row>
    <row r="87" spans="2:6" x14ac:dyDescent="0.25">
      <c r="B87" s="22">
        <f>'Emissões Evitadas'!B107</f>
        <v>0</v>
      </c>
      <c r="C87" s="60" t="str">
        <f>'Emissões Evitadas'!J107</f>
        <v/>
      </c>
      <c r="D87" s="5" t="e">
        <f t="shared" si="3"/>
        <v>#REF!</v>
      </c>
      <c r="E87" s="5" t="e">
        <f t="shared" si="4"/>
        <v>#REF!</v>
      </c>
      <c r="F87" s="5" t="e">
        <f t="shared" si="5"/>
        <v>#REF!</v>
      </c>
    </row>
    <row r="88" spans="2:6" x14ac:dyDescent="0.25">
      <c r="B88" s="22">
        <f>'Emissões Evitadas'!B108</f>
        <v>0</v>
      </c>
      <c r="C88" s="60" t="str">
        <f>'Emissões Evitadas'!J108</f>
        <v/>
      </c>
      <c r="D88" s="5" t="e">
        <f t="shared" si="3"/>
        <v>#REF!</v>
      </c>
      <c r="E88" s="5" t="e">
        <f t="shared" si="4"/>
        <v>#REF!</v>
      </c>
      <c r="F88" s="5" t="e">
        <f t="shared" si="5"/>
        <v>#REF!</v>
      </c>
    </row>
    <row r="89" spans="2:6" x14ac:dyDescent="0.25">
      <c r="B89" s="22">
        <f>'Emissões Evitadas'!B109</f>
        <v>0</v>
      </c>
      <c r="C89" s="60" t="str">
        <f>'Emissões Evitadas'!J109</f>
        <v/>
      </c>
      <c r="D89" s="5" t="e">
        <f t="shared" si="3"/>
        <v>#REF!</v>
      </c>
      <c r="E89" s="5" t="e">
        <f t="shared" si="4"/>
        <v>#REF!</v>
      </c>
      <c r="F89" s="5" t="e">
        <f t="shared" si="5"/>
        <v>#REF!</v>
      </c>
    </row>
    <row r="90" spans="2:6" x14ac:dyDescent="0.25">
      <c r="B90" s="22">
        <f>'Emissões Evitadas'!B110</f>
        <v>0</v>
      </c>
      <c r="C90" s="60" t="str">
        <f>'Emissões Evitadas'!J110</f>
        <v/>
      </c>
      <c r="D90" s="5" t="e">
        <f t="shared" si="3"/>
        <v>#REF!</v>
      </c>
      <c r="E90" s="5" t="e">
        <f t="shared" si="4"/>
        <v>#REF!</v>
      </c>
      <c r="F90" s="5" t="e">
        <f t="shared" si="5"/>
        <v>#REF!</v>
      </c>
    </row>
    <row r="91" spans="2:6" x14ac:dyDescent="0.25">
      <c r="B91" s="22">
        <f>'Emissões Evitadas'!B111</f>
        <v>0</v>
      </c>
      <c r="C91" s="60" t="str">
        <f>'Emissões Evitadas'!J111</f>
        <v/>
      </c>
      <c r="D91" s="5" t="e">
        <f t="shared" si="3"/>
        <v>#REF!</v>
      </c>
      <c r="E91" s="5" t="e">
        <f t="shared" si="4"/>
        <v>#REF!</v>
      </c>
      <c r="F91" s="5" t="e">
        <f t="shared" si="5"/>
        <v>#REF!</v>
      </c>
    </row>
    <row r="92" spans="2:6" x14ac:dyDescent="0.25">
      <c r="B92" s="22">
        <f>'Emissões Evitadas'!B112</f>
        <v>0</v>
      </c>
      <c r="C92" s="60" t="str">
        <f>'Emissões Evitadas'!J112</f>
        <v/>
      </c>
      <c r="D92" s="5" t="e">
        <f t="shared" si="3"/>
        <v>#REF!</v>
      </c>
      <c r="E92" s="5" t="e">
        <f t="shared" si="4"/>
        <v>#REF!</v>
      </c>
      <c r="F92" s="5" t="e">
        <f t="shared" si="5"/>
        <v>#REF!</v>
      </c>
    </row>
    <row r="93" spans="2:6" x14ac:dyDescent="0.25">
      <c r="B93" s="22">
        <f>'Emissões Evitadas'!B113</f>
        <v>0</v>
      </c>
      <c r="C93" s="60" t="str">
        <f>'Emissões Evitadas'!J113</f>
        <v/>
      </c>
      <c r="D93" s="5" t="e">
        <f t="shared" si="3"/>
        <v>#REF!</v>
      </c>
      <c r="E93" s="5" t="e">
        <f t="shared" si="4"/>
        <v>#REF!</v>
      </c>
      <c r="F93" s="5" t="e">
        <f t="shared" si="5"/>
        <v>#REF!</v>
      </c>
    </row>
    <row r="94" spans="2:6" x14ac:dyDescent="0.25">
      <c r="B94" s="22">
        <f>'Emissões Evitadas'!B114</f>
        <v>0</v>
      </c>
      <c r="C94" s="60" t="str">
        <f>'Emissões Evitadas'!J114</f>
        <v/>
      </c>
      <c r="D94" s="5" t="e">
        <f t="shared" si="3"/>
        <v>#REF!</v>
      </c>
      <c r="E94" s="5" t="e">
        <f t="shared" si="4"/>
        <v>#REF!</v>
      </c>
      <c r="F94" s="5" t="e">
        <f t="shared" si="5"/>
        <v>#REF!</v>
      </c>
    </row>
    <row r="95" spans="2:6" x14ac:dyDescent="0.25">
      <c r="B95" s="22">
        <f>'Emissões Evitadas'!B115</f>
        <v>0</v>
      </c>
      <c r="C95" s="60" t="str">
        <f>'Emissões Evitadas'!J115</f>
        <v/>
      </c>
      <c r="D95" s="5" t="e">
        <f t="shared" si="3"/>
        <v>#REF!</v>
      </c>
      <c r="E95" s="5" t="e">
        <f t="shared" si="4"/>
        <v>#REF!</v>
      </c>
      <c r="F95" s="5" t="e">
        <f t="shared" si="5"/>
        <v>#REF!</v>
      </c>
    </row>
    <row r="96" spans="2:6" x14ac:dyDescent="0.25">
      <c r="B96" s="22">
        <f>'Emissões Evitadas'!B116</f>
        <v>0</v>
      </c>
      <c r="C96" s="60" t="str">
        <f>'Emissões Evitadas'!J116</f>
        <v/>
      </c>
      <c r="D96" s="5" t="e">
        <f t="shared" si="3"/>
        <v>#REF!</v>
      </c>
      <c r="E96" s="5" t="e">
        <f t="shared" si="4"/>
        <v>#REF!</v>
      </c>
      <c r="F96" s="5" t="e">
        <f t="shared" si="5"/>
        <v>#REF!</v>
      </c>
    </row>
    <row r="97" spans="2:6" x14ac:dyDescent="0.25">
      <c r="B97" s="22">
        <f>'Emissões Evitadas'!B117</f>
        <v>0</v>
      </c>
      <c r="C97" s="60" t="str">
        <f>'Emissões Evitadas'!J117</f>
        <v/>
      </c>
      <c r="D97" s="5" t="e">
        <f t="shared" si="3"/>
        <v>#REF!</v>
      </c>
      <c r="E97" s="5" t="e">
        <f t="shared" si="4"/>
        <v>#REF!</v>
      </c>
      <c r="F97" s="5" t="e">
        <f t="shared" si="5"/>
        <v>#REF!</v>
      </c>
    </row>
    <row r="98" spans="2:6" x14ac:dyDescent="0.25">
      <c r="B98" s="22">
        <f>'Emissões Evitadas'!B118</f>
        <v>0</v>
      </c>
      <c r="C98" s="60" t="str">
        <f>'Emissões Evitadas'!J118</f>
        <v/>
      </c>
      <c r="D98" s="5" t="e">
        <f t="shared" si="3"/>
        <v>#REF!</v>
      </c>
      <c r="E98" s="5" t="e">
        <f t="shared" si="4"/>
        <v>#REF!</v>
      </c>
      <c r="F98" s="5" t="e">
        <f t="shared" si="5"/>
        <v>#REF!</v>
      </c>
    </row>
    <row r="99" spans="2:6" x14ac:dyDescent="0.25">
      <c r="B99" s="22">
        <f>'Emissões Evitadas'!B119</f>
        <v>0</v>
      </c>
      <c r="C99" s="60" t="str">
        <f>'Emissões Evitadas'!J119</f>
        <v/>
      </c>
      <c r="D99" s="5" t="e">
        <f t="shared" si="3"/>
        <v>#REF!</v>
      </c>
      <c r="E99" s="5" t="e">
        <f t="shared" si="4"/>
        <v>#REF!</v>
      </c>
      <c r="F99" s="5" t="e">
        <f t="shared" si="5"/>
        <v>#REF!</v>
      </c>
    </row>
    <row r="100" spans="2:6" x14ac:dyDescent="0.25">
      <c r="B100" s="22">
        <f>'Emissões Evitadas'!B120</f>
        <v>0</v>
      </c>
      <c r="C100" s="60" t="str">
        <f>'Emissões Evitadas'!J120</f>
        <v/>
      </c>
      <c r="D100" s="5" t="e">
        <f t="shared" si="3"/>
        <v>#REF!</v>
      </c>
      <c r="E100" s="5" t="e">
        <f t="shared" si="4"/>
        <v>#REF!</v>
      </c>
      <c r="F100" s="5" t="e">
        <f t="shared" si="5"/>
        <v>#REF!</v>
      </c>
    </row>
    <row r="101" spans="2:6" x14ac:dyDescent="0.25">
      <c r="B101" s="22">
        <f>'Emissões Evitadas'!B121</f>
        <v>0</v>
      </c>
      <c r="C101" s="60" t="str">
        <f>'Emissões Evitadas'!J121</f>
        <v/>
      </c>
      <c r="D101" s="5" t="e">
        <f t="shared" si="3"/>
        <v>#REF!</v>
      </c>
      <c r="E101" s="5" t="e">
        <f t="shared" si="4"/>
        <v>#REF!</v>
      </c>
      <c r="F101" s="5" t="e">
        <f t="shared" si="5"/>
        <v>#REF!</v>
      </c>
    </row>
    <row r="102" spans="2:6" x14ac:dyDescent="0.25">
      <c r="B102" s="22">
        <f>'Emissões Evitadas'!B122</f>
        <v>0</v>
      </c>
      <c r="C102" s="60" t="str">
        <f>'Emissões Evitadas'!J122</f>
        <v/>
      </c>
      <c r="D102" s="5" t="e">
        <f t="shared" si="3"/>
        <v>#REF!</v>
      </c>
      <c r="E102" s="5" t="e">
        <f t="shared" si="4"/>
        <v>#REF!</v>
      </c>
      <c r="F102" s="5" t="e">
        <f t="shared" si="5"/>
        <v>#REF!</v>
      </c>
    </row>
    <row r="103" spans="2:6" x14ac:dyDescent="0.25">
      <c r="B103" s="22">
        <f>'Emissões Evitadas'!B123</f>
        <v>0</v>
      </c>
      <c r="C103" s="60" t="str">
        <f>'Emissões Evitadas'!J123</f>
        <v/>
      </c>
      <c r="D103" s="5" t="e">
        <f t="shared" si="3"/>
        <v>#REF!</v>
      </c>
      <c r="E103" s="5" t="e">
        <f t="shared" si="4"/>
        <v>#REF!</v>
      </c>
      <c r="F103" s="5" t="e">
        <f t="shared" si="5"/>
        <v>#REF!</v>
      </c>
    </row>
    <row r="104" spans="2:6" x14ac:dyDescent="0.25">
      <c r="B104" s="22">
        <f>'Emissões Evitadas'!B124</f>
        <v>0</v>
      </c>
      <c r="C104" s="60" t="str">
        <f>'Emissões Evitadas'!J124</f>
        <v/>
      </c>
      <c r="D104" s="5" t="e">
        <f t="shared" si="3"/>
        <v>#REF!</v>
      </c>
      <c r="E104" s="5" t="e">
        <f t="shared" si="4"/>
        <v>#REF!</v>
      </c>
      <c r="F104" s="5" t="e">
        <f t="shared" si="5"/>
        <v>#REF!</v>
      </c>
    </row>
    <row r="105" spans="2:6" x14ac:dyDescent="0.25">
      <c r="B105" s="22">
        <f>'Emissões Evitadas'!B125</f>
        <v>0</v>
      </c>
      <c r="C105" s="60" t="str">
        <f>'Emissões Evitadas'!J125</f>
        <v/>
      </c>
      <c r="D105" s="5" t="e">
        <f t="shared" si="3"/>
        <v>#REF!</v>
      </c>
      <c r="E105" s="5" t="e">
        <f t="shared" si="4"/>
        <v>#REF!</v>
      </c>
      <c r="F105" s="5" t="e">
        <f t="shared" si="5"/>
        <v>#REF!</v>
      </c>
    </row>
    <row r="106" spans="2:6" x14ac:dyDescent="0.25">
      <c r="B106" s="22">
        <f>'Emissões Evitadas'!B126</f>
        <v>0</v>
      </c>
      <c r="C106" s="60" t="str">
        <f>'Emissões Evitadas'!J126</f>
        <v/>
      </c>
      <c r="D106" s="5" t="e">
        <f t="shared" si="3"/>
        <v>#REF!</v>
      </c>
      <c r="E106" s="5" t="e">
        <f t="shared" si="4"/>
        <v>#REF!</v>
      </c>
      <c r="F106" s="5" t="e">
        <f t="shared" si="5"/>
        <v>#REF!</v>
      </c>
    </row>
    <row r="107" spans="2:6" x14ac:dyDescent="0.25">
      <c r="B107" s="22">
        <f>'Emissões Evitadas'!B127</f>
        <v>0</v>
      </c>
      <c r="C107" s="60" t="str">
        <f>'Emissões Evitadas'!J127</f>
        <v/>
      </c>
      <c r="D107" s="5" t="e">
        <f t="shared" si="3"/>
        <v>#REF!</v>
      </c>
      <c r="E107" s="5" t="e">
        <f t="shared" si="4"/>
        <v>#REF!</v>
      </c>
      <c r="F107" s="5" t="e">
        <f t="shared" si="5"/>
        <v>#REF!</v>
      </c>
    </row>
    <row r="108" spans="2:6" x14ac:dyDescent="0.25">
      <c r="B108" s="22">
        <f>'Emissões Evitadas'!B128</f>
        <v>0</v>
      </c>
      <c r="C108" s="60" t="str">
        <f>'Emissões Evitadas'!J128</f>
        <v/>
      </c>
      <c r="D108" s="5" t="e">
        <f t="shared" si="3"/>
        <v>#REF!</v>
      </c>
      <c r="E108" s="5" t="e">
        <f t="shared" si="4"/>
        <v>#REF!</v>
      </c>
      <c r="F108" s="5" t="e">
        <f t="shared" si="5"/>
        <v>#REF!</v>
      </c>
    </row>
    <row r="109" spans="2:6" x14ac:dyDescent="0.25">
      <c r="B109" s="22">
        <f>'Emissões Evitadas'!B129</f>
        <v>0</v>
      </c>
      <c r="C109" s="60" t="str">
        <f>'Emissões Evitadas'!J129</f>
        <v/>
      </c>
      <c r="D109" s="5" t="e">
        <f t="shared" si="3"/>
        <v>#REF!</v>
      </c>
      <c r="E109" s="5" t="e">
        <f t="shared" si="4"/>
        <v>#REF!</v>
      </c>
      <c r="F109" s="5" t="e">
        <f t="shared" si="5"/>
        <v>#REF!</v>
      </c>
    </row>
    <row r="110" spans="2:6" x14ac:dyDescent="0.25">
      <c r="D110" s="5" t="e">
        <f>SUM(D10:D109)</f>
        <v>#REF!</v>
      </c>
      <c r="E110" s="5" t="e">
        <f>SUM(E10:E109)</f>
        <v>#REF!</v>
      </c>
      <c r="F110" s="5" t="e">
        <f>SUM(F10:F109)</f>
        <v>#REF!</v>
      </c>
    </row>
    <row r="111" spans="2:6" ht="19.5" x14ac:dyDescent="0.25">
      <c r="D111" s="13" t="s">
        <v>22</v>
      </c>
      <c r="E111" s="14" t="s">
        <v>33</v>
      </c>
      <c r="F111" s="15" t="s">
        <v>246</v>
      </c>
    </row>
  </sheetData>
  <mergeCells count="1">
    <mergeCell ref="D8:F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9CCE-765F-497B-AFBE-8826EC4B28C5}">
  <sheetPr>
    <tabColor theme="2" tint="-9.9978637043366805E-2"/>
  </sheetPr>
  <dimension ref="A1:AE226"/>
  <sheetViews>
    <sheetView showGridLines="0" topLeftCell="A18" zoomScale="70" zoomScaleNormal="70" workbookViewId="0">
      <selection activeCell="D30" sqref="D30"/>
    </sheetView>
  </sheetViews>
  <sheetFormatPr defaultColWidth="0" defaultRowHeight="15.75" zeroHeight="1" outlineLevelRow="1" x14ac:dyDescent="0.25"/>
  <cols>
    <col min="1" max="1" width="9.625" style="166" customWidth="1"/>
    <col min="2" max="2" width="14.625" style="166" customWidth="1"/>
    <col min="3" max="3" width="22" style="166" customWidth="1"/>
    <col min="4" max="4" width="25.625" style="166" customWidth="1"/>
    <col min="5" max="5" width="17.625" style="166" customWidth="1"/>
    <col min="6" max="6" width="29.625" style="166" customWidth="1"/>
    <col min="7" max="7" width="17.375" style="166" customWidth="1"/>
    <col min="8" max="8" width="13.25" style="166" customWidth="1"/>
    <col min="9" max="9" width="18.5" style="166" customWidth="1"/>
    <col min="10" max="10" width="60.75" style="166" customWidth="1"/>
    <col min="11" max="11" width="33.875" style="166" customWidth="1"/>
    <col min="12" max="12" width="15.625" style="166" customWidth="1"/>
    <col min="13" max="13" width="12.25" style="166" customWidth="1"/>
    <col min="14" max="14" width="13.25" style="166" customWidth="1"/>
    <col min="15" max="15" width="30.625" style="166" customWidth="1"/>
    <col min="16" max="16" width="38.25" style="166" customWidth="1"/>
    <col min="17" max="17" width="22.625" style="166" customWidth="1"/>
    <col min="18" max="27" width="8.625" style="166" customWidth="1"/>
    <col min="28" max="31" width="0" style="166" hidden="1" customWidth="1"/>
    <col min="32" max="16384" width="7.625" style="166" hidden="1"/>
  </cols>
  <sheetData>
    <row r="1" spans="2:17" x14ac:dyDescent="0.25"/>
    <row r="2" spans="2:17" x14ac:dyDescent="0.25"/>
    <row r="3" spans="2:17" x14ac:dyDescent="0.25"/>
    <row r="4" spans="2:17" x14ac:dyDescent="0.25"/>
    <row r="5" spans="2:17" x14ac:dyDescent="0.25"/>
    <row r="6" spans="2:17" x14ac:dyDescent="0.25"/>
    <row r="7" spans="2:17" x14ac:dyDescent="0.25"/>
    <row r="8" spans="2:17" ht="18.75" x14ac:dyDescent="0.3">
      <c r="D8" s="1431" t="e">
        <f>IF(Triagem!#REF!="","Não indicou na TRIAGEM se esta folha se adequa ao projeto",IF(Triagem!#REF!="Não","Não necessita de preencher esta folha","Folha a ser preenchida"))</f>
        <v>#REF!</v>
      </c>
      <c r="E8" s="1431"/>
      <c r="F8" s="1431"/>
      <c r="G8" s="1431"/>
      <c r="H8" s="1431"/>
      <c r="I8" s="1431"/>
      <c r="J8" s="1431"/>
      <c r="K8" s="259"/>
    </row>
    <row r="9" spans="2:17" x14ac:dyDescent="0.25"/>
    <row r="10" spans="2:17" x14ac:dyDescent="0.25"/>
    <row r="11" spans="2:17" ht="18.75" x14ac:dyDescent="0.3">
      <c r="B11" s="259" t="s">
        <v>987</v>
      </c>
    </row>
    <row r="12" spans="2:17" x14ac:dyDescent="0.25"/>
    <row r="13" spans="2:17" ht="54" customHeight="1" x14ac:dyDescent="0.25">
      <c r="B13" s="1437" t="s">
        <v>1016</v>
      </c>
      <c r="C13" s="1437"/>
      <c r="D13" s="1437"/>
      <c r="E13" s="1437"/>
      <c r="F13" s="1437"/>
      <c r="G13" s="1437"/>
      <c r="H13" s="1437"/>
      <c r="I13" s="1437"/>
      <c r="J13" s="1437"/>
      <c r="K13" s="1437"/>
      <c r="L13" s="239"/>
      <c r="M13" s="234"/>
      <c r="N13" s="234"/>
      <c r="O13" s="234"/>
      <c r="P13" s="234"/>
      <c r="Q13" s="234"/>
    </row>
    <row r="14" spans="2:17" ht="19.899999999999999" customHeight="1" x14ac:dyDescent="0.25">
      <c r="B14" s="234"/>
      <c r="C14" s="234"/>
      <c r="D14" s="234"/>
      <c r="E14" s="234"/>
      <c r="F14" s="234"/>
      <c r="G14" s="234"/>
      <c r="H14" s="234"/>
      <c r="I14" s="234"/>
      <c r="J14" s="234"/>
      <c r="K14" s="234"/>
      <c r="L14" s="234"/>
      <c r="M14" s="234"/>
      <c r="N14" s="234"/>
      <c r="O14" s="234"/>
      <c r="P14" s="234"/>
      <c r="Q14" s="234"/>
    </row>
    <row r="15" spans="2:17" x14ac:dyDescent="0.25">
      <c r="B15" s="164" t="s">
        <v>0</v>
      </c>
      <c r="C15" s="169"/>
      <c r="D15" s="169"/>
      <c r="E15" s="169"/>
      <c r="F15" s="169"/>
      <c r="G15" s="169"/>
      <c r="H15" s="169"/>
      <c r="I15" s="169"/>
      <c r="J15" s="169"/>
      <c r="K15" s="169"/>
    </row>
    <row r="16" spans="2:17" x14ac:dyDescent="0.25">
      <c r="B16" s="246" t="s">
        <v>902</v>
      </c>
      <c r="C16" s="169"/>
      <c r="D16" s="169"/>
      <c r="E16" s="169"/>
      <c r="F16" s="169"/>
      <c r="G16" s="169"/>
      <c r="H16" s="169"/>
      <c r="I16" s="169"/>
      <c r="J16" s="169"/>
      <c r="K16" s="169"/>
    </row>
    <row r="17" spans="1:27" ht="19.899999999999999" customHeight="1" x14ac:dyDescent="0.25">
      <c r="B17" s="169" t="s">
        <v>903</v>
      </c>
      <c r="C17" s="194"/>
      <c r="D17" s="194"/>
      <c r="E17" s="194"/>
      <c r="F17" s="194"/>
      <c r="G17" s="194"/>
      <c r="H17" s="194"/>
      <c r="I17" s="194"/>
      <c r="J17" s="194"/>
      <c r="K17" s="194"/>
      <c r="L17" s="244"/>
      <c r="M17" s="244"/>
      <c r="N17" s="244"/>
      <c r="O17" s="244"/>
      <c r="P17" s="198"/>
      <c r="Q17" s="198"/>
      <c r="R17" s="196"/>
      <c r="S17" s="196"/>
      <c r="T17" s="196"/>
      <c r="U17" s="196"/>
      <c r="V17" s="196"/>
      <c r="W17" s="196"/>
      <c r="X17" s="196"/>
      <c r="Y17" s="196"/>
      <c r="Z17" s="196"/>
      <c r="AA17" s="197"/>
    </row>
    <row r="18" spans="1:27" ht="19.899999999999999" customHeight="1" x14ac:dyDescent="0.25">
      <c r="B18" s="169" t="s">
        <v>982</v>
      </c>
      <c r="C18" s="194"/>
      <c r="D18" s="194"/>
      <c r="E18" s="194"/>
      <c r="F18" s="194"/>
      <c r="G18" s="194"/>
      <c r="H18" s="194"/>
      <c r="I18" s="194"/>
      <c r="J18" s="194"/>
      <c r="K18" s="194"/>
      <c r="L18" s="244"/>
      <c r="M18" s="244"/>
      <c r="N18" s="244"/>
      <c r="O18" s="244"/>
      <c r="P18" s="244"/>
      <c r="Q18" s="198"/>
      <c r="R18" s="196"/>
      <c r="S18" s="196"/>
      <c r="T18" s="196"/>
      <c r="U18" s="196"/>
      <c r="V18" s="196"/>
      <c r="W18" s="196"/>
      <c r="X18" s="196"/>
      <c r="Y18" s="196"/>
      <c r="Z18" s="196"/>
      <c r="AA18" s="197"/>
    </row>
    <row r="19" spans="1:27" x14ac:dyDescent="0.25">
      <c r="B19" s="169" t="s">
        <v>1121</v>
      </c>
      <c r="C19" s="194"/>
      <c r="D19" s="194"/>
      <c r="E19" s="194"/>
      <c r="F19" s="194"/>
      <c r="G19" s="194"/>
      <c r="H19" s="194"/>
      <c r="I19" s="194"/>
      <c r="J19" s="194"/>
      <c r="K19" s="194"/>
      <c r="L19" s="244"/>
      <c r="M19" s="244"/>
      <c r="N19" s="244"/>
      <c r="O19" s="244"/>
      <c r="P19" s="244"/>
      <c r="Q19" s="198"/>
      <c r="R19" s="198"/>
      <c r="S19" s="198"/>
      <c r="T19" s="198"/>
      <c r="U19" s="198"/>
      <c r="V19" s="198"/>
      <c r="W19" s="198"/>
      <c r="X19" s="198"/>
      <c r="Y19" s="198"/>
      <c r="Z19" s="198"/>
      <c r="AA19" s="198"/>
    </row>
    <row r="20" spans="1:27" ht="19.899999999999999" customHeight="1" x14ac:dyDescent="0.25">
      <c r="B20" s="169" t="s">
        <v>985</v>
      </c>
      <c r="C20" s="194"/>
      <c r="D20" s="194"/>
      <c r="E20" s="194"/>
      <c r="F20" s="194"/>
      <c r="G20" s="194"/>
      <c r="H20" s="194"/>
      <c r="I20" s="194"/>
      <c r="J20" s="194"/>
      <c r="K20" s="194"/>
      <c r="L20" s="244"/>
      <c r="M20" s="244"/>
      <c r="N20" s="244"/>
      <c r="O20" s="244"/>
      <c r="P20" s="244"/>
      <c r="Q20" s="198"/>
      <c r="R20" s="198"/>
      <c r="S20" s="198"/>
      <c r="T20" s="198"/>
      <c r="U20" s="198"/>
      <c r="V20" s="198"/>
      <c r="W20" s="198"/>
      <c r="X20" s="198"/>
      <c r="Y20" s="198"/>
      <c r="Z20" s="198"/>
      <c r="AA20" s="198"/>
    </row>
    <row r="21" spans="1:27" ht="21" customHeight="1" x14ac:dyDescent="0.25">
      <c r="B21" s="1436" t="s">
        <v>986</v>
      </c>
      <c r="C21" s="1436"/>
      <c r="D21" s="1436"/>
      <c r="E21" s="1436"/>
      <c r="F21" s="1436"/>
      <c r="G21" s="1436"/>
      <c r="H21" s="1436"/>
      <c r="I21" s="1436"/>
      <c r="J21" s="1436"/>
      <c r="K21" s="1436"/>
      <c r="L21" s="198"/>
      <c r="M21" s="198"/>
      <c r="N21" s="198"/>
      <c r="O21" s="198"/>
      <c r="P21" s="198"/>
      <c r="Q21" s="198"/>
      <c r="R21" s="196"/>
      <c r="S21" s="196"/>
      <c r="T21" s="196"/>
      <c r="U21" s="196"/>
      <c r="V21" s="196"/>
      <c r="W21" s="196"/>
      <c r="X21" s="196"/>
      <c r="Y21" s="196"/>
      <c r="Z21" s="196"/>
      <c r="AA21" s="197"/>
    </row>
    <row r="22" spans="1:27" ht="34.15" customHeight="1" x14ac:dyDescent="0.25">
      <c r="B22" s="1436" t="s">
        <v>1140</v>
      </c>
      <c r="C22" s="1436"/>
      <c r="D22" s="1436"/>
      <c r="E22" s="1436"/>
      <c r="F22" s="1436"/>
      <c r="G22" s="1436"/>
      <c r="H22" s="1436"/>
      <c r="I22" s="1436"/>
      <c r="J22" s="1436"/>
      <c r="K22" s="1436"/>
      <c r="L22" s="198"/>
      <c r="M22" s="198"/>
      <c r="N22" s="198"/>
      <c r="O22" s="198"/>
      <c r="P22" s="198"/>
      <c r="Q22" s="198"/>
      <c r="R22" s="196"/>
      <c r="S22" s="196"/>
      <c r="T22" s="196"/>
      <c r="U22" s="196"/>
      <c r="V22" s="196"/>
      <c r="W22" s="196"/>
      <c r="X22" s="196"/>
      <c r="Y22" s="196"/>
      <c r="Z22" s="196"/>
      <c r="AA22" s="197"/>
    </row>
    <row r="23" spans="1:27" x14ac:dyDescent="0.25"/>
    <row r="24" spans="1:27" x14ac:dyDescent="0.25">
      <c r="I24" s="173"/>
    </row>
    <row r="25" spans="1:27" x14ac:dyDescent="0.25">
      <c r="B25" s="200" t="s">
        <v>1018</v>
      </c>
    </row>
    <row r="26" spans="1:27" ht="38.450000000000003" customHeight="1" x14ac:dyDescent="0.25">
      <c r="B26" s="1184" t="s">
        <v>976</v>
      </c>
      <c r="C26" s="1184" t="s">
        <v>1017</v>
      </c>
      <c r="D26" s="1184" t="s">
        <v>977</v>
      </c>
      <c r="E26" s="1301" t="s">
        <v>983</v>
      </c>
      <c r="F26" s="1301"/>
      <c r="G26" s="1301"/>
      <c r="H26" s="1218" t="s">
        <v>984</v>
      </c>
      <c r="I26" s="1218"/>
      <c r="J26" s="1218"/>
      <c r="K26" s="1184" t="s">
        <v>979</v>
      </c>
    </row>
    <row r="27" spans="1:27" ht="105" customHeight="1" x14ac:dyDescent="0.25">
      <c r="B27" s="1186"/>
      <c r="C27" s="1186"/>
      <c r="D27" s="1186"/>
      <c r="E27" s="201" t="s">
        <v>673</v>
      </c>
      <c r="F27" s="201" t="s">
        <v>26</v>
      </c>
      <c r="G27" s="201" t="s">
        <v>26</v>
      </c>
      <c r="H27" s="201" t="s">
        <v>645</v>
      </c>
      <c r="I27" s="202" t="s">
        <v>963</v>
      </c>
      <c r="J27" s="202" t="s">
        <v>795</v>
      </c>
      <c r="K27" s="1186"/>
    </row>
    <row r="28" spans="1:27" s="204" customFormat="1" x14ac:dyDescent="0.25">
      <c r="A28" s="175" t="s">
        <v>36</v>
      </c>
      <c r="B28" s="343" t="s">
        <v>33</v>
      </c>
      <c r="C28" s="343" t="s">
        <v>967</v>
      </c>
      <c r="D28" s="343"/>
      <c r="E28" s="549">
        <v>100</v>
      </c>
      <c r="F28" s="344" t="s">
        <v>786</v>
      </c>
      <c r="G28" s="344"/>
      <c r="H28" s="345">
        <v>8.8304228737939222E-2</v>
      </c>
      <c r="I28" s="551">
        <v>10</v>
      </c>
      <c r="J28" s="203" t="s">
        <v>978</v>
      </c>
      <c r="K28" s="347">
        <v>1</v>
      </c>
    </row>
    <row r="29" spans="1:27" x14ac:dyDescent="0.25">
      <c r="B29" s="205"/>
      <c r="C29" s="206"/>
      <c r="D29" s="207"/>
      <c r="E29" s="550"/>
      <c r="F29" s="335" t="str">
        <f>IFERROR(VLOOKUP(C29,FABCC!$E$9:$F$20,2,FALSE),"")</f>
        <v/>
      </c>
      <c r="G29" s="207"/>
      <c r="H29" s="346" t="str">
        <f>IFERROR(VLOOKUP($C29,FABCC!E9:H20,3,FALSE),"")</f>
        <v/>
      </c>
      <c r="I29" s="552"/>
      <c r="J29" s="358"/>
      <c r="K29" s="348" t="str">
        <f>IFERROR(IF(I29="",H29*E29/1000,I29*E29/1000),"")</f>
        <v/>
      </c>
      <c r="L29" s="180"/>
    </row>
    <row r="30" spans="1:27" ht="31.5" x14ac:dyDescent="0.25">
      <c r="B30" s="205"/>
      <c r="C30" s="206" t="s">
        <v>301</v>
      </c>
      <c r="D30" s="207"/>
      <c r="E30" s="550"/>
      <c r="F30" s="335" t="str">
        <f>IFERROR(VLOOKUP(C30,FABCC!$E$9:$F$20,2,FALSE),"")</f>
        <v>(indique a unidade no campo ao lado)</v>
      </c>
      <c r="G30" s="207"/>
      <c r="H30" s="346">
        <f>IFERROR(VLOOKUP($C30,FABCC!E10:H21,3,FALSE),"")</f>
        <v>0</v>
      </c>
      <c r="I30" s="552"/>
      <c r="J30" s="358"/>
      <c r="K30" s="348">
        <f t="shared" ref="K30:K93" si="0">IFERROR(IF(I30="",H30*E30/1000,I30*E30/1000),"")</f>
        <v>0</v>
      </c>
      <c r="L30" s="180"/>
    </row>
    <row r="31" spans="1:27" ht="25.15" customHeight="1" x14ac:dyDescent="0.25">
      <c r="B31" s="205"/>
      <c r="C31" s="206"/>
      <c r="D31" s="207"/>
      <c r="E31" s="550"/>
      <c r="F31" s="335" t="str">
        <f>IFERROR(VLOOKUP(C31,FABCC!$E$9:$F$20,2,FALSE),"")</f>
        <v/>
      </c>
      <c r="G31" s="207"/>
      <c r="H31" s="346" t="str">
        <f>IFERROR(VLOOKUP($C31,FABCC!E11:H21,3,FALSE),"")</f>
        <v/>
      </c>
      <c r="I31" s="552"/>
      <c r="J31" s="358"/>
      <c r="K31" s="348" t="str">
        <f t="shared" si="0"/>
        <v/>
      </c>
      <c r="L31" s="180"/>
    </row>
    <row r="32" spans="1:27" x14ac:dyDescent="0.25">
      <c r="B32" s="205"/>
      <c r="C32" s="206"/>
      <c r="D32" s="207"/>
      <c r="E32" s="550"/>
      <c r="F32" s="335" t="str">
        <f>IFERROR(VLOOKUP(C32,FABCC!$E$9:$F$20,2,FALSE),"")</f>
        <v/>
      </c>
      <c r="G32" s="207"/>
      <c r="H32" s="346" t="str">
        <f>IFERROR(VLOOKUP($C32,FABCC!E12:H21,3,FALSE),"")</f>
        <v/>
      </c>
      <c r="I32" s="552"/>
      <c r="J32" s="358"/>
      <c r="K32" s="348" t="str">
        <f t="shared" si="0"/>
        <v/>
      </c>
      <c r="L32" s="180"/>
    </row>
    <row r="33" spans="2:13" x14ac:dyDescent="0.25">
      <c r="B33" s="205"/>
      <c r="C33" s="206"/>
      <c r="D33" s="207"/>
      <c r="E33" s="550"/>
      <c r="F33" s="335" t="str">
        <f>IFERROR(VLOOKUP(C33,FABCC!$E$9:$F$20,2,FALSE),"")</f>
        <v/>
      </c>
      <c r="G33" s="207"/>
      <c r="H33" s="346" t="str">
        <f>IFERROR(VLOOKUP($C33,FABCC!E13:H21,3,FALSE),"")</f>
        <v/>
      </c>
      <c r="I33" s="552"/>
      <c r="J33" s="358"/>
      <c r="K33" s="348" t="str">
        <f t="shared" si="0"/>
        <v/>
      </c>
      <c r="L33" s="180"/>
      <c r="M33" s="254"/>
    </row>
    <row r="34" spans="2:13" x14ac:dyDescent="0.25">
      <c r="B34" s="205"/>
      <c r="C34" s="206"/>
      <c r="D34" s="207"/>
      <c r="E34" s="550"/>
      <c r="F34" s="335" t="str">
        <f>IFERROR(VLOOKUP(C34,FABCC!$E$9:$F$20,2,FALSE),"")</f>
        <v/>
      </c>
      <c r="G34" s="207"/>
      <c r="H34" s="346" t="str">
        <f>IFERROR(VLOOKUP($C34,FABCC!E14:H21,3,FALSE),"")</f>
        <v/>
      </c>
      <c r="I34" s="552"/>
      <c r="J34" s="358"/>
      <c r="K34" s="348" t="str">
        <f t="shared" si="0"/>
        <v/>
      </c>
      <c r="L34" s="180"/>
      <c r="M34" s="255"/>
    </row>
    <row r="35" spans="2:13" x14ac:dyDescent="0.25">
      <c r="B35" s="205"/>
      <c r="C35" s="206"/>
      <c r="D35" s="207"/>
      <c r="E35" s="550"/>
      <c r="F35" s="335" t="str">
        <f>IFERROR(VLOOKUP(C35,FABCC!$E$9:$F$20,2,FALSE),"")</f>
        <v/>
      </c>
      <c r="G35" s="207"/>
      <c r="H35" s="339" t="str">
        <f>IFERROR(VLOOKUP($C35,FABCC!E15:H21,3,FALSE),"")</f>
        <v/>
      </c>
      <c r="I35" s="552"/>
      <c r="J35" s="358"/>
      <c r="K35" s="348" t="str">
        <f t="shared" si="0"/>
        <v/>
      </c>
      <c r="L35" s="180"/>
    </row>
    <row r="36" spans="2:13" x14ac:dyDescent="0.25">
      <c r="B36" s="205"/>
      <c r="C36" s="206"/>
      <c r="D36" s="207"/>
      <c r="E36" s="550"/>
      <c r="F36" s="335" t="str">
        <f>IFERROR(VLOOKUP(C36,FABCC!$E$9:$F$20,2,FALSE),"")</f>
        <v/>
      </c>
      <c r="G36" s="207"/>
      <c r="H36" s="339" t="str">
        <f>IFERROR(VLOOKUP($C36,FABCC!E16:H21,3,FALSE),"")</f>
        <v/>
      </c>
      <c r="I36" s="552"/>
      <c r="J36" s="358"/>
      <c r="K36" s="348" t="str">
        <f t="shared" si="0"/>
        <v/>
      </c>
      <c r="L36" s="180"/>
    </row>
    <row r="37" spans="2:13" x14ac:dyDescent="0.25">
      <c r="B37" s="205"/>
      <c r="C37" s="206"/>
      <c r="D37" s="207"/>
      <c r="E37" s="550"/>
      <c r="F37" s="335" t="str">
        <f>IFERROR(VLOOKUP(C37,FABCC!$E$9:$F$20,2,FALSE),"")</f>
        <v/>
      </c>
      <c r="G37" s="207"/>
      <c r="H37" s="339" t="str">
        <f>IFERROR(VLOOKUP($C37,FABCC!E17:H21,3,FALSE),"")</f>
        <v/>
      </c>
      <c r="I37" s="552"/>
      <c r="J37" s="358"/>
      <c r="K37" s="348" t="str">
        <f t="shared" si="0"/>
        <v/>
      </c>
      <c r="L37" s="180"/>
    </row>
    <row r="38" spans="2:13" x14ac:dyDescent="0.25">
      <c r="B38" s="205"/>
      <c r="C38" s="206"/>
      <c r="D38" s="207"/>
      <c r="E38" s="550"/>
      <c r="F38" s="335" t="str">
        <f>IFERROR(VLOOKUP(C38,FABCC!$E$9:$F$20,2,FALSE),"")</f>
        <v/>
      </c>
      <c r="G38" s="207"/>
      <c r="H38" s="339" t="str">
        <f>IFERROR(VLOOKUP($C38,FABCC!E18:H21,3,FALSE),"")</f>
        <v/>
      </c>
      <c r="I38" s="552"/>
      <c r="J38" s="358"/>
      <c r="K38" s="348" t="str">
        <f t="shared" si="0"/>
        <v/>
      </c>
      <c r="L38" s="180"/>
    </row>
    <row r="39" spans="2:13" x14ac:dyDescent="0.25">
      <c r="B39" s="205"/>
      <c r="C39" s="206"/>
      <c r="D39" s="207"/>
      <c r="E39" s="550"/>
      <c r="F39" s="335" t="str">
        <f>IFERROR(VLOOKUP(C39,FABCC!$E$9:$F$20,2,FALSE),"")</f>
        <v/>
      </c>
      <c r="G39" s="207"/>
      <c r="H39" s="346" t="str">
        <f>IFERROR(VLOOKUP($C39,FABCC!E19:H21,3,FALSE),"")</f>
        <v/>
      </c>
      <c r="I39" s="552"/>
      <c r="J39" s="358"/>
      <c r="K39" s="348" t="str">
        <f t="shared" si="0"/>
        <v/>
      </c>
      <c r="L39" s="180"/>
    </row>
    <row r="40" spans="2:13" hidden="1" outlineLevel="1" x14ac:dyDescent="0.25">
      <c r="B40" s="205"/>
      <c r="C40" s="206"/>
      <c r="D40" s="207"/>
      <c r="E40" s="550"/>
      <c r="F40" s="335" t="str">
        <f>IFERROR(VLOOKUP(C40,FABCC!$E$9:$F$20,2,FALSE),"")</f>
        <v/>
      </c>
      <c r="G40" s="207"/>
      <c r="H40" s="346" t="str">
        <f>IFERROR(VLOOKUP($C40,FABCC!E20:H21,3,FALSE),"")</f>
        <v/>
      </c>
      <c r="I40" s="552"/>
      <c r="J40" s="358"/>
      <c r="K40" s="348" t="str">
        <f t="shared" si="0"/>
        <v/>
      </c>
      <c r="L40" s="180"/>
    </row>
    <row r="41" spans="2:13" hidden="1" outlineLevel="1" x14ac:dyDescent="0.25">
      <c r="B41" s="205"/>
      <c r="C41" s="206"/>
      <c r="D41" s="207"/>
      <c r="E41" s="550"/>
      <c r="F41" s="335" t="str">
        <f>IFERROR(VLOOKUP(C41,FABCC!$E$9:$F$20,2,FALSE),"")</f>
        <v/>
      </c>
      <c r="G41" s="207"/>
      <c r="H41" s="346" t="str">
        <f>IFERROR(VLOOKUP($C41,FABCC!E20:H21,3,FALSE),"")</f>
        <v/>
      </c>
      <c r="I41" s="552"/>
      <c r="J41" s="358"/>
      <c r="K41" s="348" t="str">
        <f t="shared" si="0"/>
        <v/>
      </c>
      <c r="L41" s="180"/>
    </row>
    <row r="42" spans="2:13" hidden="1" outlineLevel="1" x14ac:dyDescent="0.25">
      <c r="B42" s="205"/>
      <c r="C42" s="206"/>
      <c r="D42" s="207"/>
      <c r="E42" s="550"/>
      <c r="F42" s="335" t="str">
        <f>IFERROR(VLOOKUP(C42,FABCC!$E$9:$F$20,2,FALSE),"")</f>
        <v/>
      </c>
      <c r="G42" s="207"/>
      <c r="H42" s="346" t="str">
        <f>IFERROR(VLOOKUP($C42,FABCC!E21:H21,3,FALSE),"")</f>
        <v/>
      </c>
      <c r="I42" s="552"/>
      <c r="J42" s="358"/>
      <c r="K42" s="348" t="str">
        <f t="shared" si="0"/>
        <v/>
      </c>
      <c r="L42" s="180"/>
    </row>
    <row r="43" spans="2:13" hidden="1" outlineLevel="1" x14ac:dyDescent="0.25">
      <c r="B43" s="205"/>
      <c r="C43" s="206"/>
      <c r="D43" s="207"/>
      <c r="E43" s="550"/>
      <c r="F43" s="335" t="str">
        <f>IFERROR(VLOOKUP(C43,FABCC!$E$9:$F$20,2,FALSE),"")</f>
        <v/>
      </c>
      <c r="G43" s="207"/>
      <c r="H43" s="346" t="str">
        <f>IFERROR(VLOOKUP($C43,FABCC!#REF!,3,FALSE),"")</f>
        <v/>
      </c>
      <c r="I43" s="552"/>
      <c r="J43" s="358"/>
      <c r="K43" s="348" t="str">
        <f t="shared" si="0"/>
        <v/>
      </c>
      <c r="L43" s="180"/>
    </row>
    <row r="44" spans="2:13" hidden="1" outlineLevel="1" x14ac:dyDescent="0.25">
      <c r="B44" s="205"/>
      <c r="C44" s="206"/>
      <c r="D44" s="207"/>
      <c r="E44" s="550"/>
      <c r="F44" s="335" t="str">
        <f>IFERROR(VLOOKUP(C44,FABCC!$E$9:$F$20,2,FALSE),"")</f>
        <v/>
      </c>
      <c r="G44" s="207"/>
      <c r="H44" s="346" t="str">
        <f>IFERROR(VLOOKUP($C44,FABCC!#REF!,3,FALSE),"")</f>
        <v/>
      </c>
      <c r="I44" s="552"/>
      <c r="J44" s="358"/>
      <c r="K44" s="348" t="str">
        <f t="shared" si="0"/>
        <v/>
      </c>
      <c r="L44" s="180"/>
    </row>
    <row r="45" spans="2:13" hidden="1" outlineLevel="1" x14ac:dyDescent="0.25">
      <c r="B45" s="205"/>
      <c r="C45" s="206"/>
      <c r="D45" s="207"/>
      <c r="E45" s="550"/>
      <c r="F45" s="335" t="str">
        <f>IFERROR(VLOOKUP(C45,FABCC!$E$9:$F$20,2,FALSE),"")</f>
        <v/>
      </c>
      <c r="G45" s="207"/>
      <c r="H45" s="346" t="str">
        <f>IFERROR(VLOOKUP($C45,FABCC!#REF!,3,FALSE),"")</f>
        <v/>
      </c>
      <c r="I45" s="552"/>
      <c r="J45" s="358"/>
      <c r="K45" s="348" t="str">
        <f t="shared" si="0"/>
        <v/>
      </c>
      <c r="L45" s="180"/>
    </row>
    <row r="46" spans="2:13" hidden="1" outlineLevel="1" x14ac:dyDescent="0.25">
      <c r="B46" s="205"/>
      <c r="C46" s="206"/>
      <c r="D46" s="207"/>
      <c r="E46" s="550"/>
      <c r="F46" s="335" t="str">
        <f>IFERROR(VLOOKUP(C46,FABCC!$E$9:$F$20,2,FALSE),"")</f>
        <v/>
      </c>
      <c r="G46" s="207"/>
      <c r="H46" s="346" t="str">
        <f>IFERROR(VLOOKUP($C46,FABCC!#REF!,3,FALSE),"")</f>
        <v/>
      </c>
      <c r="I46" s="552"/>
      <c r="J46" s="358"/>
      <c r="K46" s="348" t="str">
        <f t="shared" si="0"/>
        <v/>
      </c>
      <c r="L46" s="180"/>
    </row>
    <row r="47" spans="2:13" hidden="1" outlineLevel="1" x14ac:dyDescent="0.25">
      <c r="B47" s="205"/>
      <c r="C47" s="206"/>
      <c r="D47" s="207"/>
      <c r="E47" s="550"/>
      <c r="F47" s="335" t="str">
        <f>IFERROR(VLOOKUP(C47,FABCC!$E$9:$F$20,2,FALSE),"")</f>
        <v/>
      </c>
      <c r="G47" s="207"/>
      <c r="H47" s="346" t="str">
        <f>IFERROR(VLOOKUP($C47,FABCC!#REF!,3,FALSE),"")</f>
        <v/>
      </c>
      <c r="I47" s="552"/>
      <c r="J47" s="358"/>
      <c r="K47" s="348" t="str">
        <f t="shared" si="0"/>
        <v/>
      </c>
      <c r="L47" s="180"/>
    </row>
    <row r="48" spans="2:13" hidden="1" outlineLevel="1" x14ac:dyDescent="0.25">
      <c r="B48" s="205"/>
      <c r="C48" s="206"/>
      <c r="D48" s="207"/>
      <c r="E48" s="550"/>
      <c r="F48" s="335" t="str">
        <f>IFERROR(VLOOKUP(C48,FABCC!$E$9:$F$20,2,FALSE),"")</f>
        <v/>
      </c>
      <c r="G48" s="207"/>
      <c r="H48" s="346" t="str">
        <f>IFERROR(VLOOKUP($C48,FABCC!#REF!,3,FALSE),"")</f>
        <v/>
      </c>
      <c r="I48" s="552"/>
      <c r="J48" s="358"/>
      <c r="K48" s="348" t="str">
        <f t="shared" si="0"/>
        <v/>
      </c>
      <c r="L48" s="180"/>
    </row>
    <row r="49" spans="2:12" hidden="1" outlineLevel="1" x14ac:dyDescent="0.25">
      <c r="B49" s="205"/>
      <c r="C49" s="206"/>
      <c r="D49" s="207"/>
      <c r="E49" s="550"/>
      <c r="F49" s="335" t="str">
        <f>IFERROR(VLOOKUP(C49,FABCC!$E$9:$F$20,2,FALSE),"")</f>
        <v/>
      </c>
      <c r="G49" s="207"/>
      <c r="H49" s="346" t="str">
        <f>IFERROR(VLOOKUP($C49,FABCC!#REF!,3,FALSE),"")</f>
        <v/>
      </c>
      <c r="I49" s="552"/>
      <c r="J49" s="358"/>
      <c r="K49" s="348" t="str">
        <f t="shared" si="0"/>
        <v/>
      </c>
      <c r="L49" s="180"/>
    </row>
    <row r="50" spans="2:12" hidden="1" outlineLevel="1" x14ac:dyDescent="0.25">
      <c r="B50" s="205"/>
      <c r="C50" s="206"/>
      <c r="D50" s="207"/>
      <c r="E50" s="550"/>
      <c r="F50" s="335" t="str">
        <f>IFERROR(VLOOKUP(C50,FABCC!$E$9:$F$20,2,FALSE),"")</f>
        <v/>
      </c>
      <c r="G50" s="207"/>
      <c r="H50" s="346" t="str">
        <f>IFERROR(VLOOKUP($C50,FABCC!#REF!,3,FALSE),"")</f>
        <v/>
      </c>
      <c r="I50" s="552"/>
      <c r="J50" s="358"/>
      <c r="K50" s="348" t="str">
        <f t="shared" si="0"/>
        <v/>
      </c>
      <c r="L50" s="180"/>
    </row>
    <row r="51" spans="2:12" hidden="1" outlineLevel="1" x14ac:dyDescent="0.25">
      <c r="B51" s="205"/>
      <c r="C51" s="206"/>
      <c r="D51" s="207"/>
      <c r="E51" s="550"/>
      <c r="F51" s="335" t="str">
        <f>IFERROR(VLOOKUP(C51,FABCC!$E$9:$F$20,2,FALSE),"")</f>
        <v/>
      </c>
      <c r="G51" s="207"/>
      <c r="H51" s="346" t="str">
        <f>IFERROR(VLOOKUP($C51,FABCC!#REF!,3,FALSE),"")</f>
        <v/>
      </c>
      <c r="I51" s="552"/>
      <c r="J51" s="358"/>
      <c r="K51" s="348" t="str">
        <f t="shared" si="0"/>
        <v/>
      </c>
      <c r="L51" s="180"/>
    </row>
    <row r="52" spans="2:12" hidden="1" outlineLevel="1" x14ac:dyDescent="0.25">
      <c r="B52" s="205"/>
      <c r="C52" s="206"/>
      <c r="D52" s="207"/>
      <c r="E52" s="550"/>
      <c r="F52" s="335" t="str">
        <f>IFERROR(VLOOKUP(C52,FABCC!$E$9:$F$20,2,FALSE),"")</f>
        <v/>
      </c>
      <c r="G52" s="207"/>
      <c r="H52" s="346" t="str">
        <f>IFERROR(VLOOKUP($C52,FABCC!#REF!,3,FALSE),"")</f>
        <v/>
      </c>
      <c r="I52" s="552"/>
      <c r="J52" s="358"/>
      <c r="K52" s="348" t="str">
        <f t="shared" si="0"/>
        <v/>
      </c>
      <c r="L52" s="180"/>
    </row>
    <row r="53" spans="2:12" hidden="1" outlineLevel="1" x14ac:dyDescent="0.25">
      <c r="B53" s="205"/>
      <c r="C53" s="206"/>
      <c r="D53" s="207"/>
      <c r="E53" s="550"/>
      <c r="F53" s="335" t="str">
        <f>IFERROR(VLOOKUP(C53,FABCC!$E$9:$F$20,2,FALSE),"")</f>
        <v/>
      </c>
      <c r="G53" s="207"/>
      <c r="H53" s="346" t="str">
        <f>IFERROR(VLOOKUP($C53,FABCC!#REF!,3,FALSE),"")</f>
        <v/>
      </c>
      <c r="I53" s="552"/>
      <c r="J53" s="358"/>
      <c r="K53" s="348" t="str">
        <f t="shared" si="0"/>
        <v/>
      </c>
      <c r="L53" s="180"/>
    </row>
    <row r="54" spans="2:12" hidden="1" outlineLevel="1" x14ac:dyDescent="0.25">
      <c r="B54" s="205"/>
      <c r="C54" s="206"/>
      <c r="D54" s="207"/>
      <c r="E54" s="550"/>
      <c r="F54" s="335" t="str">
        <f>IFERROR(VLOOKUP(C54,FABCC!$E$9:$F$20,2,FALSE),"")</f>
        <v/>
      </c>
      <c r="G54" s="207"/>
      <c r="H54" s="346" t="str">
        <f>IFERROR(VLOOKUP($C54,FABCC!#REF!,3,FALSE),"")</f>
        <v/>
      </c>
      <c r="I54" s="552"/>
      <c r="J54" s="358"/>
      <c r="K54" s="348" t="str">
        <f t="shared" si="0"/>
        <v/>
      </c>
      <c r="L54" s="180"/>
    </row>
    <row r="55" spans="2:12" hidden="1" outlineLevel="1" x14ac:dyDescent="0.25">
      <c r="B55" s="205"/>
      <c r="C55" s="206"/>
      <c r="D55" s="207"/>
      <c r="E55" s="550"/>
      <c r="F55" s="335" t="str">
        <f>IFERROR(VLOOKUP(C55,FABCC!$E$9:$F$20,2,FALSE),"")</f>
        <v/>
      </c>
      <c r="G55" s="207"/>
      <c r="H55" s="346" t="str">
        <f>IFERROR(VLOOKUP($C55,FABCC!#REF!,3,FALSE),"")</f>
        <v/>
      </c>
      <c r="I55" s="552"/>
      <c r="J55" s="358"/>
      <c r="K55" s="348" t="str">
        <f t="shared" si="0"/>
        <v/>
      </c>
      <c r="L55" s="180"/>
    </row>
    <row r="56" spans="2:12" hidden="1" outlineLevel="1" x14ac:dyDescent="0.25">
      <c r="B56" s="205"/>
      <c r="C56" s="206"/>
      <c r="D56" s="207"/>
      <c r="E56" s="550"/>
      <c r="F56" s="335" t="str">
        <f>IFERROR(VLOOKUP(C56,FABCC!$E$9:$F$20,2,FALSE),"")</f>
        <v/>
      </c>
      <c r="G56" s="207"/>
      <c r="H56" s="346" t="str">
        <f>IFERROR(VLOOKUP($C56,FABCC!#REF!,3,FALSE),"")</f>
        <v/>
      </c>
      <c r="I56" s="552"/>
      <c r="J56" s="358"/>
      <c r="K56" s="348" t="str">
        <f t="shared" si="0"/>
        <v/>
      </c>
      <c r="L56" s="180"/>
    </row>
    <row r="57" spans="2:12" hidden="1" outlineLevel="1" x14ac:dyDescent="0.25">
      <c r="B57" s="205"/>
      <c r="C57" s="206"/>
      <c r="D57" s="207"/>
      <c r="E57" s="550"/>
      <c r="F57" s="335" t="str">
        <f>IFERROR(VLOOKUP(C57,FABCC!$E$9:$F$20,2,FALSE),"")</f>
        <v/>
      </c>
      <c r="G57" s="207"/>
      <c r="H57" s="346" t="str">
        <f>IFERROR(VLOOKUP($C57,FABCC!#REF!,3,FALSE),"")</f>
        <v/>
      </c>
      <c r="I57" s="552"/>
      <c r="J57" s="358"/>
      <c r="K57" s="348" t="str">
        <f t="shared" si="0"/>
        <v/>
      </c>
      <c r="L57" s="180"/>
    </row>
    <row r="58" spans="2:12" hidden="1" outlineLevel="1" x14ac:dyDescent="0.25">
      <c r="B58" s="205"/>
      <c r="C58" s="206"/>
      <c r="D58" s="207"/>
      <c r="E58" s="550"/>
      <c r="F58" s="335" t="str">
        <f>IFERROR(VLOOKUP(C58,FABCC!$E$9:$F$20,2,FALSE),"")</f>
        <v/>
      </c>
      <c r="G58" s="207"/>
      <c r="H58" s="346" t="str">
        <f>IFERROR(VLOOKUP($C58,FABCC!#REF!,3,FALSE),"")</f>
        <v/>
      </c>
      <c r="I58" s="552"/>
      <c r="J58" s="358"/>
      <c r="K58" s="348" t="str">
        <f t="shared" si="0"/>
        <v/>
      </c>
      <c r="L58" s="180"/>
    </row>
    <row r="59" spans="2:12" hidden="1" outlineLevel="1" x14ac:dyDescent="0.25">
      <c r="B59" s="205"/>
      <c r="C59" s="206"/>
      <c r="D59" s="207"/>
      <c r="E59" s="550"/>
      <c r="F59" s="335" t="str">
        <f>IFERROR(VLOOKUP(C59,FABCC!$E$9:$F$20,2,FALSE),"")</f>
        <v/>
      </c>
      <c r="G59" s="207"/>
      <c r="H59" s="346" t="str">
        <f>IFERROR(VLOOKUP($C59,FABCC!#REF!,3,FALSE),"")</f>
        <v/>
      </c>
      <c r="I59" s="552"/>
      <c r="J59" s="358"/>
      <c r="K59" s="348" t="str">
        <f t="shared" si="0"/>
        <v/>
      </c>
      <c r="L59" s="180"/>
    </row>
    <row r="60" spans="2:12" hidden="1" outlineLevel="1" x14ac:dyDescent="0.25">
      <c r="B60" s="205"/>
      <c r="C60" s="206"/>
      <c r="D60" s="207"/>
      <c r="E60" s="550"/>
      <c r="F60" s="335" t="str">
        <f>IFERROR(VLOOKUP(C60,FABCC!$E$9:$F$20,2,FALSE),"")</f>
        <v/>
      </c>
      <c r="G60" s="207"/>
      <c r="H60" s="346" t="str">
        <f>IFERROR(VLOOKUP($C60,FABCC!#REF!,3,FALSE),"")</f>
        <v/>
      </c>
      <c r="I60" s="552"/>
      <c r="J60" s="358"/>
      <c r="K60" s="348" t="str">
        <f t="shared" si="0"/>
        <v/>
      </c>
      <c r="L60" s="180"/>
    </row>
    <row r="61" spans="2:12" hidden="1" outlineLevel="1" x14ac:dyDescent="0.25">
      <c r="B61" s="205"/>
      <c r="C61" s="206"/>
      <c r="D61" s="207"/>
      <c r="E61" s="550"/>
      <c r="F61" s="335" t="str">
        <f>IFERROR(VLOOKUP(C61,FABCC!$E$9:$F$20,2,FALSE),"")</f>
        <v/>
      </c>
      <c r="G61" s="207"/>
      <c r="H61" s="346" t="str">
        <f>IFERROR(VLOOKUP($C61,FABCC!#REF!,3,FALSE),"")</f>
        <v/>
      </c>
      <c r="I61" s="552"/>
      <c r="J61" s="358"/>
      <c r="K61" s="348" t="str">
        <f t="shared" si="0"/>
        <v/>
      </c>
      <c r="L61" s="180"/>
    </row>
    <row r="62" spans="2:12" hidden="1" outlineLevel="1" x14ac:dyDescent="0.25">
      <c r="B62" s="205"/>
      <c r="C62" s="206"/>
      <c r="D62" s="207"/>
      <c r="E62" s="550"/>
      <c r="F62" s="335" t="str">
        <f>IFERROR(VLOOKUP(C62,FABCC!$E$9:$F$20,2,FALSE),"")</f>
        <v/>
      </c>
      <c r="G62" s="207"/>
      <c r="H62" s="346" t="str">
        <f>IFERROR(VLOOKUP($C62,FABCC!#REF!,3,FALSE),"")</f>
        <v/>
      </c>
      <c r="I62" s="552"/>
      <c r="J62" s="358"/>
      <c r="K62" s="348" t="str">
        <f t="shared" si="0"/>
        <v/>
      </c>
      <c r="L62" s="180"/>
    </row>
    <row r="63" spans="2:12" hidden="1" outlineLevel="1" x14ac:dyDescent="0.25">
      <c r="B63" s="205"/>
      <c r="C63" s="206"/>
      <c r="D63" s="207"/>
      <c r="E63" s="550"/>
      <c r="F63" s="335" t="str">
        <f>IFERROR(VLOOKUP(C63,FABCC!$E$9:$F$20,2,FALSE),"")</f>
        <v/>
      </c>
      <c r="G63" s="207"/>
      <c r="H63" s="346" t="str">
        <f>IFERROR(VLOOKUP($C63,FABCC!#REF!,3,FALSE),"")</f>
        <v/>
      </c>
      <c r="I63" s="552"/>
      <c r="J63" s="358"/>
      <c r="K63" s="348" t="str">
        <f t="shared" si="0"/>
        <v/>
      </c>
      <c r="L63" s="180"/>
    </row>
    <row r="64" spans="2:12" hidden="1" outlineLevel="1" x14ac:dyDescent="0.25">
      <c r="B64" s="205"/>
      <c r="C64" s="206"/>
      <c r="D64" s="207"/>
      <c r="E64" s="550"/>
      <c r="F64" s="335" t="str">
        <f>IFERROR(VLOOKUP(C64,FABCC!$E$9:$F$20,2,FALSE),"")</f>
        <v/>
      </c>
      <c r="G64" s="207"/>
      <c r="H64" s="346" t="str">
        <f>IFERROR(VLOOKUP($C64,FABCC!#REF!,3,FALSE),"")</f>
        <v/>
      </c>
      <c r="I64" s="552"/>
      <c r="J64" s="358"/>
      <c r="K64" s="348" t="str">
        <f t="shared" si="0"/>
        <v/>
      </c>
      <c r="L64" s="180"/>
    </row>
    <row r="65" spans="2:12" hidden="1" outlineLevel="1" x14ac:dyDescent="0.25">
      <c r="B65" s="205"/>
      <c r="C65" s="206"/>
      <c r="D65" s="207"/>
      <c r="E65" s="550"/>
      <c r="F65" s="335" t="str">
        <f>IFERROR(VLOOKUP(C65,FABCC!$E$9:$F$20,2,FALSE),"")</f>
        <v/>
      </c>
      <c r="G65" s="207"/>
      <c r="H65" s="346" t="str">
        <f>IFERROR(VLOOKUP($C65,FABCC!#REF!,3,FALSE),"")</f>
        <v/>
      </c>
      <c r="I65" s="552"/>
      <c r="J65" s="358"/>
      <c r="K65" s="348" t="str">
        <f t="shared" si="0"/>
        <v/>
      </c>
      <c r="L65" s="180"/>
    </row>
    <row r="66" spans="2:12" hidden="1" outlineLevel="1" x14ac:dyDescent="0.25">
      <c r="B66" s="205"/>
      <c r="C66" s="206"/>
      <c r="D66" s="207"/>
      <c r="E66" s="550"/>
      <c r="F66" s="335" t="str">
        <f>IFERROR(VLOOKUP(C66,FABCC!$E$9:$F$20,2,FALSE),"")</f>
        <v/>
      </c>
      <c r="G66" s="207"/>
      <c r="H66" s="346" t="str">
        <f>IFERROR(VLOOKUP($C66,FABCC!#REF!,3,FALSE),"")</f>
        <v/>
      </c>
      <c r="I66" s="552"/>
      <c r="J66" s="358"/>
      <c r="K66" s="348" t="str">
        <f t="shared" si="0"/>
        <v/>
      </c>
      <c r="L66" s="180"/>
    </row>
    <row r="67" spans="2:12" hidden="1" outlineLevel="1" x14ac:dyDescent="0.25">
      <c r="B67" s="205"/>
      <c r="C67" s="206"/>
      <c r="D67" s="207"/>
      <c r="E67" s="550"/>
      <c r="F67" s="335" t="str">
        <f>IFERROR(VLOOKUP(C67,FABCC!$E$9:$F$20,2,FALSE),"")</f>
        <v/>
      </c>
      <c r="G67" s="207"/>
      <c r="H67" s="346" t="str">
        <f>IFERROR(VLOOKUP($C67,FABCC!#REF!,3,FALSE),"")</f>
        <v/>
      </c>
      <c r="I67" s="552"/>
      <c r="J67" s="358"/>
      <c r="K67" s="348" t="str">
        <f t="shared" si="0"/>
        <v/>
      </c>
      <c r="L67" s="180"/>
    </row>
    <row r="68" spans="2:12" hidden="1" outlineLevel="1" x14ac:dyDescent="0.25">
      <c r="B68" s="205"/>
      <c r="C68" s="206"/>
      <c r="D68" s="207"/>
      <c r="E68" s="550"/>
      <c r="F68" s="335" t="str">
        <f>IFERROR(VLOOKUP(C68,FABCC!$E$9:$F$20,2,FALSE),"")</f>
        <v/>
      </c>
      <c r="G68" s="207"/>
      <c r="H68" s="346" t="str">
        <f>IFERROR(VLOOKUP($C68,FABCC!#REF!,3,FALSE),"")</f>
        <v/>
      </c>
      <c r="I68" s="552"/>
      <c r="J68" s="358"/>
      <c r="K68" s="348" t="str">
        <f t="shared" si="0"/>
        <v/>
      </c>
      <c r="L68" s="180"/>
    </row>
    <row r="69" spans="2:12" hidden="1" outlineLevel="1" x14ac:dyDescent="0.25">
      <c r="B69" s="205"/>
      <c r="C69" s="206"/>
      <c r="D69" s="207"/>
      <c r="E69" s="550"/>
      <c r="F69" s="335" t="str">
        <f>IFERROR(VLOOKUP(C69,FABCC!$E$9:$F$20,2,FALSE),"")</f>
        <v/>
      </c>
      <c r="G69" s="207"/>
      <c r="H69" s="346" t="str">
        <f>IFERROR(VLOOKUP($C69,FABCC!#REF!,3,FALSE),"")</f>
        <v/>
      </c>
      <c r="I69" s="552"/>
      <c r="J69" s="358"/>
      <c r="K69" s="348" t="str">
        <f t="shared" si="0"/>
        <v/>
      </c>
      <c r="L69" s="180"/>
    </row>
    <row r="70" spans="2:12" hidden="1" outlineLevel="1" x14ac:dyDescent="0.25">
      <c r="B70" s="205"/>
      <c r="C70" s="206"/>
      <c r="D70" s="207"/>
      <c r="E70" s="550"/>
      <c r="F70" s="335" t="str">
        <f>IFERROR(VLOOKUP(C70,FABCC!$E$9:$F$20,2,FALSE),"")</f>
        <v/>
      </c>
      <c r="G70" s="207"/>
      <c r="H70" s="346" t="str">
        <f>IFERROR(VLOOKUP($C70,FABCC!#REF!,3,FALSE),"")</f>
        <v/>
      </c>
      <c r="I70" s="552"/>
      <c r="J70" s="358"/>
      <c r="K70" s="348" t="str">
        <f t="shared" si="0"/>
        <v/>
      </c>
      <c r="L70" s="180"/>
    </row>
    <row r="71" spans="2:12" hidden="1" outlineLevel="1" x14ac:dyDescent="0.25">
      <c r="B71" s="205"/>
      <c r="C71" s="206"/>
      <c r="D71" s="207"/>
      <c r="E71" s="550"/>
      <c r="F71" s="335" t="str">
        <f>IFERROR(VLOOKUP(C71,FABCC!$E$9:$F$20,2,FALSE),"")</f>
        <v/>
      </c>
      <c r="G71" s="207"/>
      <c r="H71" s="346" t="str">
        <f>IFERROR(VLOOKUP($C71,FABCC!#REF!,3,FALSE),"")</f>
        <v/>
      </c>
      <c r="I71" s="552"/>
      <c r="J71" s="358"/>
      <c r="K71" s="348" t="str">
        <f t="shared" si="0"/>
        <v/>
      </c>
      <c r="L71" s="180"/>
    </row>
    <row r="72" spans="2:12" hidden="1" outlineLevel="1" x14ac:dyDescent="0.25">
      <c r="B72" s="205"/>
      <c r="C72" s="206"/>
      <c r="D72" s="207"/>
      <c r="E72" s="550"/>
      <c r="F72" s="335" t="str">
        <f>IFERROR(VLOOKUP(C72,FABCC!$E$9:$F$20,2,FALSE),"")</f>
        <v/>
      </c>
      <c r="G72" s="207"/>
      <c r="H72" s="346" t="str">
        <f>IFERROR(VLOOKUP($C72,FABCC!#REF!,3,FALSE),"")</f>
        <v/>
      </c>
      <c r="I72" s="552"/>
      <c r="J72" s="358"/>
      <c r="K72" s="348" t="str">
        <f t="shared" si="0"/>
        <v/>
      </c>
      <c r="L72" s="180"/>
    </row>
    <row r="73" spans="2:12" hidden="1" outlineLevel="1" x14ac:dyDescent="0.25">
      <c r="B73" s="205"/>
      <c r="C73" s="206"/>
      <c r="D73" s="207"/>
      <c r="E73" s="550"/>
      <c r="F73" s="335" t="str">
        <f>IFERROR(VLOOKUP(C73,FABCC!$E$9:$F$20,2,FALSE),"")</f>
        <v/>
      </c>
      <c r="G73" s="207"/>
      <c r="H73" s="346" t="str">
        <f>IFERROR(VLOOKUP($C73,FABCC!#REF!,3,FALSE),"")</f>
        <v/>
      </c>
      <c r="I73" s="552"/>
      <c r="J73" s="358"/>
      <c r="K73" s="348" t="str">
        <f t="shared" si="0"/>
        <v/>
      </c>
      <c r="L73" s="180"/>
    </row>
    <row r="74" spans="2:12" hidden="1" outlineLevel="1" x14ac:dyDescent="0.25">
      <c r="B74" s="205"/>
      <c r="C74" s="206"/>
      <c r="D74" s="207"/>
      <c r="E74" s="550"/>
      <c r="F74" s="335" t="str">
        <f>IFERROR(VLOOKUP(C74,FABCC!$E$9:$F$20,2,FALSE),"")</f>
        <v/>
      </c>
      <c r="G74" s="207"/>
      <c r="H74" s="346" t="str">
        <f>IFERROR(VLOOKUP($C74,FABCC!#REF!,3,FALSE),"")</f>
        <v/>
      </c>
      <c r="I74" s="552"/>
      <c r="J74" s="358"/>
      <c r="K74" s="348" t="str">
        <f t="shared" si="0"/>
        <v/>
      </c>
      <c r="L74" s="180"/>
    </row>
    <row r="75" spans="2:12" hidden="1" outlineLevel="1" x14ac:dyDescent="0.25">
      <c r="B75" s="205"/>
      <c r="C75" s="206"/>
      <c r="D75" s="207"/>
      <c r="E75" s="550"/>
      <c r="F75" s="335" t="str">
        <f>IFERROR(VLOOKUP(C75,FABCC!$E$9:$F$20,2,FALSE),"")</f>
        <v/>
      </c>
      <c r="G75" s="207"/>
      <c r="H75" s="346" t="str">
        <f>IFERROR(VLOOKUP($C75,FABCC!#REF!,3,FALSE),"")</f>
        <v/>
      </c>
      <c r="I75" s="552"/>
      <c r="J75" s="358"/>
      <c r="K75" s="348" t="str">
        <f t="shared" si="0"/>
        <v/>
      </c>
      <c r="L75" s="180"/>
    </row>
    <row r="76" spans="2:12" hidden="1" outlineLevel="1" x14ac:dyDescent="0.25">
      <c r="B76" s="205"/>
      <c r="C76" s="206"/>
      <c r="D76" s="207"/>
      <c r="E76" s="550"/>
      <c r="F76" s="335" t="str">
        <f>IFERROR(VLOOKUP(C76,FABCC!$E$9:$F$20,2,FALSE),"")</f>
        <v/>
      </c>
      <c r="G76" s="207"/>
      <c r="H76" s="346" t="str">
        <f>IFERROR(VLOOKUP($C76,FABCC!#REF!,3,FALSE),"")</f>
        <v/>
      </c>
      <c r="I76" s="552"/>
      <c r="J76" s="358"/>
      <c r="K76" s="348" t="str">
        <f t="shared" si="0"/>
        <v/>
      </c>
      <c r="L76" s="180"/>
    </row>
    <row r="77" spans="2:12" hidden="1" outlineLevel="1" x14ac:dyDescent="0.25">
      <c r="B77" s="205"/>
      <c r="C77" s="206"/>
      <c r="D77" s="207"/>
      <c r="E77" s="550"/>
      <c r="F77" s="335" t="str">
        <f>IFERROR(VLOOKUP(C77,FABCC!$E$9:$F$20,2,FALSE),"")</f>
        <v/>
      </c>
      <c r="G77" s="207"/>
      <c r="H77" s="346" t="str">
        <f>IFERROR(VLOOKUP($C77,FABCC!#REF!,3,FALSE),"")</f>
        <v/>
      </c>
      <c r="I77" s="552"/>
      <c r="J77" s="358"/>
      <c r="K77" s="348" t="str">
        <f t="shared" si="0"/>
        <v/>
      </c>
      <c r="L77" s="180"/>
    </row>
    <row r="78" spans="2:12" hidden="1" outlineLevel="1" x14ac:dyDescent="0.25">
      <c r="B78" s="205"/>
      <c r="C78" s="206"/>
      <c r="D78" s="207"/>
      <c r="E78" s="550"/>
      <c r="F78" s="335" t="str">
        <f>IFERROR(VLOOKUP(C78,FABCC!$E$9:$F$20,2,FALSE),"")</f>
        <v/>
      </c>
      <c r="G78" s="207"/>
      <c r="H78" s="346" t="str">
        <f>IFERROR(VLOOKUP($C78,FABCC!#REF!,3,FALSE),"")</f>
        <v/>
      </c>
      <c r="I78" s="552"/>
      <c r="J78" s="358"/>
      <c r="K78" s="348" t="str">
        <f t="shared" si="0"/>
        <v/>
      </c>
      <c r="L78" s="180"/>
    </row>
    <row r="79" spans="2:12" hidden="1" outlineLevel="1" x14ac:dyDescent="0.25">
      <c r="B79" s="205"/>
      <c r="C79" s="206"/>
      <c r="D79" s="207"/>
      <c r="E79" s="550"/>
      <c r="F79" s="335" t="str">
        <f>IFERROR(VLOOKUP(C79,FABCC!$E$9:$F$20,2,FALSE),"")</f>
        <v/>
      </c>
      <c r="G79" s="207"/>
      <c r="H79" s="346" t="str">
        <f>IFERROR(VLOOKUP($C79,FABCC!#REF!,3,FALSE),"")</f>
        <v/>
      </c>
      <c r="I79" s="552"/>
      <c r="J79" s="358"/>
      <c r="K79" s="348" t="str">
        <f t="shared" si="0"/>
        <v/>
      </c>
      <c r="L79" s="180"/>
    </row>
    <row r="80" spans="2:12" hidden="1" outlineLevel="1" x14ac:dyDescent="0.25">
      <c r="B80" s="205"/>
      <c r="C80" s="206"/>
      <c r="D80" s="207"/>
      <c r="E80" s="550"/>
      <c r="F80" s="335" t="str">
        <f>IFERROR(VLOOKUP(C80,FABCC!$E$9:$F$20,2,FALSE),"")</f>
        <v/>
      </c>
      <c r="G80" s="207"/>
      <c r="H80" s="346" t="str">
        <f>IFERROR(VLOOKUP($C80,FABCC!#REF!,3,FALSE),"")</f>
        <v/>
      </c>
      <c r="I80" s="552"/>
      <c r="J80" s="358"/>
      <c r="K80" s="348" t="str">
        <f t="shared" si="0"/>
        <v/>
      </c>
      <c r="L80" s="180"/>
    </row>
    <row r="81" spans="2:12" hidden="1" outlineLevel="1" x14ac:dyDescent="0.25">
      <c r="B81" s="205"/>
      <c r="C81" s="206"/>
      <c r="D81" s="207"/>
      <c r="E81" s="550"/>
      <c r="F81" s="335" t="str">
        <f>IFERROR(VLOOKUP(C81,FABCC!$E$9:$F$20,2,FALSE),"")</f>
        <v/>
      </c>
      <c r="G81" s="207"/>
      <c r="H81" s="346" t="str">
        <f>IFERROR(VLOOKUP($C81,FABCC!#REF!,3,FALSE),"")</f>
        <v/>
      </c>
      <c r="I81" s="552"/>
      <c r="J81" s="358"/>
      <c r="K81" s="348" t="str">
        <f t="shared" si="0"/>
        <v/>
      </c>
      <c r="L81" s="180"/>
    </row>
    <row r="82" spans="2:12" hidden="1" outlineLevel="1" x14ac:dyDescent="0.25">
      <c r="B82" s="205"/>
      <c r="C82" s="206"/>
      <c r="D82" s="207"/>
      <c r="E82" s="550"/>
      <c r="F82" s="335" t="str">
        <f>IFERROR(VLOOKUP(C82,FABCC!$E$9:$F$20,2,FALSE),"")</f>
        <v/>
      </c>
      <c r="G82" s="207"/>
      <c r="H82" s="346" t="str">
        <f>IFERROR(VLOOKUP($C82,FABCC!#REF!,3,FALSE),"")</f>
        <v/>
      </c>
      <c r="I82" s="552"/>
      <c r="J82" s="358"/>
      <c r="K82" s="348" t="str">
        <f t="shared" si="0"/>
        <v/>
      </c>
      <c r="L82" s="180"/>
    </row>
    <row r="83" spans="2:12" hidden="1" outlineLevel="1" x14ac:dyDescent="0.25">
      <c r="B83" s="205"/>
      <c r="C83" s="206"/>
      <c r="D83" s="207"/>
      <c r="E83" s="550"/>
      <c r="F83" s="335" t="str">
        <f>IFERROR(VLOOKUP(C83,FABCC!$E$9:$F$20,2,FALSE),"")</f>
        <v/>
      </c>
      <c r="G83" s="207"/>
      <c r="H83" s="346" t="str">
        <f>IFERROR(VLOOKUP($C83,FABCC!#REF!,3,FALSE),"")</f>
        <v/>
      </c>
      <c r="I83" s="552"/>
      <c r="J83" s="358"/>
      <c r="K83" s="348" t="str">
        <f t="shared" si="0"/>
        <v/>
      </c>
      <c r="L83" s="180"/>
    </row>
    <row r="84" spans="2:12" hidden="1" outlineLevel="1" x14ac:dyDescent="0.25">
      <c r="B84" s="205"/>
      <c r="C84" s="206"/>
      <c r="D84" s="207"/>
      <c r="E84" s="550"/>
      <c r="F84" s="335" t="str">
        <f>IFERROR(VLOOKUP(C84,FABCC!$E$9:$F$20,2,FALSE),"")</f>
        <v/>
      </c>
      <c r="G84" s="207"/>
      <c r="H84" s="346" t="str">
        <f>IFERROR(VLOOKUP($C84,FABCC!#REF!,3,FALSE),"")</f>
        <v/>
      </c>
      <c r="I84" s="552"/>
      <c r="J84" s="358"/>
      <c r="K84" s="348" t="str">
        <f t="shared" si="0"/>
        <v/>
      </c>
      <c r="L84" s="180"/>
    </row>
    <row r="85" spans="2:12" hidden="1" outlineLevel="1" x14ac:dyDescent="0.25">
      <c r="B85" s="205"/>
      <c r="C85" s="206"/>
      <c r="D85" s="207"/>
      <c r="E85" s="550"/>
      <c r="F85" s="335" t="str">
        <f>IFERROR(VLOOKUP(C85,FABCC!$E$9:$F$20,2,FALSE),"")</f>
        <v/>
      </c>
      <c r="G85" s="207"/>
      <c r="H85" s="346" t="str">
        <f>IFERROR(VLOOKUP($C85,FABCC!#REF!,3,FALSE),"")</f>
        <v/>
      </c>
      <c r="I85" s="552"/>
      <c r="J85" s="358"/>
      <c r="K85" s="348" t="str">
        <f t="shared" si="0"/>
        <v/>
      </c>
      <c r="L85" s="180"/>
    </row>
    <row r="86" spans="2:12" hidden="1" outlineLevel="1" x14ac:dyDescent="0.25">
      <c r="B86" s="205"/>
      <c r="C86" s="206"/>
      <c r="D86" s="207"/>
      <c r="E86" s="550"/>
      <c r="F86" s="335" t="str">
        <f>IFERROR(VLOOKUP(C86,FABCC!$E$9:$F$20,2,FALSE),"")</f>
        <v/>
      </c>
      <c r="G86" s="207"/>
      <c r="H86" s="346" t="str">
        <f>IFERROR(VLOOKUP($C86,FABCC!#REF!,3,FALSE),"")</f>
        <v/>
      </c>
      <c r="I86" s="552"/>
      <c r="J86" s="358"/>
      <c r="K86" s="348" t="str">
        <f t="shared" si="0"/>
        <v/>
      </c>
      <c r="L86" s="180"/>
    </row>
    <row r="87" spans="2:12" hidden="1" outlineLevel="1" x14ac:dyDescent="0.25">
      <c r="B87" s="205"/>
      <c r="C87" s="206"/>
      <c r="D87" s="207"/>
      <c r="E87" s="550"/>
      <c r="F87" s="335" t="str">
        <f>IFERROR(VLOOKUP(C87,FABCC!$E$9:$F$20,2,FALSE),"")</f>
        <v/>
      </c>
      <c r="G87" s="207"/>
      <c r="H87" s="346" t="str">
        <f>IFERROR(VLOOKUP($C87,FABCC!#REF!,3,FALSE),"")</f>
        <v/>
      </c>
      <c r="I87" s="552"/>
      <c r="J87" s="358"/>
      <c r="K87" s="348" t="str">
        <f t="shared" si="0"/>
        <v/>
      </c>
      <c r="L87" s="180"/>
    </row>
    <row r="88" spans="2:12" hidden="1" outlineLevel="1" x14ac:dyDescent="0.25">
      <c r="B88" s="205"/>
      <c r="C88" s="206"/>
      <c r="D88" s="207"/>
      <c r="E88" s="550"/>
      <c r="F88" s="335" t="str">
        <f>IFERROR(VLOOKUP(C88,FABCC!$E$9:$F$20,2,FALSE),"")</f>
        <v/>
      </c>
      <c r="G88" s="207"/>
      <c r="H88" s="346" t="str">
        <f>IFERROR(VLOOKUP($C88,FABCC!#REF!,3,FALSE),"")</f>
        <v/>
      </c>
      <c r="I88" s="552"/>
      <c r="J88" s="358"/>
      <c r="K88" s="348" t="str">
        <f t="shared" si="0"/>
        <v/>
      </c>
      <c r="L88" s="180"/>
    </row>
    <row r="89" spans="2:12" hidden="1" outlineLevel="1" x14ac:dyDescent="0.25">
      <c r="B89" s="205"/>
      <c r="C89" s="206"/>
      <c r="D89" s="207"/>
      <c r="E89" s="550"/>
      <c r="F89" s="335" t="str">
        <f>IFERROR(VLOOKUP(C89,FABCC!$E$9:$F$20,2,FALSE),"")</f>
        <v/>
      </c>
      <c r="G89" s="207"/>
      <c r="H89" s="346" t="str">
        <f>IFERROR(VLOOKUP($C89,FABCC!#REF!,3,FALSE),"")</f>
        <v/>
      </c>
      <c r="I89" s="552"/>
      <c r="J89" s="358"/>
      <c r="K89" s="348" t="str">
        <f t="shared" si="0"/>
        <v/>
      </c>
      <c r="L89" s="180"/>
    </row>
    <row r="90" spans="2:12" hidden="1" outlineLevel="1" x14ac:dyDescent="0.25">
      <c r="B90" s="205"/>
      <c r="C90" s="206"/>
      <c r="D90" s="207"/>
      <c r="E90" s="550"/>
      <c r="F90" s="335" t="str">
        <f>IFERROR(VLOOKUP(C90,FABCC!$E$9:$F$20,2,FALSE),"")</f>
        <v/>
      </c>
      <c r="G90" s="207"/>
      <c r="H90" s="346" t="str">
        <f>IFERROR(VLOOKUP($C90,FABCC!#REF!,3,FALSE),"")</f>
        <v/>
      </c>
      <c r="I90" s="552"/>
      <c r="J90" s="358"/>
      <c r="K90" s="348" t="str">
        <f t="shared" si="0"/>
        <v/>
      </c>
      <c r="L90" s="180"/>
    </row>
    <row r="91" spans="2:12" hidden="1" outlineLevel="1" x14ac:dyDescent="0.25">
      <c r="B91" s="205"/>
      <c r="C91" s="206"/>
      <c r="D91" s="207"/>
      <c r="E91" s="550"/>
      <c r="F91" s="335" t="str">
        <f>IFERROR(VLOOKUP(C91,FABCC!$E$9:$F$20,2,FALSE),"")</f>
        <v/>
      </c>
      <c r="G91" s="207"/>
      <c r="H91" s="346" t="str">
        <f>IFERROR(VLOOKUP($C91,FABCC!#REF!,3,FALSE),"")</f>
        <v/>
      </c>
      <c r="I91" s="552"/>
      <c r="J91" s="358"/>
      <c r="K91" s="348" t="str">
        <f t="shared" si="0"/>
        <v/>
      </c>
      <c r="L91" s="180"/>
    </row>
    <row r="92" spans="2:12" hidden="1" outlineLevel="1" x14ac:dyDescent="0.25">
      <c r="B92" s="205"/>
      <c r="C92" s="206"/>
      <c r="D92" s="207"/>
      <c r="E92" s="550"/>
      <c r="F92" s="335" t="str">
        <f>IFERROR(VLOOKUP(C92,FABCC!$E$9:$F$20,2,FALSE),"")</f>
        <v/>
      </c>
      <c r="G92" s="207"/>
      <c r="H92" s="346" t="str">
        <f>IFERROR(VLOOKUP($C92,FABCC!#REF!,3,FALSE),"")</f>
        <v/>
      </c>
      <c r="I92" s="552"/>
      <c r="J92" s="358"/>
      <c r="K92" s="348" t="str">
        <f t="shared" si="0"/>
        <v/>
      </c>
      <c r="L92" s="180"/>
    </row>
    <row r="93" spans="2:12" hidden="1" outlineLevel="1" x14ac:dyDescent="0.25">
      <c r="B93" s="205"/>
      <c r="C93" s="206"/>
      <c r="D93" s="207"/>
      <c r="E93" s="550"/>
      <c r="F93" s="335" t="str">
        <f>IFERROR(VLOOKUP(C93,FABCC!$E$9:$F$20,2,FALSE),"")</f>
        <v/>
      </c>
      <c r="G93" s="207"/>
      <c r="H93" s="346" t="str">
        <f>IFERROR(VLOOKUP($C93,FABCC!#REF!,3,FALSE),"")</f>
        <v/>
      </c>
      <c r="I93" s="552"/>
      <c r="J93" s="358"/>
      <c r="K93" s="348" t="str">
        <f t="shared" si="0"/>
        <v/>
      </c>
      <c r="L93" s="180"/>
    </row>
    <row r="94" spans="2:12" hidden="1" outlineLevel="1" x14ac:dyDescent="0.25">
      <c r="B94" s="205"/>
      <c r="C94" s="206"/>
      <c r="D94" s="207"/>
      <c r="E94" s="550"/>
      <c r="F94" s="335" t="str">
        <f>IFERROR(VLOOKUP(C94,FABCC!$E$9:$F$20,2,FALSE),"")</f>
        <v/>
      </c>
      <c r="G94" s="207"/>
      <c r="H94" s="346" t="str">
        <f>IFERROR(VLOOKUP($C94,FABCC!#REF!,3,FALSE),"")</f>
        <v/>
      </c>
      <c r="I94" s="552"/>
      <c r="J94" s="358"/>
      <c r="K94" s="348" t="str">
        <f t="shared" ref="K94:K128" si="1">IFERROR(IF(I94="",H94*E94/1000,I94*E94/1000),"")</f>
        <v/>
      </c>
      <c r="L94" s="180"/>
    </row>
    <row r="95" spans="2:12" hidden="1" outlineLevel="1" x14ac:dyDescent="0.25">
      <c r="B95" s="205"/>
      <c r="C95" s="206"/>
      <c r="D95" s="207"/>
      <c r="E95" s="550"/>
      <c r="F95" s="335" t="str">
        <f>IFERROR(VLOOKUP(C95,FABCC!$E$9:$F$20,2,FALSE),"")</f>
        <v/>
      </c>
      <c r="G95" s="207"/>
      <c r="H95" s="346" t="str">
        <f>IFERROR(VLOOKUP($C95,FABCC!#REF!,3,FALSE),"")</f>
        <v/>
      </c>
      <c r="I95" s="552"/>
      <c r="J95" s="358"/>
      <c r="K95" s="348" t="str">
        <f t="shared" si="1"/>
        <v/>
      </c>
      <c r="L95" s="180"/>
    </row>
    <row r="96" spans="2:12" hidden="1" outlineLevel="1" x14ac:dyDescent="0.25">
      <c r="B96" s="205"/>
      <c r="C96" s="206"/>
      <c r="D96" s="207"/>
      <c r="E96" s="550"/>
      <c r="F96" s="335" t="str">
        <f>IFERROR(VLOOKUP(C96,FABCC!$E$9:$F$20,2,FALSE),"")</f>
        <v/>
      </c>
      <c r="G96" s="207"/>
      <c r="H96" s="346" t="str">
        <f>IFERROR(VLOOKUP($C96,FABCC!#REF!,3,FALSE),"")</f>
        <v/>
      </c>
      <c r="I96" s="552"/>
      <c r="J96" s="358"/>
      <c r="K96" s="348" t="str">
        <f t="shared" si="1"/>
        <v/>
      </c>
      <c r="L96" s="180"/>
    </row>
    <row r="97" spans="2:12" hidden="1" outlineLevel="1" x14ac:dyDescent="0.25">
      <c r="B97" s="205"/>
      <c r="C97" s="206"/>
      <c r="D97" s="207"/>
      <c r="E97" s="550"/>
      <c r="F97" s="335" t="str">
        <f>IFERROR(VLOOKUP(C97,FABCC!$E$9:$F$20,2,FALSE),"")</f>
        <v/>
      </c>
      <c r="G97" s="207"/>
      <c r="H97" s="346" t="str">
        <f>IFERROR(VLOOKUP($C97,FABCC!#REF!,3,FALSE),"")</f>
        <v/>
      </c>
      <c r="I97" s="552"/>
      <c r="J97" s="358"/>
      <c r="K97" s="348" t="str">
        <f t="shared" si="1"/>
        <v/>
      </c>
      <c r="L97" s="180"/>
    </row>
    <row r="98" spans="2:12" hidden="1" outlineLevel="1" x14ac:dyDescent="0.25">
      <c r="B98" s="205"/>
      <c r="C98" s="206"/>
      <c r="D98" s="207"/>
      <c r="E98" s="550"/>
      <c r="F98" s="335" t="str">
        <f>IFERROR(VLOOKUP(C98,FABCC!$E$9:$F$20,2,FALSE),"")</f>
        <v/>
      </c>
      <c r="G98" s="207"/>
      <c r="H98" s="346" t="str">
        <f>IFERROR(VLOOKUP($C98,FABCC!#REF!,3,FALSE),"")</f>
        <v/>
      </c>
      <c r="I98" s="552"/>
      <c r="J98" s="358"/>
      <c r="K98" s="348" t="str">
        <f t="shared" si="1"/>
        <v/>
      </c>
      <c r="L98" s="180"/>
    </row>
    <row r="99" spans="2:12" hidden="1" outlineLevel="1" x14ac:dyDescent="0.25">
      <c r="B99" s="205"/>
      <c r="C99" s="206"/>
      <c r="D99" s="207"/>
      <c r="E99" s="550"/>
      <c r="F99" s="335" t="str">
        <f>IFERROR(VLOOKUP(C99,FABCC!$E$9:$F$20,2,FALSE),"")</f>
        <v/>
      </c>
      <c r="G99" s="207"/>
      <c r="H99" s="346" t="str">
        <f>IFERROR(VLOOKUP($C99,FABCC!#REF!,3,FALSE),"")</f>
        <v/>
      </c>
      <c r="I99" s="552"/>
      <c r="J99" s="358"/>
      <c r="K99" s="348" t="str">
        <f t="shared" si="1"/>
        <v/>
      </c>
      <c r="L99" s="180"/>
    </row>
    <row r="100" spans="2:12" hidden="1" outlineLevel="1" x14ac:dyDescent="0.25">
      <c r="B100" s="205"/>
      <c r="C100" s="206"/>
      <c r="D100" s="207"/>
      <c r="E100" s="550"/>
      <c r="F100" s="335" t="str">
        <f>IFERROR(VLOOKUP(C100,FABCC!$E$9:$F$20,2,FALSE),"")</f>
        <v/>
      </c>
      <c r="G100" s="207"/>
      <c r="H100" s="346" t="str">
        <f>IFERROR(VLOOKUP($C100,FABCC!#REF!,3,FALSE),"")</f>
        <v/>
      </c>
      <c r="I100" s="552"/>
      <c r="J100" s="358"/>
      <c r="K100" s="348" t="str">
        <f t="shared" si="1"/>
        <v/>
      </c>
      <c r="L100" s="180"/>
    </row>
    <row r="101" spans="2:12" hidden="1" outlineLevel="1" x14ac:dyDescent="0.25">
      <c r="B101" s="205"/>
      <c r="C101" s="206"/>
      <c r="D101" s="207"/>
      <c r="E101" s="550"/>
      <c r="F101" s="335" t="str">
        <f>IFERROR(VLOOKUP(C101,FABCC!$E$9:$F$20,2,FALSE),"")</f>
        <v/>
      </c>
      <c r="G101" s="207"/>
      <c r="H101" s="346" t="str">
        <f>IFERROR(VLOOKUP($C101,FABCC!#REF!,3,FALSE),"")</f>
        <v/>
      </c>
      <c r="I101" s="552"/>
      <c r="J101" s="358"/>
      <c r="K101" s="348" t="str">
        <f t="shared" si="1"/>
        <v/>
      </c>
      <c r="L101" s="180"/>
    </row>
    <row r="102" spans="2:12" hidden="1" outlineLevel="1" x14ac:dyDescent="0.25">
      <c r="B102" s="205"/>
      <c r="C102" s="206"/>
      <c r="D102" s="207"/>
      <c r="E102" s="550"/>
      <c r="F102" s="335" t="str">
        <f>IFERROR(VLOOKUP(C102,FABCC!$E$9:$F$20,2,FALSE),"")</f>
        <v/>
      </c>
      <c r="G102" s="207"/>
      <c r="H102" s="346" t="str">
        <f>IFERROR(VLOOKUP($C102,FABCC!#REF!,3,FALSE),"")</f>
        <v/>
      </c>
      <c r="I102" s="552"/>
      <c r="J102" s="358"/>
      <c r="K102" s="348" t="str">
        <f t="shared" si="1"/>
        <v/>
      </c>
      <c r="L102" s="180"/>
    </row>
    <row r="103" spans="2:12" hidden="1" outlineLevel="1" x14ac:dyDescent="0.25">
      <c r="B103" s="205"/>
      <c r="C103" s="206"/>
      <c r="D103" s="207"/>
      <c r="E103" s="550"/>
      <c r="F103" s="335" t="str">
        <f>IFERROR(VLOOKUP(C103,FABCC!$E$9:$F$20,2,FALSE),"")</f>
        <v/>
      </c>
      <c r="G103" s="207"/>
      <c r="H103" s="346" t="str">
        <f>IFERROR(VLOOKUP($C103,FABCC!#REF!,3,FALSE),"")</f>
        <v/>
      </c>
      <c r="I103" s="552"/>
      <c r="J103" s="358"/>
      <c r="K103" s="348" t="str">
        <f t="shared" si="1"/>
        <v/>
      </c>
      <c r="L103" s="180"/>
    </row>
    <row r="104" spans="2:12" hidden="1" outlineLevel="1" x14ac:dyDescent="0.25">
      <c r="B104" s="205"/>
      <c r="C104" s="206"/>
      <c r="D104" s="207"/>
      <c r="E104" s="550"/>
      <c r="F104" s="335" t="str">
        <f>IFERROR(VLOOKUP(C104,FABCC!$E$9:$F$20,2,FALSE),"")</f>
        <v/>
      </c>
      <c r="G104" s="207"/>
      <c r="H104" s="346" t="str">
        <f>IFERROR(VLOOKUP($C104,FABCC!#REF!,3,FALSE),"")</f>
        <v/>
      </c>
      <c r="I104" s="552"/>
      <c r="J104" s="358"/>
      <c r="K104" s="348" t="str">
        <f t="shared" si="1"/>
        <v/>
      </c>
      <c r="L104" s="180"/>
    </row>
    <row r="105" spans="2:12" hidden="1" outlineLevel="1" x14ac:dyDescent="0.25">
      <c r="B105" s="205"/>
      <c r="C105" s="206"/>
      <c r="D105" s="207"/>
      <c r="E105" s="550"/>
      <c r="F105" s="335" t="str">
        <f>IFERROR(VLOOKUP(C105,FABCC!$E$9:$F$20,2,FALSE),"")</f>
        <v/>
      </c>
      <c r="G105" s="207"/>
      <c r="H105" s="346" t="str">
        <f>IFERROR(VLOOKUP($C105,FABCC!#REF!,3,FALSE),"")</f>
        <v/>
      </c>
      <c r="I105" s="552"/>
      <c r="J105" s="358"/>
      <c r="K105" s="348" t="str">
        <f t="shared" si="1"/>
        <v/>
      </c>
      <c r="L105" s="180"/>
    </row>
    <row r="106" spans="2:12" hidden="1" outlineLevel="1" x14ac:dyDescent="0.25">
      <c r="B106" s="205"/>
      <c r="C106" s="206"/>
      <c r="D106" s="207"/>
      <c r="E106" s="550"/>
      <c r="F106" s="335" t="str">
        <f>IFERROR(VLOOKUP(C106,FABCC!$E$9:$F$20,2,FALSE),"")</f>
        <v/>
      </c>
      <c r="G106" s="207"/>
      <c r="H106" s="346" t="str">
        <f>IFERROR(VLOOKUP($C106,FABCC!#REF!,3,FALSE),"")</f>
        <v/>
      </c>
      <c r="I106" s="552"/>
      <c r="J106" s="358"/>
      <c r="K106" s="348" t="str">
        <f t="shared" si="1"/>
        <v/>
      </c>
      <c r="L106" s="180"/>
    </row>
    <row r="107" spans="2:12" hidden="1" outlineLevel="1" x14ac:dyDescent="0.25">
      <c r="B107" s="205"/>
      <c r="C107" s="206"/>
      <c r="D107" s="207"/>
      <c r="E107" s="550"/>
      <c r="F107" s="335" t="str">
        <f>IFERROR(VLOOKUP(C107,FABCC!$E$9:$F$20,2,FALSE),"")</f>
        <v/>
      </c>
      <c r="G107" s="207"/>
      <c r="H107" s="346" t="str">
        <f>IFERROR(VLOOKUP($C107,FABCC!#REF!,3,FALSE),"")</f>
        <v/>
      </c>
      <c r="I107" s="552"/>
      <c r="J107" s="358"/>
      <c r="K107" s="348" t="str">
        <f t="shared" si="1"/>
        <v/>
      </c>
      <c r="L107" s="180"/>
    </row>
    <row r="108" spans="2:12" hidden="1" outlineLevel="1" x14ac:dyDescent="0.25">
      <c r="B108" s="205"/>
      <c r="C108" s="206"/>
      <c r="D108" s="207"/>
      <c r="E108" s="550"/>
      <c r="F108" s="335" t="str">
        <f>IFERROR(VLOOKUP(C108,FABCC!$E$9:$F$20,2,FALSE),"")</f>
        <v/>
      </c>
      <c r="G108" s="207"/>
      <c r="H108" s="346" t="str">
        <f>IFERROR(VLOOKUP($C108,FABCC!#REF!,3,FALSE),"")</f>
        <v/>
      </c>
      <c r="I108" s="552"/>
      <c r="J108" s="358"/>
      <c r="K108" s="348" t="str">
        <f t="shared" si="1"/>
        <v/>
      </c>
      <c r="L108" s="180"/>
    </row>
    <row r="109" spans="2:12" hidden="1" outlineLevel="1" x14ac:dyDescent="0.25">
      <c r="B109" s="205"/>
      <c r="C109" s="206"/>
      <c r="D109" s="207"/>
      <c r="E109" s="550"/>
      <c r="F109" s="335" t="str">
        <f>IFERROR(VLOOKUP(C109,FABCC!$E$9:$F$20,2,FALSE),"")</f>
        <v/>
      </c>
      <c r="G109" s="207"/>
      <c r="H109" s="346" t="str">
        <f>IFERROR(VLOOKUP($C109,FABCC!#REF!,3,FALSE),"")</f>
        <v/>
      </c>
      <c r="I109" s="552"/>
      <c r="J109" s="358"/>
      <c r="K109" s="348" t="str">
        <f t="shared" si="1"/>
        <v/>
      </c>
      <c r="L109" s="180"/>
    </row>
    <row r="110" spans="2:12" hidden="1" outlineLevel="1" x14ac:dyDescent="0.25">
      <c r="B110" s="205"/>
      <c r="C110" s="206"/>
      <c r="D110" s="207"/>
      <c r="E110" s="550"/>
      <c r="F110" s="335" t="str">
        <f>IFERROR(VLOOKUP(C110,FABCC!$E$9:$F$20,2,FALSE),"")</f>
        <v/>
      </c>
      <c r="G110" s="207"/>
      <c r="H110" s="346" t="str">
        <f>IFERROR(VLOOKUP($C110,FABCC!#REF!,3,FALSE),"")</f>
        <v/>
      </c>
      <c r="I110" s="552"/>
      <c r="J110" s="358"/>
      <c r="K110" s="348" t="str">
        <f t="shared" si="1"/>
        <v/>
      </c>
      <c r="L110" s="180"/>
    </row>
    <row r="111" spans="2:12" hidden="1" outlineLevel="1" x14ac:dyDescent="0.25">
      <c r="B111" s="205"/>
      <c r="C111" s="206"/>
      <c r="D111" s="207"/>
      <c r="E111" s="550"/>
      <c r="F111" s="335" t="str">
        <f>IFERROR(VLOOKUP(C111,FABCC!$E$9:$F$20,2,FALSE),"")</f>
        <v/>
      </c>
      <c r="G111" s="207"/>
      <c r="H111" s="346" t="str">
        <f>IFERROR(VLOOKUP($C111,FABCC!#REF!,3,FALSE),"")</f>
        <v/>
      </c>
      <c r="I111" s="552"/>
      <c r="J111" s="358"/>
      <c r="K111" s="348" t="str">
        <f t="shared" si="1"/>
        <v/>
      </c>
      <c r="L111" s="180"/>
    </row>
    <row r="112" spans="2:12" hidden="1" outlineLevel="1" x14ac:dyDescent="0.25">
      <c r="B112" s="205"/>
      <c r="C112" s="206"/>
      <c r="D112" s="207"/>
      <c r="E112" s="550"/>
      <c r="F112" s="335" t="str">
        <f>IFERROR(VLOOKUP(C112,FABCC!$E$9:$F$20,2,FALSE),"")</f>
        <v/>
      </c>
      <c r="G112" s="207"/>
      <c r="H112" s="346" t="str">
        <f>IFERROR(VLOOKUP($C112,FABCC!#REF!,3,FALSE),"")</f>
        <v/>
      </c>
      <c r="I112" s="552"/>
      <c r="J112" s="358"/>
      <c r="K112" s="348" t="str">
        <f t="shared" si="1"/>
        <v/>
      </c>
      <c r="L112" s="180"/>
    </row>
    <row r="113" spans="2:12" hidden="1" outlineLevel="1" x14ac:dyDescent="0.25">
      <c r="B113" s="205"/>
      <c r="C113" s="206"/>
      <c r="D113" s="207"/>
      <c r="E113" s="550"/>
      <c r="F113" s="335" t="str">
        <f>IFERROR(VLOOKUP(C113,FABCC!$E$9:$F$20,2,FALSE),"")</f>
        <v/>
      </c>
      <c r="G113" s="207"/>
      <c r="H113" s="346" t="str">
        <f>IFERROR(VLOOKUP($C113,FABCC!#REF!,3,FALSE),"")</f>
        <v/>
      </c>
      <c r="I113" s="552"/>
      <c r="J113" s="358"/>
      <c r="K113" s="348" t="str">
        <f t="shared" si="1"/>
        <v/>
      </c>
      <c r="L113" s="180"/>
    </row>
    <row r="114" spans="2:12" hidden="1" outlineLevel="1" x14ac:dyDescent="0.25">
      <c r="B114" s="205"/>
      <c r="C114" s="206"/>
      <c r="D114" s="207"/>
      <c r="E114" s="550"/>
      <c r="F114" s="335" t="str">
        <f>IFERROR(VLOOKUP(C114,FABCC!$E$9:$F$20,2,FALSE),"")</f>
        <v/>
      </c>
      <c r="G114" s="207"/>
      <c r="H114" s="346" t="str">
        <f>IFERROR(VLOOKUP($C114,FABCC!#REF!,3,FALSE),"")</f>
        <v/>
      </c>
      <c r="I114" s="552"/>
      <c r="J114" s="358"/>
      <c r="K114" s="348" t="str">
        <f t="shared" si="1"/>
        <v/>
      </c>
      <c r="L114" s="180"/>
    </row>
    <row r="115" spans="2:12" hidden="1" outlineLevel="1" x14ac:dyDescent="0.25">
      <c r="B115" s="205"/>
      <c r="C115" s="206"/>
      <c r="D115" s="207"/>
      <c r="E115" s="550"/>
      <c r="F115" s="335" t="str">
        <f>IFERROR(VLOOKUP(C115,FABCC!$E$9:$F$20,2,FALSE),"")</f>
        <v/>
      </c>
      <c r="G115" s="207"/>
      <c r="H115" s="346" t="str">
        <f>IFERROR(VLOOKUP($C115,FABCC!#REF!,3,FALSE),"")</f>
        <v/>
      </c>
      <c r="I115" s="552"/>
      <c r="J115" s="358"/>
      <c r="K115" s="348" t="str">
        <f t="shared" si="1"/>
        <v/>
      </c>
      <c r="L115" s="180"/>
    </row>
    <row r="116" spans="2:12" hidden="1" outlineLevel="1" x14ac:dyDescent="0.25">
      <c r="B116" s="205"/>
      <c r="C116" s="206"/>
      <c r="D116" s="207"/>
      <c r="E116" s="550"/>
      <c r="F116" s="335" t="str">
        <f>IFERROR(VLOOKUP(C116,FABCC!$E$9:$F$20,2,FALSE),"")</f>
        <v/>
      </c>
      <c r="G116" s="207"/>
      <c r="H116" s="346" t="str">
        <f>IFERROR(VLOOKUP($C116,FABCC!#REF!,3,FALSE),"")</f>
        <v/>
      </c>
      <c r="I116" s="552"/>
      <c r="J116" s="358"/>
      <c r="K116" s="348" t="str">
        <f t="shared" si="1"/>
        <v/>
      </c>
      <c r="L116" s="180"/>
    </row>
    <row r="117" spans="2:12" hidden="1" outlineLevel="1" x14ac:dyDescent="0.25">
      <c r="B117" s="205"/>
      <c r="C117" s="206"/>
      <c r="D117" s="207"/>
      <c r="E117" s="550"/>
      <c r="F117" s="335" t="str">
        <f>IFERROR(VLOOKUP(C117,FABCC!$E$9:$F$20,2,FALSE),"")</f>
        <v/>
      </c>
      <c r="G117" s="207"/>
      <c r="H117" s="346" t="str">
        <f>IFERROR(VLOOKUP($C117,FABCC!#REF!,3,FALSE),"")</f>
        <v/>
      </c>
      <c r="I117" s="552"/>
      <c r="J117" s="358"/>
      <c r="K117" s="348" t="str">
        <f t="shared" si="1"/>
        <v/>
      </c>
      <c r="L117" s="180"/>
    </row>
    <row r="118" spans="2:12" hidden="1" outlineLevel="1" x14ac:dyDescent="0.25">
      <c r="B118" s="205"/>
      <c r="C118" s="206"/>
      <c r="D118" s="207"/>
      <c r="E118" s="550"/>
      <c r="F118" s="335" t="str">
        <f>IFERROR(VLOOKUP(C118,FABCC!$E$9:$F$20,2,FALSE),"")</f>
        <v/>
      </c>
      <c r="G118" s="207"/>
      <c r="H118" s="346" t="str">
        <f>IFERROR(VLOOKUP($C118,FABCC!#REF!,3,FALSE),"")</f>
        <v/>
      </c>
      <c r="I118" s="552"/>
      <c r="J118" s="358"/>
      <c r="K118" s="348" t="str">
        <f t="shared" si="1"/>
        <v/>
      </c>
      <c r="L118" s="180"/>
    </row>
    <row r="119" spans="2:12" hidden="1" outlineLevel="1" x14ac:dyDescent="0.25">
      <c r="B119" s="205"/>
      <c r="C119" s="206"/>
      <c r="D119" s="207"/>
      <c r="E119" s="550"/>
      <c r="F119" s="335" t="str">
        <f>IFERROR(VLOOKUP(C119,FABCC!$E$9:$F$20,2,FALSE),"")</f>
        <v/>
      </c>
      <c r="G119" s="207"/>
      <c r="H119" s="346" t="str">
        <f>IFERROR(VLOOKUP($C119,FABCC!#REF!,3,FALSE),"")</f>
        <v/>
      </c>
      <c r="I119" s="552"/>
      <c r="J119" s="358"/>
      <c r="K119" s="348" t="str">
        <f t="shared" si="1"/>
        <v/>
      </c>
      <c r="L119" s="180"/>
    </row>
    <row r="120" spans="2:12" hidden="1" outlineLevel="1" x14ac:dyDescent="0.25">
      <c r="B120" s="205"/>
      <c r="C120" s="206"/>
      <c r="D120" s="207"/>
      <c r="E120" s="550"/>
      <c r="F120" s="335" t="str">
        <f>IFERROR(VLOOKUP(C120,FABCC!$E$9:$F$20,2,FALSE),"")</f>
        <v/>
      </c>
      <c r="G120" s="207"/>
      <c r="H120" s="346" t="str">
        <f>IFERROR(VLOOKUP($C120,FABCC!#REF!,3,FALSE),"")</f>
        <v/>
      </c>
      <c r="I120" s="552"/>
      <c r="J120" s="358"/>
      <c r="K120" s="348" t="str">
        <f t="shared" si="1"/>
        <v/>
      </c>
      <c r="L120" s="180"/>
    </row>
    <row r="121" spans="2:12" hidden="1" outlineLevel="1" x14ac:dyDescent="0.25">
      <c r="B121" s="205"/>
      <c r="C121" s="206"/>
      <c r="D121" s="207"/>
      <c r="E121" s="550"/>
      <c r="F121" s="335" t="str">
        <f>IFERROR(VLOOKUP(C121,FABCC!$E$9:$F$20,2,FALSE),"")</f>
        <v/>
      </c>
      <c r="G121" s="207"/>
      <c r="H121" s="346" t="str">
        <f>IFERROR(VLOOKUP($C121,FABCC!#REF!,3,FALSE),"")</f>
        <v/>
      </c>
      <c r="I121" s="552"/>
      <c r="J121" s="358"/>
      <c r="K121" s="348" t="str">
        <f t="shared" si="1"/>
        <v/>
      </c>
      <c r="L121" s="180"/>
    </row>
    <row r="122" spans="2:12" hidden="1" outlineLevel="1" x14ac:dyDescent="0.25">
      <c r="B122" s="205"/>
      <c r="C122" s="206"/>
      <c r="D122" s="207"/>
      <c r="E122" s="550"/>
      <c r="F122" s="335" t="str">
        <f>IFERROR(VLOOKUP(C122,FABCC!$E$9:$F$20,2,FALSE),"")</f>
        <v/>
      </c>
      <c r="G122" s="207"/>
      <c r="H122" s="346" t="str">
        <f>IFERROR(VLOOKUP($C122,FABCC!#REF!,3,FALSE),"")</f>
        <v/>
      </c>
      <c r="I122" s="552"/>
      <c r="J122" s="358"/>
      <c r="K122" s="348" t="str">
        <f t="shared" si="1"/>
        <v/>
      </c>
      <c r="L122" s="180"/>
    </row>
    <row r="123" spans="2:12" hidden="1" outlineLevel="1" x14ac:dyDescent="0.25">
      <c r="B123" s="205"/>
      <c r="C123" s="206"/>
      <c r="D123" s="207"/>
      <c r="E123" s="550"/>
      <c r="F123" s="335" t="str">
        <f>IFERROR(VLOOKUP(C123,FABCC!$E$9:$F$20,2,FALSE),"")</f>
        <v/>
      </c>
      <c r="G123" s="207"/>
      <c r="H123" s="346" t="str">
        <f>IFERROR(VLOOKUP($C123,FABCC!#REF!,3,FALSE),"")</f>
        <v/>
      </c>
      <c r="I123" s="552"/>
      <c r="J123" s="358"/>
      <c r="K123" s="348" t="str">
        <f t="shared" si="1"/>
        <v/>
      </c>
      <c r="L123" s="180"/>
    </row>
    <row r="124" spans="2:12" hidden="1" outlineLevel="1" x14ac:dyDescent="0.25">
      <c r="B124" s="205"/>
      <c r="C124" s="206"/>
      <c r="D124" s="207"/>
      <c r="E124" s="550"/>
      <c r="F124" s="335" t="str">
        <f>IFERROR(VLOOKUP(C124,FABCC!$E$9:$F$20,2,FALSE),"")</f>
        <v/>
      </c>
      <c r="G124" s="207"/>
      <c r="H124" s="346" t="str">
        <f>IFERROR(VLOOKUP($C124,FABCC!#REF!,3,FALSE),"")</f>
        <v/>
      </c>
      <c r="I124" s="552"/>
      <c r="J124" s="358"/>
      <c r="K124" s="348" t="str">
        <f t="shared" si="1"/>
        <v/>
      </c>
      <c r="L124" s="180"/>
    </row>
    <row r="125" spans="2:12" hidden="1" outlineLevel="1" x14ac:dyDescent="0.25">
      <c r="B125" s="205"/>
      <c r="C125" s="206"/>
      <c r="D125" s="207"/>
      <c r="E125" s="550"/>
      <c r="F125" s="335" t="str">
        <f>IFERROR(VLOOKUP(C125,FABCC!$E$9:$F$20,2,FALSE),"")</f>
        <v/>
      </c>
      <c r="G125" s="207"/>
      <c r="H125" s="346" t="str">
        <f>IFERROR(VLOOKUP($C125,FABCC!#REF!,3,FALSE),"")</f>
        <v/>
      </c>
      <c r="I125" s="552"/>
      <c r="J125" s="358"/>
      <c r="K125" s="348" t="str">
        <f t="shared" si="1"/>
        <v/>
      </c>
      <c r="L125" s="180"/>
    </row>
    <row r="126" spans="2:12" hidden="1" outlineLevel="1" x14ac:dyDescent="0.25">
      <c r="B126" s="205"/>
      <c r="C126" s="206"/>
      <c r="D126" s="207"/>
      <c r="E126" s="550"/>
      <c r="F126" s="335" t="str">
        <f>IFERROR(VLOOKUP(C126,FABCC!$E$9:$F$20,2,FALSE),"")</f>
        <v/>
      </c>
      <c r="G126" s="207"/>
      <c r="H126" s="346" t="str">
        <f>IFERROR(VLOOKUP($C126,FABCC!#REF!,3,FALSE),"")</f>
        <v/>
      </c>
      <c r="I126" s="552"/>
      <c r="J126" s="358"/>
      <c r="K126" s="348" t="str">
        <f t="shared" si="1"/>
        <v/>
      </c>
      <c r="L126" s="180"/>
    </row>
    <row r="127" spans="2:12" hidden="1" outlineLevel="1" x14ac:dyDescent="0.25">
      <c r="B127" s="205"/>
      <c r="C127" s="206"/>
      <c r="D127" s="207"/>
      <c r="E127" s="550"/>
      <c r="F127" s="335" t="str">
        <f>IFERROR(VLOOKUP(C127,FABCC!$E$9:$F$20,2,FALSE),"")</f>
        <v/>
      </c>
      <c r="G127" s="207"/>
      <c r="H127" s="346" t="str">
        <f>IFERROR(VLOOKUP($C127,FABCC!#REF!,3,FALSE),"")</f>
        <v/>
      </c>
      <c r="I127" s="552"/>
      <c r="J127" s="358"/>
      <c r="K127" s="348" t="str">
        <f t="shared" si="1"/>
        <v/>
      </c>
      <c r="L127" s="180"/>
    </row>
    <row r="128" spans="2:12" hidden="1" outlineLevel="1" x14ac:dyDescent="0.25">
      <c r="B128" s="205"/>
      <c r="C128" s="206"/>
      <c r="D128" s="207"/>
      <c r="E128" s="550"/>
      <c r="F128" s="335" t="str">
        <f>IFERROR(VLOOKUP(C128,FABCC!$E$9:$F$20,2,FALSE),"")</f>
        <v/>
      </c>
      <c r="G128" s="207"/>
      <c r="H128" s="346" t="str">
        <f>IFERROR(VLOOKUP($C128,FABCC!#REF!,3,FALSE),"")</f>
        <v/>
      </c>
      <c r="I128" s="552"/>
      <c r="J128" s="358"/>
      <c r="K128" s="348" t="str">
        <f t="shared" si="1"/>
        <v/>
      </c>
      <c r="L128" s="180"/>
    </row>
    <row r="129" spans="2:17" ht="24.6" customHeight="1" collapsed="1" x14ac:dyDescent="0.25">
      <c r="B129" s="216" t="s">
        <v>37</v>
      </c>
      <c r="C129" s="217"/>
      <c r="D129" s="217"/>
      <c r="E129" s="538"/>
      <c r="F129" s="217"/>
      <c r="G129" s="217"/>
      <c r="H129" s="217"/>
      <c r="I129" s="539"/>
      <c r="J129" s="232"/>
      <c r="K129" s="348">
        <f>SUM(K29:K128)</f>
        <v>0</v>
      </c>
    </row>
    <row r="130" spans="2:17" s="168" customFormat="1" ht="24.6" customHeight="1" x14ac:dyDescent="0.25">
      <c r="B130" s="208"/>
      <c r="C130" s="209"/>
      <c r="D130" s="209"/>
      <c r="E130" s="209"/>
      <c r="F130" s="209"/>
      <c r="G130" s="209"/>
      <c r="H130" s="210"/>
      <c r="I130" s="210"/>
      <c r="J130" s="210"/>
    </row>
    <row r="131" spans="2:17" x14ac:dyDescent="0.25"/>
    <row r="132" spans="2:17" x14ac:dyDescent="0.25"/>
    <row r="133" spans="2:17" s="332" customFormat="1" ht="30" customHeight="1" x14ac:dyDescent="0.25">
      <c r="B133" s="231" t="s">
        <v>604</v>
      </c>
    </row>
    <row r="134" spans="2:17" x14ac:dyDescent="0.25"/>
    <row r="135" spans="2:17" x14ac:dyDescent="0.25">
      <c r="F135" s="1432" t="s">
        <v>550</v>
      </c>
      <c r="G135" s="1433"/>
      <c r="H135" s="1434"/>
    </row>
    <row r="136" spans="2:17" s="249" customFormat="1" x14ac:dyDescent="0.25">
      <c r="F136" s="256" t="e">
        <f>'Emissões Fugitivas'!#REF!</f>
        <v>#REF!</v>
      </c>
      <c r="G136" s="257" t="s">
        <v>33</v>
      </c>
      <c r="H136" s="258" t="s">
        <v>246</v>
      </c>
    </row>
    <row r="137" spans="2:17" ht="18.75" x14ac:dyDescent="0.25">
      <c r="C137" s="1432" t="s">
        <v>980</v>
      </c>
      <c r="D137" s="1433"/>
      <c r="E137" s="1434"/>
      <c r="F137" s="536">
        <f>SUMIF($B$29:$B$128,F$136,$K$29:$K$128)</f>
        <v>0</v>
      </c>
      <c r="G137" s="536">
        <f>SUMIF($B$29:$B$128,G$136,$K$29:$K$128)</f>
        <v>0</v>
      </c>
      <c r="H137" s="536">
        <f>SUMIF($B$29:$B$128,H$136,$K$29:$K$128)</f>
        <v>0</v>
      </c>
      <c r="I137" s="220" t="s">
        <v>37</v>
      </c>
    </row>
    <row r="138" spans="2:17" ht="18.75" x14ac:dyDescent="0.25">
      <c r="C138" s="1432" t="s">
        <v>981</v>
      </c>
      <c r="D138" s="1433"/>
      <c r="E138" s="1434"/>
      <c r="F138" s="536" t="e">
        <f>IF(Identificação!#REF!="", F137*'Fatores de Emissão'!#REF!, Identificação!#REF!*F137)</f>
        <v>#REF!</v>
      </c>
      <c r="G138" s="536" t="e">
        <f>IF(Identificação!#REF!="", G137*'Fatores de Emissão'!#REF!, Identificação!#REF!*G137)</f>
        <v>#REF!</v>
      </c>
      <c r="H138" s="536" t="e">
        <f>IF(Identificação!#REF!="", H137*'Fatores de Emissão'!#REF!, Identificação!#REF!*H137)</f>
        <v>#REF!</v>
      </c>
      <c r="I138" s="536" t="e">
        <f>SUM(F138:H138)</f>
        <v>#REF!</v>
      </c>
    </row>
    <row r="139" spans="2:17" x14ac:dyDescent="0.25"/>
    <row r="140" spans="2:17" x14ac:dyDescent="0.25"/>
    <row r="141" spans="2:17" ht="19.899999999999999" customHeight="1" x14ac:dyDescent="0.25">
      <c r="B141" s="234"/>
      <c r="C141" s="234"/>
      <c r="D141" s="234"/>
      <c r="E141" s="234"/>
      <c r="F141" s="234"/>
      <c r="G141" s="234"/>
      <c r="H141" s="234"/>
      <c r="I141" s="234"/>
      <c r="J141" s="234"/>
      <c r="K141" s="234"/>
      <c r="L141" s="234"/>
      <c r="M141" s="234"/>
      <c r="N141" s="234"/>
      <c r="O141" s="234"/>
      <c r="P141" s="234"/>
      <c r="Q141" s="234"/>
    </row>
    <row r="142" spans="2:17" ht="19.899999999999999" customHeight="1" x14ac:dyDescent="0.25">
      <c r="B142" s="234"/>
      <c r="C142" s="234"/>
      <c r="D142" s="234"/>
      <c r="E142" s="234"/>
      <c r="F142" s="234"/>
      <c r="G142" s="234"/>
      <c r="H142" s="234"/>
      <c r="I142" s="234"/>
      <c r="J142" s="234"/>
      <c r="K142" s="234"/>
      <c r="L142" s="234"/>
      <c r="M142" s="234"/>
      <c r="N142" s="234"/>
      <c r="O142" s="234"/>
      <c r="P142" s="234"/>
      <c r="Q142" s="234"/>
    </row>
    <row r="143" spans="2:17" x14ac:dyDescent="0.25"/>
    <row r="144" spans="2:17"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sheetData>
  <sheetProtection formatRows="0" selectLockedCells="1"/>
  <protectedRanges>
    <protectedRange sqref="B29:E128 G29:G128 I29:I128" name="PI1"/>
  </protectedRanges>
  <mergeCells count="13">
    <mergeCell ref="F135:H135"/>
    <mergeCell ref="K26:K27"/>
    <mergeCell ref="C137:E137"/>
    <mergeCell ref="C138:E138"/>
    <mergeCell ref="D8:J8"/>
    <mergeCell ref="B21:K21"/>
    <mergeCell ref="B22:K22"/>
    <mergeCell ref="B13:K13"/>
    <mergeCell ref="B26:B27"/>
    <mergeCell ref="C26:C27"/>
    <mergeCell ref="D26:D27"/>
    <mergeCell ref="E26:G26"/>
    <mergeCell ref="H26:J26"/>
  </mergeCells>
  <conditionalFormatting sqref="I29:I128">
    <cfRule type="expression" dxfId="1" priority="158">
      <formula>OR(#REF!&gt;0, #REF!&gt;0, #REF!&gt;0, #REF!&gt;0)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59" id="{42FA4F16-AED7-4D4A-B172-F4BE9CBC35D9}">
            <xm:f>VLOOKUP(C29, FABCC!$E$9:$F$20, 2, FALSE)=FABCC!$F$17</xm:f>
            <x14:dxf>
              <font>
                <color auto="1"/>
              </font>
              <fill>
                <patternFill>
                  <bgColor theme="8" tint="0.59996337778862885"/>
                </patternFill>
              </fill>
            </x14:dxf>
          </x14:cfRule>
          <xm:sqref>D29:D128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974E1798-08CA-41CF-83A1-98E774493FC0}">
          <x14:formula1>
            <xm:f>'Fatores de Emissão'!$C$258:$C$291</xm:f>
          </x14:formula1>
          <xm:sqref>Y28:Y39</xm:sqref>
        </x14:dataValidation>
        <x14:dataValidation type="list" allowBlank="1" showInputMessage="1" showErrorMessage="1" xr:uid="{1EBD6C00-112E-4474-A041-691F2823F779}">
          <x14:formula1>
            <xm:f>FAEI!$A$10:$A$12</xm:f>
          </x14:formula1>
          <xm:sqref>B28:B128</xm:sqref>
        </x14:dataValidation>
        <x14:dataValidation type="list" allowBlank="1" showInputMessage="1" showErrorMessage="1" xr:uid="{5BFF3DDA-7576-46DB-B4CD-7B5431799977}">
          <x14:formula1>
            <xm:f>FABCC!$E$9:$E$20</xm:f>
          </x14:formula1>
          <xm:sqref>C29:C128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434F-EC6B-4F63-B749-26AD78F8E8A3}">
  <dimension ref="D7:I20"/>
  <sheetViews>
    <sheetView showGridLines="0" zoomScale="70" zoomScaleNormal="70" workbookViewId="0">
      <selection activeCell="E20" sqref="E20"/>
    </sheetView>
  </sheetViews>
  <sheetFormatPr defaultRowHeight="15" x14ac:dyDescent="0.25"/>
  <cols>
    <col min="1" max="1" width="4.75" customWidth="1"/>
    <col min="2" max="2" width="13.75" bestFit="1" customWidth="1"/>
    <col min="3" max="3" width="10.5" bestFit="1" customWidth="1"/>
    <col min="4" max="4" width="31.875" customWidth="1"/>
    <col min="5" max="5" width="13" customWidth="1"/>
    <col min="8" max="8" width="26.625" customWidth="1"/>
  </cols>
  <sheetData>
    <row r="7" spans="4:9" x14ac:dyDescent="0.25">
      <c r="D7" s="49" t="s">
        <v>789</v>
      </c>
    </row>
    <row r="8" spans="4:9" x14ac:dyDescent="0.25">
      <c r="D8" s="535" t="s">
        <v>782</v>
      </c>
      <c r="E8" s="535" t="s">
        <v>964</v>
      </c>
      <c r="F8" s="535" t="s">
        <v>26</v>
      </c>
      <c r="G8" s="535" t="s">
        <v>709</v>
      </c>
      <c r="H8" s="535" t="s">
        <v>788</v>
      </c>
      <c r="I8" s="49"/>
    </row>
    <row r="9" spans="4:9" x14ac:dyDescent="0.25">
      <c r="D9" s="22" t="str">
        <f>FAEI!K13</f>
        <v>1. Produção de cimento</v>
      </c>
      <c r="E9" s="22" t="str">
        <f>'Fatores de Emissão'!E218</f>
        <v>Clínquer</v>
      </c>
      <c r="F9" s="22" t="str">
        <f>FAEI!L13</f>
        <v>toneladas de clínquer</v>
      </c>
      <c r="G9" s="22">
        <f>FAEI!M13</f>
        <v>0.51453247183284423</v>
      </c>
      <c r="H9" s="22" t="str">
        <f>FAEI!N13</f>
        <v>kg CO2e / toneladas de clínquer</v>
      </c>
    </row>
    <row r="10" spans="4:9" x14ac:dyDescent="0.25">
      <c r="D10" s="22" t="str">
        <f>FAEI!K14</f>
        <v>2. Produção de cal</v>
      </c>
      <c r="E10" s="22" t="str">
        <f>'Fatores de Emissão'!E219</f>
        <v>Cal</v>
      </c>
      <c r="F10" s="22" t="str">
        <f>FAEI!L14</f>
        <v>toneladas de cal</v>
      </c>
      <c r="G10" s="22">
        <f>FAEI!M14</f>
        <v>0.68296562113745141</v>
      </c>
      <c r="H10" s="22" t="str">
        <f>FAEI!N14</f>
        <v>kg CO2e / toneladas de cal</v>
      </c>
    </row>
    <row r="11" spans="4:9" x14ac:dyDescent="0.25">
      <c r="D11" s="22" t="str">
        <f>FAEI!K15</f>
        <v>3. Produção de vidro</v>
      </c>
      <c r="E11" s="22" t="str">
        <f>'Fatores de Emissão'!E220</f>
        <v>Vidro</v>
      </c>
      <c r="F11" s="22" t="str">
        <f>FAEI!L15</f>
        <v>toneladas de vidro</v>
      </c>
      <c r="G11" s="22">
        <f>FAEI!M15</f>
        <v>8.8304228737939222E-2</v>
      </c>
      <c r="H11" s="22" t="str">
        <f>FAEI!N15</f>
        <v>kg CO2e / toneladas de vidro</v>
      </c>
    </row>
    <row r="12" spans="4:9" x14ac:dyDescent="0.25">
      <c r="D12" s="22" t="str">
        <f>FAEI!K16</f>
        <v>4. Produção cerâmica</v>
      </c>
      <c r="E12" s="22" t="str">
        <f>'Fatores de Emissão'!E221</f>
        <v>Carbonatos consumidos</v>
      </c>
      <c r="F12" s="22" t="str">
        <f>FAEI!L16</f>
        <v>toneladas de carbonatos consumidos</v>
      </c>
      <c r="G12" s="22">
        <f>FAEI!M16</f>
        <v>26.577798378660646</v>
      </c>
      <c r="H12" s="22" t="str">
        <f>FAEI!N16</f>
        <v>kg CO2e / toneladas de carbonatos consumidos</v>
      </c>
    </row>
    <row r="13" spans="4:9" x14ac:dyDescent="0.25">
      <c r="D13" s="22" t="str">
        <f>FAEI!K17</f>
        <v>5. Produção de ácido nítrico</v>
      </c>
      <c r="E13" s="22" t="str">
        <f>'Fatores de Emissão'!E222</f>
        <v>Ácido nítrico</v>
      </c>
      <c r="F13" s="22" t="str">
        <f>FAEI!L17</f>
        <v>toneladas de ácido nítrico</v>
      </c>
      <c r="G13" s="22">
        <f>FAEI!M17</f>
        <v>96.255443240522112</v>
      </c>
      <c r="H13" s="22" t="str">
        <f>FAEI!N17</f>
        <v>kg CO2e / toneladas de ácido nítrico</v>
      </c>
    </row>
    <row r="14" spans="4:9" x14ac:dyDescent="0.25">
      <c r="D14" s="22" t="str">
        <f>FAEI!K18</f>
        <v>6. Produção de etileno</v>
      </c>
      <c r="E14" s="22" t="str">
        <f>'Fatores de Emissão'!E223</f>
        <v>Etileno</v>
      </c>
      <c r="F14" s="22" t="str">
        <f>FAEI!L18</f>
        <v>toneladas de etileno</v>
      </c>
      <c r="G14" s="22">
        <f>FAEI!M18</f>
        <v>1.73</v>
      </c>
      <c r="H14" s="22" t="str">
        <f>FAEI!N18</f>
        <v>kg CO2e / toneladas de etileno</v>
      </c>
    </row>
    <row r="15" spans="4:9" x14ac:dyDescent="0.25">
      <c r="D15" s="22" t="str">
        <f>FAEI!K19</f>
        <v>7. Produção de aço</v>
      </c>
      <c r="E15" s="22" t="str">
        <f>'Fatores de Emissão'!E224</f>
        <v>Aço</v>
      </c>
      <c r="F15" s="22" t="str">
        <f>FAEI!L19</f>
        <v>toneladas de aço</v>
      </c>
      <c r="G15" s="22">
        <f>FAEI!M19</f>
        <v>3.4417139239534635E-2</v>
      </c>
      <c r="H15" s="22" t="str">
        <f>FAEI!N19</f>
        <v>kg CO2e / toneladas de aço</v>
      </c>
    </row>
    <row r="16" spans="4:9" x14ac:dyDescent="0.25">
      <c r="D16" s="22" t="str">
        <f>FAEI!K20</f>
        <v>8. Produção de chumbo</v>
      </c>
      <c r="E16" s="22" t="str">
        <f>'Fatores de Emissão'!E225</f>
        <v>Chumbo</v>
      </c>
      <c r="F16" s="22" t="str">
        <f>FAEI!L20</f>
        <v>toneladas de chumbo</v>
      </c>
      <c r="G16" s="22">
        <f>FAEI!M20</f>
        <v>0.52</v>
      </c>
      <c r="H16" s="22" t="str">
        <f>FAEI!N20</f>
        <v>kg CO2e / toneladas de chumbo</v>
      </c>
    </row>
    <row r="17" spans="4:8" ht="18" x14ac:dyDescent="0.35">
      <c r="D17" s="22" t="str">
        <f>FAEI!K21</f>
        <v>9. Outros</v>
      </c>
      <c r="E17" s="229" t="s">
        <v>972</v>
      </c>
      <c r="F17" s="229" t="str">
        <f>FAEI!L21</f>
        <v>(indique a unidade no campo ao lado)</v>
      </c>
      <c r="G17" s="22"/>
      <c r="H17" s="22" t="s">
        <v>975</v>
      </c>
    </row>
    <row r="18" spans="4:8" x14ac:dyDescent="0.25">
      <c r="D18" s="22">
        <f>FAEI!P22</f>
        <v>0</v>
      </c>
      <c r="E18" s="229" t="s">
        <v>973</v>
      </c>
      <c r="F18" s="229" t="str">
        <f>F17</f>
        <v>(indique a unidade no campo ao lado)</v>
      </c>
      <c r="G18" s="22"/>
      <c r="H18" s="22">
        <f>FAEI!S22</f>
        <v>0</v>
      </c>
    </row>
    <row r="19" spans="4:8" x14ac:dyDescent="0.25">
      <c r="D19" s="22" t="e">
        <f>FAEI!#REF!</f>
        <v>#REF!</v>
      </c>
      <c r="E19" s="229" t="s">
        <v>974</v>
      </c>
      <c r="F19" s="229" t="str">
        <f>F18</f>
        <v>(indique a unidade no campo ao lado)</v>
      </c>
      <c r="G19" s="22"/>
      <c r="H19" s="22" t="e">
        <f>FAEI!#REF!</f>
        <v>#REF!</v>
      </c>
    </row>
    <row r="20" spans="4:8" x14ac:dyDescent="0.25">
      <c r="D20" s="22" t="str">
        <f>FAEI!K21</f>
        <v>9. Outros</v>
      </c>
      <c r="E20" s="229" t="s">
        <v>301</v>
      </c>
      <c r="F20" s="22" t="str">
        <f>FAEI!L21</f>
        <v>(indique a unidade no campo ao lado)</v>
      </c>
      <c r="G20" s="22"/>
      <c r="H20" s="22">
        <f>FAEI!N21</f>
        <v>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8DE93-0073-41B6-B6C0-130B99864E47}">
  <sheetPr>
    <tabColor theme="4"/>
  </sheetPr>
  <dimension ref="A9:N21"/>
  <sheetViews>
    <sheetView showGridLines="0" zoomScale="70" zoomScaleNormal="70" workbookViewId="0">
      <selection activeCell="C19" sqref="C19"/>
    </sheetView>
  </sheetViews>
  <sheetFormatPr defaultColWidth="0" defaultRowHeight="18.75" x14ac:dyDescent="0.3"/>
  <cols>
    <col min="1" max="1" width="8.625" style="261" customWidth="1"/>
    <col min="2" max="2" width="90.5" style="261" customWidth="1"/>
    <col min="3" max="3" width="19" style="261" customWidth="1"/>
    <col min="4" max="4" width="53" style="261" customWidth="1"/>
    <col min="5" max="6" width="64.625" style="261" customWidth="1"/>
    <col min="7" max="7" width="83.75" style="749" customWidth="1"/>
    <col min="8" max="14" width="0" style="261" hidden="1" customWidth="1"/>
    <col min="15" max="16384" width="7.625" style="261" hidden="1"/>
  </cols>
  <sheetData>
    <row r="9" spans="2:7" ht="85.15" customHeight="1" x14ac:dyDescent="0.3">
      <c r="B9" s="1170" t="s">
        <v>1709</v>
      </c>
      <c r="C9" s="1170"/>
      <c r="D9" s="1170"/>
      <c r="E9" s="1170"/>
      <c r="F9" s="748"/>
      <c r="G9" s="748"/>
    </row>
    <row r="10" spans="2:7" ht="14.45" customHeight="1" x14ac:dyDescent="0.3">
      <c r="B10" s="748"/>
      <c r="C10" s="748"/>
      <c r="D10" s="748"/>
      <c r="E10" s="748"/>
      <c r="F10" s="748"/>
      <c r="G10" s="748"/>
    </row>
    <row r="11" spans="2:7" ht="21" customHeight="1" x14ac:dyDescent="0.3">
      <c r="B11" s="1171" t="s">
        <v>0</v>
      </c>
      <c r="C11" s="1171"/>
      <c r="D11" s="1171"/>
      <c r="E11" s="1171"/>
      <c r="F11" s="749"/>
    </row>
    <row r="12" spans="2:7" ht="21" customHeight="1" x14ac:dyDescent="0.3">
      <c r="B12" s="1172" t="s">
        <v>1573</v>
      </c>
      <c r="C12" s="1172"/>
      <c r="D12" s="1172"/>
      <c r="E12" s="1172"/>
      <c r="F12" s="749"/>
    </row>
    <row r="13" spans="2:7" ht="21" customHeight="1" x14ac:dyDescent="0.3">
      <c r="B13" s="1172" t="s">
        <v>1702</v>
      </c>
      <c r="C13" s="1172"/>
      <c r="D13" s="1172"/>
      <c r="E13" s="1172"/>
      <c r="F13" s="749"/>
    </row>
    <row r="14" spans="2:7" ht="21" customHeight="1" x14ac:dyDescent="0.3">
      <c r="B14" s="1173" t="s">
        <v>1575</v>
      </c>
      <c r="C14" s="1173"/>
      <c r="D14" s="1173"/>
      <c r="E14" s="1173"/>
    </row>
    <row r="15" spans="2:7" ht="21" customHeight="1" x14ac:dyDescent="0.3">
      <c r="B15" s="1169"/>
      <c r="C15" s="1169"/>
      <c r="D15" s="1169"/>
      <c r="E15" s="1169"/>
    </row>
    <row r="16" spans="2:7" x14ac:dyDescent="0.3">
      <c r="C16" s="750"/>
      <c r="D16" s="750"/>
    </row>
    <row r="17" spans="2:6" ht="23.25" x14ac:dyDescent="0.35">
      <c r="B17" s="751" t="s">
        <v>1156</v>
      </c>
      <c r="C17" s="750"/>
      <c r="D17" s="750"/>
    </row>
    <row r="18" spans="2:6" ht="37.5" x14ac:dyDescent="0.3">
      <c r="B18" s="752" t="s">
        <v>1155</v>
      </c>
      <c r="C18" s="752" t="s">
        <v>1189</v>
      </c>
      <c r="D18" s="752" t="s">
        <v>1703</v>
      </c>
      <c r="E18" s="752" t="s">
        <v>1574</v>
      </c>
    </row>
    <row r="19" spans="2:6" ht="174.75" customHeight="1" x14ac:dyDescent="0.3">
      <c r="B19" s="753" t="s">
        <v>1620</v>
      </c>
      <c r="C19" s="266"/>
      <c r="D19" s="754" t="str">
        <f>IF(C19="","",IF(C19=Listas!$F$3,Listas!$I$2, "-"))</f>
        <v/>
      </c>
      <c r="E19" s="755" t="str">
        <f>IF(C19="","", IF(C19=Listas!$F$3,Listas!$I$5,IF(C19=Listas!$F$4,"-")))</f>
        <v/>
      </c>
    </row>
    <row r="20" spans="2:6" ht="176.25" customHeight="1" x14ac:dyDescent="0.3">
      <c r="B20" s="756" t="s">
        <v>1720</v>
      </c>
      <c r="C20" s="266"/>
      <c r="D20" s="754" t="str">
        <f>IF(C20="","", IF(C20=Listas!$F$3,Listas!$I$3, Listas!$I$2))</f>
        <v/>
      </c>
      <c r="E20" s="757" t="str">
        <f>IF(C20="","", IF(C20=Listas!$F$4,Listas!$I$5,IF(C20=Listas!$F$3,Listas!$I$9)))</f>
        <v/>
      </c>
      <c r="F20" s="260"/>
    </row>
    <row r="21" spans="2:6" ht="124.5" customHeight="1" x14ac:dyDescent="0.3">
      <c r="B21" s="756" t="s">
        <v>1721</v>
      </c>
      <c r="C21" s="266"/>
      <c r="D21" s="754" t="str">
        <f>IF(C21="", "", IF(C21=Listas!$F$3,Listas!$I$3, Listas!$I$2))</f>
        <v/>
      </c>
      <c r="E21" s="757" t="str">
        <f>IF(C21="","", IF(C21=Listas!$F$4,Listas!$I$5,IF(C21=Listas!$F$3,Listas!$I$7)))</f>
        <v/>
      </c>
    </row>
  </sheetData>
  <sheetProtection algorithmName="SHA-512" hashValue="EyfbVbZgp4njyRK2pDajsHduFzrdPjTpfp9kT7gX1AQqBwQIfyfqoz1l/ERh0gdnwo9NfwU/jBYpvHIVlZSRwA==" saltValue="dNJkZO3bgV5FkEn6dCsc0g==" spinCount="100000" sheet="1" objects="1" scenarios="1" selectLockedCells="1"/>
  <protectedRanges>
    <protectedRange sqref="C19:D21" name="Dados gerais"/>
  </protectedRanges>
  <mergeCells count="6">
    <mergeCell ref="B15:E15"/>
    <mergeCell ref="B9:E9"/>
    <mergeCell ref="B11:E11"/>
    <mergeCell ref="B12:E12"/>
    <mergeCell ref="B13:E13"/>
    <mergeCell ref="B14:E14"/>
  </mergeCells>
  <conditionalFormatting sqref="D19:E19">
    <cfRule type="expression" dxfId="81" priority="3">
      <formula>$C$19="Não"</formula>
    </cfRule>
  </conditionalFormatting>
  <conditionalFormatting sqref="E20">
    <cfRule type="expression" dxfId="80" priority="1">
      <formula>$C$20="Sim"</formula>
    </cfRule>
  </conditionalFormatting>
  <dataValidations count="1">
    <dataValidation showInputMessage="1" showErrorMessage="1" error="Falta responder a esta questão" prompt="a responder" sqref="D19:D1048576" xr:uid="{AC27D78A-D63B-442A-BA49-91192891556D}"/>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Falta responder a esta questão" prompt="a responder" xr:uid="{40A4C040-D008-4E8B-B59E-CBD7394A3CD2}">
          <x14:formula1>
            <xm:f>Listas!$F$3:$F$4</xm:f>
          </x14:formula1>
          <xm:sqref>C19:C21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D7EA0-A11D-4498-B068-E5782536973B}">
  <sheetPr>
    <tabColor theme="2" tint="-9.9978637043366805E-2"/>
  </sheetPr>
  <dimension ref="A1:AE235"/>
  <sheetViews>
    <sheetView showGridLines="0" topLeftCell="A6" zoomScale="70" zoomScaleNormal="70" workbookViewId="0">
      <selection activeCell="D35" sqref="D35"/>
    </sheetView>
  </sheetViews>
  <sheetFormatPr defaultColWidth="0" defaultRowHeight="15.6" customHeight="1" zeroHeight="1" outlineLevelRow="1" x14ac:dyDescent="0.25"/>
  <cols>
    <col min="1" max="1" width="9.625" style="166" customWidth="1"/>
    <col min="2" max="2" width="14.625" style="166" customWidth="1"/>
    <col min="3" max="3" width="22" style="166" customWidth="1"/>
    <col min="4" max="4" width="31" style="166" customWidth="1"/>
    <col min="5" max="5" width="17.625" style="166" customWidth="1"/>
    <col min="6" max="6" width="24.625" style="166" customWidth="1"/>
    <col min="7" max="7" width="28.25" style="166" customWidth="1"/>
    <col min="8" max="9" width="30.625" style="166" customWidth="1"/>
    <col min="10" max="10" width="37.375" style="166" customWidth="1"/>
    <col min="11" max="11" width="33.875" style="166" customWidth="1"/>
    <col min="12" max="12" width="15.625" style="166" customWidth="1"/>
    <col min="13" max="13" width="12.25" style="166" customWidth="1"/>
    <col min="14" max="14" width="13.25" style="166" customWidth="1"/>
    <col min="15" max="15" width="30.625" style="166" customWidth="1"/>
    <col min="16" max="16" width="38.25" style="166" customWidth="1"/>
    <col min="17" max="17" width="22.625" style="166" customWidth="1"/>
    <col min="18" max="27" width="8.625" style="166" customWidth="1"/>
    <col min="28" max="31" width="0" style="166" hidden="1" customWidth="1"/>
    <col min="32" max="16384" width="7.625" style="166" hidden="1"/>
  </cols>
  <sheetData>
    <row r="1" spans="2:17" ht="15.75" x14ac:dyDescent="0.25"/>
    <row r="2" spans="2:17" ht="15.75" x14ac:dyDescent="0.25"/>
    <row r="3" spans="2:17" ht="15.75" x14ac:dyDescent="0.25"/>
    <row r="4" spans="2:17" ht="15.75" x14ac:dyDescent="0.25"/>
    <row r="5" spans="2:17" ht="15.75" x14ac:dyDescent="0.25"/>
    <row r="6" spans="2:17" ht="15.75" x14ac:dyDescent="0.25"/>
    <row r="7" spans="2:17" ht="15.75" x14ac:dyDescent="0.25"/>
    <row r="8" spans="2:17" ht="18.75" x14ac:dyDescent="0.3">
      <c r="D8" s="1431" t="e">
        <f>IF(Triagem!#REF!="","Não indicou na TRIAGEM se esta folha se adequa ao projeto",IF(Triagem!#REF!="Não","Não necessita de preencher esta folha","Folha a ser preenchida"))</f>
        <v>#REF!</v>
      </c>
      <c r="E8" s="1431"/>
      <c r="F8" s="1431"/>
      <c r="G8" s="1431"/>
      <c r="H8" s="1431"/>
      <c r="I8" s="1431"/>
      <c r="J8" s="1431"/>
      <c r="K8" s="259"/>
    </row>
    <row r="9" spans="2:17" ht="15.75" x14ac:dyDescent="0.25"/>
    <row r="10" spans="2:17" ht="15.75" x14ac:dyDescent="0.25"/>
    <row r="11" spans="2:17" ht="18.75" x14ac:dyDescent="0.3">
      <c r="B11" s="259" t="s">
        <v>1011</v>
      </c>
    </row>
    <row r="12" spans="2:17" ht="15.75" x14ac:dyDescent="0.25"/>
    <row r="13" spans="2:17" ht="51.6" customHeight="1" x14ac:dyDescent="0.25">
      <c r="B13" s="1437" t="s">
        <v>1122</v>
      </c>
      <c r="C13" s="1437"/>
      <c r="D13" s="1437"/>
      <c r="E13" s="1437"/>
      <c r="F13" s="1437"/>
      <c r="G13" s="1437"/>
      <c r="H13" s="1437"/>
      <c r="I13" s="1437"/>
      <c r="J13" s="1437"/>
      <c r="K13" s="1437"/>
      <c r="L13" s="239"/>
      <c r="M13" s="234"/>
      <c r="N13" s="234"/>
      <c r="O13" s="234"/>
      <c r="P13" s="234"/>
      <c r="Q13" s="234"/>
    </row>
    <row r="14" spans="2:17" ht="19.899999999999999" customHeight="1" x14ac:dyDescent="0.25">
      <c r="B14" s="234"/>
      <c r="C14" s="234"/>
      <c r="D14" s="234"/>
      <c r="E14" s="234"/>
      <c r="F14" s="234"/>
      <c r="G14" s="234"/>
      <c r="H14" s="234"/>
      <c r="I14" s="234"/>
      <c r="J14" s="234"/>
      <c r="K14" s="234"/>
      <c r="L14" s="234"/>
      <c r="M14" s="234"/>
      <c r="N14" s="234"/>
      <c r="O14" s="234"/>
      <c r="P14" s="234"/>
      <c r="Q14" s="234"/>
    </row>
    <row r="15" spans="2:17" ht="15.75" x14ac:dyDescent="0.25">
      <c r="B15" s="164" t="s">
        <v>0</v>
      </c>
      <c r="C15" s="169"/>
      <c r="D15" s="169"/>
      <c r="E15" s="169"/>
      <c r="F15" s="169"/>
      <c r="G15" s="169"/>
      <c r="H15" s="169"/>
      <c r="I15" s="169"/>
      <c r="J15" s="169"/>
      <c r="K15" s="169"/>
    </row>
    <row r="16" spans="2:17" ht="15.75" x14ac:dyDescent="0.25">
      <c r="B16" s="246" t="s">
        <v>1002</v>
      </c>
      <c r="C16" s="169"/>
      <c r="D16" s="169"/>
      <c r="E16" s="169"/>
      <c r="F16" s="169"/>
      <c r="G16" s="169"/>
      <c r="H16" s="169"/>
      <c r="I16" s="169"/>
      <c r="J16" s="169"/>
      <c r="K16" s="169"/>
    </row>
    <row r="17" spans="2:27" ht="19.899999999999999" customHeight="1" x14ac:dyDescent="0.25">
      <c r="B17" s="169" t="s">
        <v>903</v>
      </c>
      <c r="C17" s="194"/>
      <c r="D17" s="194"/>
      <c r="E17" s="194"/>
      <c r="F17" s="194"/>
      <c r="G17" s="194"/>
      <c r="H17" s="194"/>
      <c r="I17" s="194"/>
      <c r="J17" s="194"/>
      <c r="K17" s="194"/>
      <c r="L17" s="244"/>
      <c r="M17" s="244"/>
      <c r="N17" s="244"/>
      <c r="O17" s="244"/>
      <c r="P17" s="198"/>
      <c r="Q17" s="198"/>
      <c r="R17" s="196"/>
      <c r="S17" s="196"/>
      <c r="T17" s="196"/>
      <c r="U17" s="196"/>
      <c r="V17" s="196"/>
      <c r="W17" s="196"/>
      <c r="X17" s="196"/>
      <c r="Y17" s="196"/>
      <c r="Z17" s="196"/>
      <c r="AA17" s="197"/>
    </row>
    <row r="18" spans="2:27" ht="19.899999999999999" customHeight="1" x14ac:dyDescent="0.25">
      <c r="B18" s="169" t="s">
        <v>1003</v>
      </c>
      <c r="C18" s="194"/>
      <c r="D18" s="194"/>
      <c r="E18" s="194"/>
      <c r="F18" s="194"/>
      <c r="G18" s="194"/>
      <c r="H18" s="194"/>
      <c r="I18" s="194"/>
      <c r="J18" s="194"/>
      <c r="K18" s="194"/>
      <c r="L18" s="244"/>
      <c r="M18" s="244"/>
      <c r="N18" s="244"/>
      <c r="O18" s="244"/>
      <c r="P18" s="244"/>
      <c r="Q18" s="198"/>
      <c r="R18" s="196"/>
      <c r="S18" s="196"/>
      <c r="T18" s="196"/>
      <c r="U18" s="196"/>
      <c r="V18" s="196"/>
      <c r="W18" s="196"/>
      <c r="X18" s="196"/>
      <c r="Y18" s="196"/>
      <c r="Z18" s="196"/>
      <c r="AA18" s="197"/>
    </row>
    <row r="19" spans="2:27" ht="15.75" x14ac:dyDescent="0.25">
      <c r="B19" s="169" t="s">
        <v>1004</v>
      </c>
      <c r="C19" s="194"/>
      <c r="D19" s="194"/>
      <c r="E19" s="194"/>
      <c r="F19" s="194"/>
      <c r="G19" s="194"/>
      <c r="H19" s="194"/>
      <c r="I19" s="194"/>
      <c r="J19" s="194"/>
      <c r="K19" s="194"/>
      <c r="L19" s="244"/>
      <c r="M19" s="244"/>
      <c r="N19" s="244"/>
      <c r="O19" s="244"/>
      <c r="P19" s="244"/>
      <c r="Q19" s="198"/>
      <c r="R19" s="198"/>
      <c r="S19" s="198"/>
      <c r="T19" s="198"/>
      <c r="U19" s="198"/>
      <c r="V19" s="198"/>
      <c r="W19" s="198"/>
      <c r="X19" s="198"/>
      <c r="Y19" s="198"/>
      <c r="Z19" s="198"/>
      <c r="AA19" s="198"/>
    </row>
    <row r="20" spans="2:27" ht="19.899999999999999" customHeight="1" x14ac:dyDescent="0.25">
      <c r="B20" s="1436" t="s">
        <v>1142</v>
      </c>
      <c r="C20" s="1436"/>
      <c r="D20" s="1436"/>
      <c r="E20" s="1436"/>
      <c r="F20" s="1436"/>
      <c r="G20" s="1436"/>
      <c r="H20" s="1436"/>
      <c r="I20" s="1436"/>
      <c r="J20" s="1436"/>
      <c r="K20" s="1436"/>
      <c r="L20" s="244"/>
      <c r="M20" s="244"/>
      <c r="N20" s="244"/>
      <c r="O20" s="244"/>
      <c r="P20" s="244"/>
      <c r="Q20" s="198"/>
      <c r="R20" s="198"/>
      <c r="S20" s="198"/>
      <c r="T20" s="198"/>
      <c r="U20" s="198"/>
      <c r="V20" s="198"/>
      <c r="W20" s="198"/>
      <c r="X20" s="198"/>
      <c r="Y20" s="198"/>
      <c r="Z20" s="198"/>
      <c r="AA20" s="198"/>
    </row>
    <row r="21" spans="2:27" ht="15.6" customHeight="1" x14ac:dyDescent="0.25">
      <c r="B21" s="1436" t="s">
        <v>1007</v>
      </c>
      <c r="C21" s="1436"/>
      <c r="D21" s="1436"/>
      <c r="E21" s="1436"/>
      <c r="F21" s="1436"/>
      <c r="G21" s="1436"/>
      <c r="H21" s="1436"/>
      <c r="I21" s="1436"/>
      <c r="J21" s="1436"/>
      <c r="K21" s="1436"/>
      <c r="L21" s="198"/>
      <c r="M21" s="198"/>
      <c r="N21" s="198"/>
      <c r="O21" s="198"/>
      <c r="P21" s="198"/>
      <c r="Q21" s="198"/>
      <c r="R21" s="196"/>
      <c r="S21" s="196"/>
      <c r="T21" s="196"/>
      <c r="U21" s="196"/>
      <c r="V21" s="196"/>
      <c r="W21" s="196"/>
      <c r="X21" s="196"/>
      <c r="Y21" s="196"/>
      <c r="Z21" s="196"/>
      <c r="AA21" s="197"/>
    </row>
    <row r="22" spans="2:27" ht="15.75" x14ac:dyDescent="0.25">
      <c r="B22" s="195"/>
      <c r="C22" s="195"/>
      <c r="D22" s="195"/>
      <c r="E22" s="195"/>
      <c r="F22" s="195"/>
      <c r="G22" s="195"/>
      <c r="H22" s="195"/>
      <c r="I22" s="195"/>
      <c r="J22" s="195"/>
      <c r="K22" s="195"/>
      <c r="L22" s="196"/>
      <c r="M22" s="198"/>
      <c r="N22" s="198"/>
      <c r="O22" s="198"/>
      <c r="P22" s="198"/>
      <c r="Q22" s="198"/>
      <c r="R22" s="196"/>
      <c r="S22" s="196"/>
      <c r="T22" s="196"/>
      <c r="U22" s="196"/>
      <c r="V22" s="196"/>
      <c r="W22" s="196"/>
      <c r="X22" s="196"/>
      <c r="Y22" s="196"/>
      <c r="Z22" s="196"/>
      <c r="AA22" s="197"/>
    </row>
    <row r="23" spans="2:27" ht="31.5" x14ac:dyDescent="0.25">
      <c r="B23" s="195"/>
      <c r="C23" s="375" t="s">
        <v>994</v>
      </c>
      <c r="D23" s="1438" t="s">
        <v>1008</v>
      </c>
      <c r="E23" s="1438"/>
      <c r="F23" s="1438"/>
      <c r="G23" s="195"/>
      <c r="H23" s="195"/>
      <c r="I23" s="195"/>
      <c r="J23" s="195"/>
      <c r="K23" s="195"/>
      <c r="L23" s="196"/>
      <c r="M23" s="198"/>
      <c r="N23" s="198"/>
      <c r="O23" s="198"/>
      <c r="P23" s="198"/>
      <c r="Q23" s="198"/>
      <c r="R23" s="196"/>
      <c r="S23" s="196"/>
      <c r="T23" s="196"/>
      <c r="U23" s="196"/>
      <c r="V23" s="196"/>
      <c r="W23" s="196"/>
      <c r="X23" s="196"/>
      <c r="Y23" s="196"/>
      <c r="Z23" s="196"/>
      <c r="AA23" s="197"/>
    </row>
    <row r="24" spans="2:27" ht="31.5" x14ac:dyDescent="0.25">
      <c r="B24" s="195"/>
      <c r="C24" s="376" t="str">
        <f>FAPr!B12</f>
        <v>Emissões do tratamento final do produto</v>
      </c>
      <c r="D24" s="1439" t="str">
        <f>FAPr!C12</f>
        <v>Emissões do processo de tratamento do produto (efetuado por terceiros)</v>
      </c>
      <c r="E24" s="1439"/>
      <c r="F24" s="1439"/>
      <c r="G24" s="195"/>
      <c r="H24" s="195"/>
      <c r="I24" s="195"/>
      <c r="J24" s="195"/>
      <c r="K24" s="195"/>
      <c r="L24" s="196"/>
      <c r="M24" s="198"/>
      <c r="N24" s="198"/>
      <c r="O24" s="198"/>
      <c r="P24" s="198"/>
      <c r="Q24" s="198"/>
      <c r="R24" s="196"/>
      <c r="S24" s="196"/>
      <c r="T24" s="196"/>
      <c r="U24" s="196"/>
      <c r="V24" s="196"/>
      <c r="W24" s="196"/>
      <c r="X24" s="196"/>
      <c r="Y24" s="196"/>
      <c r="Z24" s="196"/>
      <c r="AA24" s="197"/>
    </row>
    <row r="25" spans="2:27" ht="31.5" x14ac:dyDescent="0.25">
      <c r="B25" s="195"/>
      <c r="C25" s="376" t="str">
        <f>FAPr!B13</f>
        <v>Emissões do uso do produto</v>
      </c>
      <c r="D25" s="1439" t="str">
        <f>FAPr!C13</f>
        <v>Emissões do uso do produto</v>
      </c>
      <c r="E25" s="1439"/>
      <c r="F25" s="1439"/>
      <c r="G25" s="195"/>
      <c r="H25" s="195"/>
      <c r="I25" s="195"/>
      <c r="J25" s="195"/>
      <c r="K25" s="195"/>
      <c r="L25" s="196"/>
      <c r="M25" s="198"/>
      <c r="N25" s="198"/>
      <c r="O25" s="198"/>
      <c r="P25" s="198"/>
      <c r="Q25" s="198"/>
      <c r="R25" s="196"/>
      <c r="S25" s="196"/>
      <c r="T25" s="196"/>
      <c r="U25" s="196"/>
      <c r="V25" s="196"/>
      <c r="W25" s="196"/>
      <c r="X25" s="196"/>
      <c r="Y25" s="196"/>
      <c r="Z25" s="196"/>
      <c r="AA25" s="197"/>
    </row>
    <row r="26" spans="2:27" ht="31.5" x14ac:dyDescent="0.25">
      <c r="B26" s="195"/>
      <c r="C26" s="376" t="str">
        <f>FAPr!B14</f>
        <v>Emissões do fim de vida do produto</v>
      </c>
      <c r="D26" s="1439" t="str">
        <f>FAPr!C14</f>
        <v>Emissões do fim de vida do produto (i.e., emissões de GEE do tratamento e destino final)</v>
      </c>
      <c r="E26" s="1439"/>
      <c r="F26" s="1439"/>
      <c r="G26" s="195"/>
      <c r="H26" s="195"/>
      <c r="I26" s="195"/>
      <c r="J26" s="195"/>
      <c r="K26" s="195"/>
      <c r="L26" s="196"/>
      <c r="M26" s="198"/>
      <c r="N26" s="198"/>
      <c r="O26" s="198"/>
      <c r="P26" s="198"/>
      <c r="Q26" s="198"/>
      <c r="R26" s="196"/>
      <c r="S26" s="196"/>
      <c r="T26" s="196"/>
      <c r="U26" s="196"/>
      <c r="V26" s="196"/>
      <c r="W26" s="196"/>
      <c r="X26" s="196"/>
      <c r="Y26" s="196"/>
      <c r="Z26" s="196"/>
      <c r="AA26" s="197"/>
    </row>
    <row r="27" spans="2:27" ht="15.75" x14ac:dyDescent="0.25">
      <c r="B27" s="195"/>
      <c r="C27" s="195"/>
      <c r="D27" s="195"/>
      <c r="E27" s="195"/>
      <c r="F27" s="195"/>
      <c r="G27" s="195"/>
      <c r="H27" s="195"/>
      <c r="I27" s="195"/>
      <c r="J27" s="195"/>
      <c r="K27" s="195"/>
      <c r="L27" s="196"/>
      <c r="M27" s="198"/>
      <c r="N27" s="198"/>
      <c r="O27" s="198"/>
      <c r="P27" s="198"/>
      <c r="Q27" s="198"/>
      <c r="R27" s="196"/>
      <c r="S27" s="196"/>
      <c r="T27" s="196"/>
      <c r="U27" s="196"/>
      <c r="V27" s="196"/>
      <c r="W27" s="196"/>
      <c r="X27" s="196"/>
      <c r="Y27" s="196"/>
      <c r="Z27" s="196"/>
      <c r="AA27" s="197"/>
    </row>
    <row r="28" spans="2:27" ht="27" customHeight="1" x14ac:dyDescent="0.25">
      <c r="B28" s="199" t="s">
        <v>1010</v>
      </c>
      <c r="C28" s="195"/>
      <c r="D28" s="195"/>
      <c r="E28" s="195"/>
      <c r="F28" s="195"/>
      <c r="G28" s="195"/>
      <c r="H28" s="195"/>
      <c r="I28" s="195"/>
      <c r="J28" s="195"/>
      <c r="K28" s="195"/>
      <c r="L28" s="196"/>
      <c r="M28" s="198"/>
      <c r="N28" s="198"/>
      <c r="O28" s="198"/>
      <c r="P28" s="198"/>
      <c r="Q28" s="198"/>
      <c r="R28" s="196"/>
      <c r="S28" s="196"/>
      <c r="T28" s="196"/>
      <c r="U28" s="196"/>
      <c r="V28" s="196"/>
      <c r="W28" s="196"/>
      <c r="X28" s="196"/>
      <c r="Y28" s="196"/>
      <c r="Z28" s="196"/>
      <c r="AA28" s="197"/>
    </row>
    <row r="29" spans="2:27" ht="15.75" x14ac:dyDescent="0.25"/>
    <row r="30" spans="2:27" ht="15.75" x14ac:dyDescent="0.25">
      <c r="I30" s="173"/>
    </row>
    <row r="31" spans="2:27" ht="15.75" x14ac:dyDescent="0.25">
      <c r="B31" s="200" t="s">
        <v>1001</v>
      </c>
    </row>
    <row r="32" spans="2:27" ht="38.450000000000003" customHeight="1" x14ac:dyDescent="0.25">
      <c r="B32" s="1184" t="s">
        <v>976</v>
      </c>
      <c r="C32" s="1184" t="s">
        <v>988</v>
      </c>
      <c r="D32" s="1184" t="s">
        <v>989</v>
      </c>
      <c r="E32" s="1290" t="s">
        <v>995</v>
      </c>
      <c r="F32" s="1291"/>
      <c r="G32" s="1292"/>
      <c r="H32" s="1283" t="s">
        <v>984</v>
      </c>
      <c r="I32" s="1285"/>
      <c r="J32" s="1204" t="s">
        <v>996</v>
      </c>
      <c r="K32" s="1184" t="s">
        <v>997</v>
      </c>
    </row>
    <row r="33" spans="1:13" ht="42.6" customHeight="1" x14ac:dyDescent="0.25">
      <c r="B33" s="1186"/>
      <c r="C33" s="1186"/>
      <c r="D33" s="1186"/>
      <c r="E33" s="201" t="s">
        <v>673</v>
      </c>
      <c r="F33" s="201" t="s">
        <v>26</v>
      </c>
      <c r="G33" s="202" t="s">
        <v>1005</v>
      </c>
      <c r="H33" s="202" t="s">
        <v>523</v>
      </c>
      <c r="I33" s="202" t="s">
        <v>29</v>
      </c>
      <c r="J33" s="1206"/>
      <c r="K33" s="1186"/>
    </row>
    <row r="34" spans="1:13" s="204" customFormat="1" ht="63" x14ac:dyDescent="0.25">
      <c r="A34" s="175" t="s">
        <v>36</v>
      </c>
      <c r="B34" s="349" t="s">
        <v>33</v>
      </c>
      <c r="C34" s="349" t="s">
        <v>990</v>
      </c>
      <c r="D34" s="349" t="s">
        <v>991</v>
      </c>
      <c r="E34" s="352">
        <v>100</v>
      </c>
      <c r="F34" s="350" t="s">
        <v>998</v>
      </c>
      <c r="G34" s="352">
        <v>15</v>
      </c>
      <c r="H34" s="553">
        <v>10</v>
      </c>
      <c r="I34" s="350" t="s">
        <v>1000</v>
      </c>
      <c r="J34" s="351" t="s">
        <v>999</v>
      </c>
      <c r="K34" s="354">
        <v>15</v>
      </c>
    </row>
    <row r="35" spans="1:13" ht="15.75" x14ac:dyDescent="0.25">
      <c r="B35" s="205"/>
      <c r="C35" s="213"/>
      <c r="D35" s="206"/>
      <c r="E35" s="353"/>
      <c r="F35" s="213"/>
      <c r="G35" s="377"/>
      <c r="H35" s="552"/>
      <c r="I35" s="379" t="str">
        <f>"kg CO2e / "&amp;F35</f>
        <v xml:space="preserve">kg CO2e / </v>
      </c>
      <c r="J35" s="378"/>
      <c r="K35" s="348" t="str">
        <f>IF(H35="","",IFERROR(IF(D35=FAPr!$B$13,'Uso dos produtos do projeto'!H35*'Uso dos produtos do projeto'!G35*'Uso dos produtos do projeto'!E35/1000,'Uso dos produtos do projeto'!H35*'Uso dos produtos do projeto'!E35),""))</f>
        <v/>
      </c>
      <c r="L35" s="180"/>
    </row>
    <row r="36" spans="1:13" ht="15.75" x14ac:dyDescent="0.25">
      <c r="B36" s="205"/>
      <c r="C36" s="213"/>
      <c r="D36" s="206"/>
      <c r="E36" s="353"/>
      <c r="F36" s="213"/>
      <c r="G36" s="377"/>
      <c r="H36" s="552"/>
      <c r="I36" s="379" t="str">
        <f>"kg CO2e / "&amp;F36</f>
        <v xml:space="preserve">kg CO2e / </v>
      </c>
      <c r="J36" s="378"/>
      <c r="K36" s="348" t="str">
        <f>IF(H36="","",IFERROR(IF(D36=FAPr!$B$13,'Uso dos produtos do projeto'!H36*'Uso dos produtos do projeto'!G36*'Uso dos produtos do projeto'!E36/1000,'Uso dos produtos do projeto'!H36*'Uso dos produtos do projeto'!E36),""))</f>
        <v/>
      </c>
      <c r="L36" s="180"/>
    </row>
    <row r="37" spans="1:13" ht="25.15" customHeight="1" x14ac:dyDescent="0.25">
      <c r="B37" s="205"/>
      <c r="C37" s="213"/>
      <c r="D37" s="206"/>
      <c r="E37" s="353"/>
      <c r="F37" s="213"/>
      <c r="G37" s="377"/>
      <c r="H37" s="552"/>
      <c r="I37" s="379" t="str">
        <f t="shared" ref="I37:I100" si="0">"kg CO2e / "&amp;F37</f>
        <v xml:space="preserve">kg CO2e / </v>
      </c>
      <c r="J37" s="378"/>
      <c r="K37" s="348" t="str">
        <f>IF(H37="","",IFERROR(IF(D37=FAPr!$B$13,'Uso dos produtos do projeto'!H37*'Uso dos produtos do projeto'!G37*'Uso dos produtos do projeto'!E37/1000,'Uso dos produtos do projeto'!H37*'Uso dos produtos do projeto'!E37),""))</f>
        <v/>
      </c>
      <c r="L37" s="180"/>
    </row>
    <row r="38" spans="1:13" ht="15.75" x14ac:dyDescent="0.25">
      <c r="B38" s="205"/>
      <c r="C38" s="213"/>
      <c r="D38" s="206"/>
      <c r="E38" s="353"/>
      <c r="F38" s="213"/>
      <c r="G38" s="377"/>
      <c r="H38" s="552"/>
      <c r="I38" s="379" t="str">
        <f t="shared" si="0"/>
        <v xml:space="preserve">kg CO2e / </v>
      </c>
      <c r="J38" s="378"/>
      <c r="K38" s="348" t="str">
        <f>IF(H38="","",IFERROR(IF(D38=FAPr!$B$13,'Uso dos produtos do projeto'!H38*'Uso dos produtos do projeto'!G38*'Uso dos produtos do projeto'!E38/1000,'Uso dos produtos do projeto'!H38*'Uso dos produtos do projeto'!E38),""))</f>
        <v/>
      </c>
      <c r="L38" s="180"/>
    </row>
    <row r="39" spans="1:13" ht="15.75" x14ac:dyDescent="0.25">
      <c r="B39" s="205"/>
      <c r="C39" s="213"/>
      <c r="D39" s="206"/>
      <c r="E39" s="353"/>
      <c r="F39" s="213"/>
      <c r="G39" s="377"/>
      <c r="H39" s="552"/>
      <c r="I39" s="379" t="str">
        <f t="shared" si="0"/>
        <v xml:space="preserve">kg CO2e / </v>
      </c>
      <c r="J39" s="378"/>
      <c r="K39" s="348" t="str">
        <f>IF(H39="","",IFERROR(IF(D39=FAPr!$B$13,'Uso dos produtos do projeto'!H39*'Uso dos produtos do projeto'!G39*'Uso dos produtos do projeto'!E39/1000,'Uso dos produtos do projeto'!H39*'Uso dos produtos do projeto'!E39),""))</f>
        <v/>
      </c>
      <c r="L39" s="180"/>
      <c r="M39" s="254"/>
    </row>
    <row r="40" spans="1:13" ht="15.75" x14ac:dyDescent="0.25">
      <c r="B40" s="205"/>
      <c r="C40" s="213"/>
      <c r="D40" s="206"/>
      <c r="E40" s="353"/>
      <c r="F40" s="213"/>
      <c r="G40" s="377"/>
      <c r="H40" s="552"/>
      <c r="I40" s="379" t="str">
        <f t="shared" si="0"/>
        <v xml:space="preserve">kg CO2e / </v>
      </c>
      <c r="J40" s="378"/>
      <c r="K40" s="348" t="str">
        <f>IF(H40="","",IFERROR(IF(D40=FAPr!$B$13,'Uso dos produtos do projeto'!H40*'Uso dos produtos do projeto'!G40*'Uso dos produtos do projeto'!E40/1000,'Uso dos produtos do projeto'!H40*'Uso dos produtos do projeto'!E40),""))</f>
        <v/>
      </c>
      <c r="L40" s="180"/>
      <c r="M40" s="255"/>
    </row>
    <row r="41" spans="1:13" ht="15.75" x14ac:dyDescent="0.25">
      <c r="B41" s="205"/>
      <c r="C41" s="213"/>
      <c r="D41" s="206"/>
      <c r="E41" s="353"/>
      <c r="F41" s="213"/>
      <c r="G41" s="377"/>
      <c r="H41" s="552"/>
      <c r="I41" s="379" t="str">
        <f t="shared" si="0"/>
        <v xml:space="preserve">kg CO2e / </v>
      </c>
      <c r="J41" s="378"/>
      <c r="K41" s="348" t="str">
        <f>IF(H41="","",IFERROR(IF(D41=FAPr!$B$13,'Uso dos produtos do projeto'!H41*'Uso dos produtos do projeto'!G41*'Uso dos produtos do projeto'!E41/1000,'Uso dos produtos do projeto'!H41*'Uso dos produtos do projeto'!E41),""))</f>
        <v/>
      </c>
      <c r="L41" s="180"/>
    </row>
    <row r="42" spans="1:13" ht="15.75" x14ac:dyDescent="0.25">
      <c r="B42" s="205"/>
      <c r="C42" s="213"/>
      <c r="D42" s="206"/>
      <c r="E42" s="353"/>
      <c r="F42" s="213"/>
      <c r="G42" s="377"/>
      <c r="H42" s="552"/>
      <c r="I42" s="379" t="str">
        <f t="shared" si="0"/>
        <v xml:space="preserve">kg CO2e / </v>
      </c>
      <c r="J42" s="378"/>
      <c r="K42" s="348" t="str">
        <f>IF(H42="","",IFERROR(IF(D42=FAPr!$B$13,'Uso dos produtos do projeto'!H42*'Uso dos produtos do projeto'!G42*'Uso dos produtos do projeto'!E42/1000,'Uso dos produtos do projeto'!H42*'Uso dos produtos do projeto'!E42),""))</f>
        <v/>
      </c>
      <c r="L42" s="180"/>
    </row>
    <row r="43" spans="1:13" ht="15.75" x14ac:dyDescent="0.25">
      <c r="B43" s="205"/>
      <c r="C43" s="213"/>
      <c r="D43" s="206"/>
      <c r="E43" s="353"/>
      <c r="F43" s="213"/>
      <c r="G43" s="377"/>
      <c r="H43" s="552"/>
      <c r="I43" s="379" t="str">
        <f t="shared" si="0"/>
        <v xml:space="preserve">kg CO2e / </v>
      </c>
      <c r="J43" s="378"/>
      <c r="K43" s="348" t="str">
        <f>IF(H43="","",IFERROR(IF(D43=FAPr!$B$13,'Uso dos produtos do projeto'!H43*'Uso dos produtos do projeto'!G43*'Uso dos produtos do projeto'!E43/1000,'Uso dos produtos do projeto'!H43*'Uso dos produtos do projeto'!E43),""))</f>
        <v/>
      </c>
      <c r="L43" s="180"/>
    </row>
    <row r="44" spans="1:13" ht="15.75" x14ac:dyDescent="0.25">
      <c r="B44" s="205"/>
      <c r="C44" s="213"/>
      <c r="D44" s="206"/>
      <c r="E44" s="353"/>
      <c r="F44" s="213"/>
      <c r="G44" s="377"/>
      <c r="H44" s="552"/>
      <c r="I44" s="379" t="str">
        <f t="shared" si="0"/>
        <v xml:space="preserve">kg CO2e / </v>
      </c>
      <c r="J44" s="378"/>
      <c r="K44" s="348" t="str">
        <f>IF(H44="","",IFERROR(IF(D44=FAPr!$B$13,'Uso dos produtos do projeto'!H44*'Uso dos produtos do projeto'!G44*'Uso dos produtos do projeto'!E44/1000,'Uso dos produtos do projeto'!H44*'Uso dos produtos do projeto'!E44),""))</f>
        <v/>
      </c>
      <c r="L44" s="180"/>
    </row>
    <row r="45" spans="1:13" ht="15.75" x14ac:dyDescent="0.25">
      <c r="B45" s="205"/>
      <c r="C45" s="213"/>
      <c r="D45" s="206"/>
      <c r="E45" s="353"/>
      <c r="F45" s="213"/>
      <c r="G45" s="377"/>
      <c r="H45" s="552"/>
      <c r="I45" s="379" t="str">
        <f t="shared" si="0"/>
        <v xml:space="preserve">kg CO2e / </v>
      </c>
      <c r="J45" s="378"/>
      <c r="K45" s="348" t="str">
        <f>IF(H45="","",IFERROR(IF(D45=FAPr!$B$13,'Uso dos produtos do projeto'!H45*'Uso dos produtos do projeto'!G45*'Uso dos produtos do projeto'!E45/1000,'Uso dos produtos do projeto'!H45*'Uso dos produtos do projeto'!E45),""))</f>
        <v/>
      </c>
      <c r="L45" s="180"/>
    </row>
    <row r="46" spans="1:13" ht="15.75" hidden="1" outlineLevel="1" x14ac:dyDescent="0.25">
      <c r="B46" s="205"/>
      <c r="C46" s="213"/>
      <c r="D46" s="206"/>
      <c r="E46" s="353"/>
      <c r="F46" s="213"/>
      <c r="G46" s="377"/>
      <c r="H46" s="552"/>
      <c r="I46" s="379" t="str">
        <f t="shared" si="0"/>
        <v xml:space="preserve">kg CO2e / </v>
      </c>
      <c r="J46" s="378"/>
      <c r="K46" s="348" t="str">
        <f>IF(H46="","",IFERROR(IF(D46=FAPr!$B$13,'Uso dos produtos do projeto'!H46*'Uso dos produtos do projeto'!G46*'Uso dos produtos do projeto'!E46/1000,'Uso dos produtos do projeto'!H46*'Uso dos produtos do projeto'!E46),""))</f>
        <v/>
      </c>
      <c r="L46" s="180"/>
    </row>
    <row r="47" spans="1:13" ht="15.75" hidden="1" outlineLevel="1" x14ac:dyDescent="0.25">
      <c r="B47" s="205"/>
      <c r="C47" s="213"/>
      <c r="D47" s="206"/>
      <c r="E47" s="353"/>
      <c r="F47" s="213"/>
      <c r="G47" s="377"/>
      <c r="H47" s="552"/>
      <c r="I47" s="379" t="str">
        <f t="shared" si="0"/>
        <v xml:space="preserve">kg CO2e / </v>
      </c>
      <c r="J47" s="378"/>
      <c r="K47" s="348" t="str">
        <f>IF(H47="","",IFERROR(IF(D47=FAPr!$B$13,'Uso dos produtos do projeto'!H47*'Uso dos produtos do projeto'!G47*'Uso dos produtos do projeto'!E47/1000,'Uso dos produtos do projeto'!H47*'Uso dos produtos do projeto'!E47),""))</f>
        <v/>
      </c>
      <c r="L47" s="180"/>
    </row>
    <row r="48" spans="1:13" ht="15.75" hidden="1" outlineLevel="1" x14ac:dyDescent="0.25">
      <c r="B48" s="205"/>
      <c r="C48" s="213"/>
      <c r="D48" s="206"/>
      <c r="E48" s="353"/>
      <c r="F48" s="213"/>
      <c r="G48" s="377"/>
      <c r="H48" s="552"/>
      <c r="I48" s="379" t="str">
        <f t="shared" si="0"/>
        <v xml:space="preserve">kg CO2e / </v>
      </c>
      <c r="J48" s="378"/>
      <c r="K48" s="348" t="str">
        <f>IF(H48="","",IFERROR(IF(D48=FAPr!$B$13,'Uso dos produtos do projeto'!H48*'Uso dos produtos do projeto'!G48*'Uso dos produtos do projeto'!E48/1000,'Uso dos produtos do projeto'!H48*'Uso dos produtos do projeto'!E48),""))</f>
        <v/>
      </c>
      <c r="L48" s="180"/>
    </row>
    <row r="49" spans="2:12" ht="15.75" hidden="1" outlineLevel="1" x14ac:dyDescent="0.25">
      <c r="B49" s="205"/>
      <c r="C49" s="213"/>
      <c r="D49" s="206"/>
      <c r="E49" s="353"/>
      <c r="F49" s="213"/>
      <c r="G49" s="377"/>
      <c r="H49" s="552"/>
      <c r="I49" s="379" t="str">
        <f t="shared" si="0"/>
        <v xml:space="preserve">kg CO2e / </v>
      </c>
      <c r="J49" s="378"/>
      <c r="K49" s="348" t="str">
        <f>IF(H49="","",IFERROR(IF(D49=FAPr!$B$13,'Uso dos produtos do projeto'!H49*'Uso dos produtos do projeto'!G49*'Uso dos produtos do projeto'!E49/1000,'Uso dos produtos do projeto'!H49*'Uso dos produtos do projeto'!E49),""))</f>
        <v/>
      </c>
      <c r="L49" s="180"/>
    </row>
    <row r="50" spans="2:12" ht="15.75" hidden="1" outlineLevel="1" x14ac:dyDescent="0.25">
      <c r="B50" s="205"/>
      <c r="C50" s="213"/>
      <c r="D50" s="206"/>
      <c r="E50" s="353"/>
      <c r="F50" s="213"/>
      <c r="G50" s="377"/>
      <c r="H50" s="552"/>
      <c r="I50" s="379" t="str">
        <f t="shared" si="0"/>
        <v xml:space="preserve">kg CO2e / </v>
      </c>
      <c r="J50" s="378"/>
      <c r="K50" s="348" t="str">
        <f>IF(H50="","",IFERROR(IF(D50=FAPr!$B$13,'Uso dos produtos do projeto'!H50*'Uso dos produtos do projeto'!G50*'Uso dos produtos do projeto'!E50/1000,'Uso dos produtos do projeto'!H50*'Uso dos produtos do projeto'!E50),""))</f>
        <v/>
      </c>
      <c r="L50" s="180"/>
    </row>
    <row r="51" spans="2:12" ht="15.75" hidden="1" outlineLevel="1" x14ac:dyDescent="0.25">
      <c r="B51" s="205"/>
      <c r="C51" s="213"/>
      <c r="D51" s="206"/>
      <c r="E51" s="353"/>
      <c r="F51" s="213"/>
      <c r="G51" s="377"/>
      <c r="H51" s="552"/>
      <c r="I51" s="379" t="str">
        <f t="shared" si="0"/>
        <v xml:space="preserve">kg CO2e / </v>
      </c>
      <c r="J51" s="378"/>
      <c r="K51" s="348" t="str">
        <f>IF(H51="","",IFERROR(IF(D51=FAPr!$B$13,'Uso dos produtos do projeto'!H51*'Uso dos produtos do projeto'!G51*'Uso dos produtos do projeto'!E51/1000,'Uso dos produtos do projeto'!H51*'Uso dos produtos do projeto'!E51),""))</f>
        <v/>
      </c>
      <c r="L51" s="180"/>
    </row>
    <row r="52" spans="2:12" ht="15.75" hidden="1" outlineLevel="1" x14ac:dyDescent="0.25">
      <c r="B52" s="205"/>
      <c r="C52" s="213"/>
      <c r="D52" s="206"/>
      <c r="E52" s="353"/>
      <c r="F52" s="213"/>
      <c r="G52" s="377"/>
      <c r="H52" s="552"/>
      <c r="I52" s="379" t="str">
        <f t="shared" si="0"/>
        <v xml:space="preserve">kg CO2e / </v>
      </c>
      <c r="J52" s="378"/>
      <c r="K52" s="348" t="str">
        <f>IF(H52="","",IFERROR(IF(D52=FAPr!$B$13,'Uso dos produtos do projeto'!H52*'Uso dos produtos do projeto'!G52*'Uso dos produtos do projeto'!E52/1000,'Uso dos produtos do projeto'!H52*'Uso dos produtos do projeto'!E52),""))</f>
        <v/>
      </c>
      <c r="L52" s="180"/>
    </row>
    <row r="53" spans="2:12" ht="15.75" hidden="1" outlineLevel="1" x14ac:dyDescent="0.25">
      <c r="B53" s="205"/>
      <c r="C53" s="213"/>
      <c r="D53" s="206"/>
      <c r="E53" s="353"/>
      <c r="F53" s="213"/>
      <c r="G53" s="377"/>
      <c r="H53" s="552"/>
      <c r="I53" s="379" t="str">
        <f t="shared" si="0"/>
        <v xml:space="preserve">kg CO2e / </v>
      </c>
      <c r="J53" s="378"/>
      <c r="K53" s="348" t="str">
        <f>IF(H53="","",IFERROR(IF(D53=FAPr!$B$13,'Uso dos produtos do projeto'!H53*'Uso dos produtos do projeto'!G53*'Uso dos produtos do projeto'!E53/1000,'Uso dos produtos do projeto'!H53*'Uso dos produtos do projeto'!E53),""))</f>
        <v/>
      </c>
      <c r="L53" s="180"/>
    </row>
    <row r="54" spans="2:12" ht="15.75" hidden="1" outlineLevel="1" x14ac:dyDescent="0.25">
      <c r="B54" s="205"/>
      <c r="C54" s="213"/>
      <c r="D54" s="206"/>
      <c r="E54" s="353"/>
      <c r="F54" s="213"/>
      <c r="G54" s="377"/>
      <c r="H54" s="552"/>
      <c r="I54" s="379" t="str">
        <f t="shared" si="0"/>
        <v xml:space="preserve">kg CO2e / </v>
      </c>
      <c r="J54" s="378"/>
      <c r="K54" s="348" t="str">
        <f>IF(H54="","",IFERROR(IF(D54=FAPr!$B$13,'Uso dos produtos do projeto'!H54*'Uso dos produtos do projeto'!G54*'Uso dos produtos do projeto'!E54/1000,'Uso dos produtos do projeto'!H54*'Uso dos produtos do projeto'!E54),""))</f>
        <v/>
      </c>
      <c r="L54" s="180"/>
    </row>
    <row r="55" spans="2:12" ht="15.75" hidden="1" outlineLevel="1" x14ac:dyDescent="0.25">
      <c r="B55" s="205"/>
      <c r="C55" s="213"/>
      <c r="D55" s="206"/>
      <c r="E55" s="353"/>
      <c r="F55" s="213"/>
      <c r="G55" s="377"/>
      <c r="H55" s="552"/>
      <c r="I55" s="379" t="str">
        <f t="shared" si="0"/>
        <v xml:space="preserve">kg CO2e / </v>
      </c>
      <c r="J55" s="378"/>
      <c r="K55" s="348" t="str">
        <f>IF(H55="","",IFERROR(IF(D55=FAPr!$B$13,'Uso dos produtos do projeto'!H55*'Uso dos produtos do projeto'!G55*'Uso dos produtos do projeto'!E55/1000,'Uso dos produtos do projeto'!H55*'Uso dos produtos do projeto'!E55),""))</f>
        <v/>
      </c>
      <c r="L55" s="180"/>
    </row>
    <row r="56" spans="2:12" ht="15.75" hidden="1" outlineLevel="1" x14ac:dyDescent="0.25">
      <c r="B56" s="205"/>
      <c r="C56" s="213"/>
      <c r="D56" s="206"/>
      <c r="E56" s="353"/>
      <c r="F56" s="213"/>
      <c r="G56" s="377"/>
      <c r="H56" s="552"/>
      <c r="I56" s="379" t="str">
        <f t="shared" si="0"/>
        <v xml:space="preserve">kg CO2e / </v>
      </c>
      <c r="J56" s="378"/>
      <c r="K56" s="348" t="str">
        <f>IF(H56="","",IFERROR(IF(D56=FAPr!$B$13,'Uso dos produtos do projeto'!H56*'Uso dos produtos do projeto'!G56*'Uso dos produtos do projeto'!E56/1000,'Uso dos produtos do projeto'!H56*'Uso dos produtos do projeto'!E56),""))</f>
        <v/>
      </c>
      <c r="L56" s="180"/>
    </row>
    <row r="57" spans="2:12" ht="15.75" hidden="1" outlineLevel="1" x14ac:dyDescent="0.25">
      <c r="B57" s="205"/>
      <c r="C57" s="213"/>
      <c r="D57" s="206"/>
      <c r="E57" s="353"/>
      <c r="F57" s="213"/>
      <c r="G57" s="377"/>
      <c r="H57" s="552"/>
      <c r="I57" s="379" t="str">
        <f t="shared" si="0"/>
        <v xml:space="preserve">kg CO2e / </v>
      </c>
      <c r="J57" s="378"/>
      <c r="K57" s="348" t="str">
        <f>IF(H57="","",IFERROR(IF(D57=FAPr!$B$13,'Uso dos produtos do projeto'!H57*'Uso dos produtos do projeto'!G57*'Uso dos produtos do projeto'!E57/1000,'Uso dos produtos do projeto'!H57*'Uso dos produtos do projeto'!E57),""))</f>
        <v/>
      </c>
      <c r="L57" s="180"/>
    </row>
    <row r="58" spans="2:12" ht="15.75" hidden="1" outlineLevel="1" x14ac:dyDescent="0.25">
      <c r="B58" s="205"/>
      <c r="C58" s="213"/>
      <c r="D58" s="206"/>
      <c r="E58" s="353"/>
      <c r="F58" s="213"/>
      <c r="G58" s="377"/>
      <c r="H58" s="552"/>
      <c r="I58" s="379" t="str">
        <f t="shared" si="0"/>
        <v xml:space="preserve">kg CO2e / </v>
      </c>
      <c r="J58" s="378"/>
      <c r="K58" s="348" t="str">
        <f>IF(H58="","",IFERROR(IF(D58=FAPr!$B$13,'Uso dos produtos do projeto'!H58*'Uso dos produtos do projeto'!G58*'Uso dos produtos do projeto'!E58/1000,'Uso dos produtos do projeto'!H58*'Uso dos produtos do projeto'!E58),""))</f>
        <v/>
      </c>
      <c r="L58" s="180"/>
    </row>
    <row r="59" spans="2:12" ht="15.75" hidden="1" outlineLevel="1" x14ac:dyDescent="0.25">
      <c r="B59" s="205"/>
      <c r="C59" s="213"/>
      <c r="D59" s="206"/>
      <c r="E59" s="353"/>
      <c r="F59" s="213"/>
      <c r="G59" s="377"/>
      <c r="H59" s="552"/>
      <c r="I59" s="379" t="str">
        <f t="shared" si="0"/>
        <v xml:space="preserve">kg CO2e / </v>
      </c>
      <c r="J59" s="378"/>
      <c r="K59" s="348" t="str">
        <f>IF(H59="","",IFERROR(IF(D59=FAPr!$B$13,'Uso dos produtos do projeto'!H59*'Uso dos produtos do projeto'!G59*'Uso dos produtos do projeto'!E59/1000,'Uso dos produtos do projeto'!H59*'Uso dos produtos do projeto'!E59),""))</f>
        <v/>
      </c>
      <c r="L59" s="180"/>
    </row>
    <row r="60" spans="2:12" ht="15.75" hidden="1" outlineLevel="1" x14ac:dyDescent="0.25">
      <c r="B60" s="205"/>
      <c r="C60" s="213"/>
      <c r="D60" s="206"/>
      <c r="E60" s="353"/>
      <c r="F60" s="213"/>
      <c r="G60" s="377"/>
      <c r="H60" s="552"/>
      <c r="I60" s="379" t="str">
        <f t="shared" si="0"/>
        <v xml:space="preserve">kg CO2e / </v>
      </c>
      <c r="J60" s="378"/>
      <c r="K60" s="348" t="str">
        <f>IF(H60="","",IFERROR(IF(D60=FAPr!$B$13,'Uso dos produtos do projeto'!H60*'Uso dos produtos do projeto'!G60*'Uso dos produtos do projeto'!E60/1000,'Uso dos produtos do projeto'!H60*'Uso dos produtos do projeto'!E60),""))</f>
        <v/>
      </c>
      <c r="L60" s="180"/>
    </row>
    <row r="61" spans="2:12" ht="15.75" hidden="1" outlineLevel="1" x14ac:dyDescent="0.25">
      <c r="B61" s="205"/>
      <c r="C61" s="213"/>
      <c r="D61" s="206"/>
      <c r="E61" s="353"/>
      <c r="F61" s="213"/>
      <c r="G61" s="377"/>
      <c r="H61" s="552"/>
      <c r="I61" s="379" t="str">
        <f t="shared" si="0"/>
        <v xml:space="preserve">kg CO2e / </v>
      </c>
      <c r="J61" s="378"/>
      <c r="K61" s="348" t="str">
        <f>IF(H61="","",IFERROR(IF(D61=FAPr!$B$13,'Uso dos produtos do projeto'!H61*'Uso dos produtos do projeto'!G61*'Uso dos produtos do projeto'!E61/1000,'Uso dos produtos do projeto'!H61*'Uso dos produtos do projeto'!E61),""))</f>
        <v/>
      </c>
      <c r="L61" s="180"/>
    </row>
    <row r="62" spans="2:12" ht="15.75" hidden="1" outlineLevel="1" x14ac:dyDescent="0.25">
      <c r="B62" s="205"/>
      <c r="C62" s="213"/>
      <c r="D62" s="206"/>
      <c r="E62" s="353"/>
      <c r="F62" s="213"/>
      <c r="G62" s="377"/>
      <c r="H62" s="552"/>
      <c r="I62" s="379" t="str">
        <f t="shared" si="0"/>
        <v xml:space="preserve">kg CO2e / </v>
      </c>
      <c r="J62" s="378"/>
      <c r="K62" s="348" t="str">
        <f>IF(H62="","",IFERROR(IF(D62=FAPr!$B$13,'Uso dos produtos do projeto'!H62*'Uso dos produtos do projeto'!G62*'Uso dos produtos do projeto'!E62/1000,'Uso dos produtos do projeto'!H62*'Uso dos produtos do projeto'!E62),""))</f>
        <v/>
      </c>
      <c r="L62" s="180"/>
    </row>
    <row r="63" spans="2:12" ht="15.75" hidden="1" outlineLevel="1" x14ac:dyDescent="0.25">
      <c r="B63" s="205"/>
      <c r="C63" s="213"/>
      <c r="D63" s="206"/>
      <c r="E63" s="353"/>
      <c r="F63" s="213"/>
      <c r="G63" s="377"/>
      <c r="H63" s="552"/>
      <c r="I63" s="379" t="str">
        <f t="shared" si="0"/>
        <v xml:space="preserve">kg CO2e / </v>
      </c>
      <c r="J63" s="378"/>
      <c r="K63" s="348" t="str">
        <f>IF(H63="","",IFERROR(IF(D63=FAPr!$B$13,'Uso dos produtos do projeto'!H63*'Uso dos produtos do projeto'!G63*'Uso dos produtos do projeto'!E63/1000,'Uso dos produtos do projeto'!H63*'Uso dos produtos do projeto'!E63),""))</f>
        <v/>
      </c>
      <c r="L63" s="180"/>
    </row>
    <row r="64" spans="2:12" ht="15.75" hidden="1" outlineLevel="1" x14ac:dyDescent="0.25">
      <c r="B64" s="205"/>
      <c r="C64" s="213"/>
      <c r="D64" s="206"/>
      <c r="E64" s="353"/>
      <c r="F64" s="213"/>
      <c r="G64" s="377"/>
      <c r="H64" s="552"/>
      <c r="I64" s="379" t="str">
        <f t="shared" si="0"/>
        <v xml:space="preserve">kg CO2e / </v>
      </c>
      <c r="J64" s="378"/>
      <c r="K64" s="348" t="str">
        <f>IF(H64="","",IFERROR(IF(D64=FAPr!$B$13,'Uso dos produtos do projeto'!H64*'Uso dos produtos do projeto'!G64*'Uso dos produtos do projeto'!E64/1000,'Uso dos produtos do projeto'!H64*'Uso dos produtos do projeto'!E64),""))</f>
        <v/>
      </c>
      <c r="L64" s="180"/>
    </row>
    <row r="65" spans="2:12" ht="15.75" hidden="1" outlineLevel="1" x14ac:dyDescent="0.25">
      <c r="B65" s="205"/>
      <c r="C65" s="213"/>
      <c r="D65" s="206"/>
      <c r="E65" s="353"/>
      <c r="F65" s="213"/>
      <c r="G65" s="377"/>
      <c r="H65" s="552"/>
      <c r="I65" s="379" t="str">
        <f t="shared" si="0"/>
        <v xml:space="preserve">kg CO2e / </v>
      </c>
      <c r="J65" s="378"/>
      <c r="K65" s="348" t="str">
        <f>IF(H65="","",IFERROR(IF(D65=FAPr!$B$13,'Uso dos produtos do projeto'!H65*'Uso dos produtos do projeto'!G65*'Uso dos produtos do projeto'!E65/1000,'Uso dos produtos do projeto'!H65*'Uso dos produtos do projeto'!E65),""))</f>
        <v/>
      </c>
      <c r="L65" s="180"/>
    </row>
    <row r="66" spans="2:12" ht="15.75" hidden="1" outlineLevel="1" x14ac:dyDescent="0.25">
      <c r="B66" s="205"/>
      <c r="C66" s="213"/>
      <c r="D66" s="206"/>
      <c r="E66" s="353"/>
      <c r="F66" s="213"/>
      <c r="G66" s="377"/>
      <c r="H66" s="552"/>
      <c r="I66" s="379" t="str">
        <f t="shared" si="0"/>
        <v xml:space="preserve">kg CO2e / </v>
      </c>
      <c r="J66" s="378"/>
      <c r="K66" s="348" t="str">
        <f>IF(H66="","",IFERROR(IF(D66=FAPr!$B$13,'Uso dos produtos do projeto'!H66*'Uso dos produtos do projeto'!G66*'Uso dos produtos do projeto'!E66/1000,'Uso dos produtos do projeto'!H66*'Uso dos produtos do projeto'!E66),""))</f>
        <v/>
      </c>
      <c r="L66" s="180"/>
    </row>
    <row r="67" spans="2:12" ht="15.75" hidden="1" outlineLevel="1" x14ac:dyDescent="0.25">
      <c r="B67" s="205"/>
      <c r="C67" s="213"/>
      <c r="D67" s="206"/>
      <c r="E67" s="353"/>
      <c r="F67" s="213"/>
      <c r="G67" s="377"/>
      <c r="H67" s="552"/>
      <c r="I67" s="379" t="str">
        <f t="shared" si="0"/>
        <v xml:space="preserve">kg CO2e / </v>
      </c>
      <c r="J67" s="378"/>
      <c r="K67" s="348" t="str">
        <f>IF(H67="","",IFERROR(IF(D67=FAPr!$B$13,'Uso dos produtos do projeto'!H67*'Uso dos produtos do projeto'!G67*'Uso dos produtos do projeto'!E67/1000,'Uso dos produtos do projeto'!H67*'Uso dos produtos do projeto'!E67),""))</f>
        <v/>
      </c>
      <c r="L67" s="180"/>
    </row>
    <row r="68" spans="2:12" ht="15.75" hidden="1" outlineLevel="1" x14ac:dyDescent="0.25">
      <c r="B68" s="205"/>
      <c r="C68" s="213"/>
      <c r="D68" s="206"/>
      <c r="E68" s="353"/>
      <c r="F68" s="213"/>
      <c r="G68" s="377"/>
      <c r="H68" s="552"/>
      <c r="I68" s="379" t="str">
        <f t="shared" si="0"/>
        <v xml:space="preserve">kg CO2e / </v>
      </c>
      <c r="J68" s="378"/>
      <c r="K68" s="348" t="str">
        <f>IF(H68="","",IFERROR(IF(D68=FAPr!$B$13,'Uso dos produtos do projeto'!H68*'Uso dos produtos do projeto'!G68*'Uso dos produtos do projeto'!E68/1000,'Uso dos produtos do projeto'!H68*'Uso dos produtos do projeto'!E68),""))</f>
        <v/>
      </c>
      <c r="L68" s="180"/>
    </row>
    <row r="69" spans="2:12" ht="15.75" hidden="1" outlineLevel="1" x14ac:dyDescent="0.25">
      <c r="B69" s="205"/>
      <c r="C69" s="213"/>
      <c r="D69" s="206"/>
      <c r="E69" s="353"/>
      <c r="F69" s="213"/>
      <c r="G69" s="377"/>
      <c r="H69" s="552"/>
      <c r="I69" s="379" t="str">
        <f t="shared" si="0"/>
        <v xml:space="preserve">kg CO2e / </v>
      </c>
      <c r="J69" s="378"/>
      <c r="K69" s="348" t="str">
        <f>IF(H69="","",IFERROR(IF(D69=FAPr!$B$13,'Uso dos produtos do projeto'!H69*'Uso dos produtos do projeto'!G69*'Uso dos produtos do projeto'!E69/1000,'Uso dos produtos do projeto'!H69*'Uso dos produtos do projeto'!E69),""))</f>
        <v/>
      </c>
      <c r="L69" s="180"/>
    </row>
    <row r="70" spans="2:12" ht="15.75" hidden="1" outlineLevel="1" x14ac:dyDescent="0.25">
      <c r="B70" s="205"/>
      <c r="C70" s="213"/>
      <c r="D70" s="206"/>
      <c r="E70" s="353"/>
      <c r="F70" s="213"/>
      <c r="G70" s="377"/>
      <c r="H70" s="552"/>
      <c r="I70" s="379" t="str">
        <f t="shared" si="0"/>
        <v xml:space="preserve">kg CO2e / </v>
      </c>
      <c r="J70" s="378"/>
      <c r="K70" s="348" t="str">
        <f>IF(H70="","",IFERROR(IF(D70=FAPr!$B$13,'Uso dos produtos do projeto'!H70*'Uso dos produtos do projeto'!G70*'Uso dos produtos do projeto'!E70/1000,'Uso dos produtos do projeto'!H70*'Uso dos produtos do projeto'!E70),""))</f>
        <v/>
      </c>
      <c r="L70" s="180"/>
    </row>
    <row r="71" spans="2:12" ht="15.75" hidden="1" outlineLevel="1" x14ac:dyDescent="0.25">
      <c r="B71" s="205"/>
      <c r="C71" s="213"/>
      <c r="D71" s="206"/>
      <c r="E71" s="353"/>
      <c r="F71" s="213"/>
      <c r="G71" s="377"/>
      <c r="H71" s="552"/>
      <c r="I71" s="379" t="str">
        <f t="shared" si="0"/>
        <v xml:space="preserve">kg CO2e / </v>
      </c>
      <c r="J71" s="378"/>
      <c r="K71" s="348" t="str">
        <f>IF(H71="","",IFERROR(IF(D71=FAPr!$B$13,'Uso dos produtos do projeto'!H71*'Uso dos produtos do projeto'!G71*'Uso dos produtos do projeto'!E71/1000,'Uso dos produtos do projeto'!H71*'Uso dos produtos do projeto'!E71),""))</f>
        <v/>
      </c>
      <c r="L71" s="180"/>
    </row>
    <row r="72" spans="2:12" ht="15.75" hidden="1" outlineLevel="1" x14ac:dyDescent="0.25">
      <c r="B72" s="205"/>
      <c r="C72" s="213"/>
      <c r="D72" s="206"/>
      <c r="E72" s="353"/>
      <c r="F72" s="213"/>
      <c r="G72" s="377"/>
      <c r="H72" s="552"/>
      <c r="I72" s="379" t="str">
        <f t="shared" si="0"/>
        <v xml:space="preserve">kg CO2e / </v>
      </c>
      <c r="J72" s="378"/>
      <c r="K72" s="348" t="str">
        <f>IF(H72="","",IFERROR(IF(D72=FAPr!$B$13,'Uso dos produtos do projeto'!H72*'Uso dos produtos do projeto'!G72*'Uso dos produtos do projeto'!E72/1000,'Uso dos produtos do projeto'!H72*'Uso dos produtos do projeto'!E72),""))</f>
        <v/>
      </c>
      <c r="L72" s="180"/>
    </row>
    <row r="73" spans="2:12" ht="15.75" hidden="1" outlineLevel="1" x14ac:dyDescent="0.25">
      <c r="B73" s="205"/>
      <c r="C73" s="213"/>
      <c r="D73" s="206"/>
      <c r="E73" s="353"/>
      <c r="F73" s="213"/>
      <c r="G73" s="377"/>
      <c r="H73" s="552"/>
      <c r="I73" s="379" t="str">
        <f t="shared" si="0"/>
        <v xml:space="preserve">kg CO2e / </v>
      </c>
      <c r="J73" s="378"/>
      <c r="K73" s="348" t="str">
        <f>IF(H73="","",IFERROR(IF(D73=FAPr!$B$13,'Uso dos produtos do projeto'!H73*'Uso dos produtos do projeto'!G73*'Uso dos produtos do projeto'!E73/1000,'Uso dos produtos do projeto'!H73*'Uso dos produtos do projeto'!E73),""))</f>
        <v/>
      </c>
      <c r="L73" s="180"/>
    </row>
    <row r="74" spans="2:12" ht="15.75" hidden="1" outlineLevel="1" x14ac:dyDescent="0.25">
      <c r="B74" s="205"/>
      <c r="C74" s="213"/>
      <c r="D74" s="206"/>
      <c r="E74" s="353"/>
      <c r="F74" s="213"/>
      <c r="G74" s="377"/>
      <c r="H74" s="552"/>
      <c r="I74" s="379" t="str">
        <f t="shared" si="0"/>
        <v xml:space="preserve">kg CO2e / </v>
      </c>
      <c r="J74" s="378"/>
      <c r="K74" s="348" t="str">
        <f>IF(H74="","",IFERROR(IF(D74=FAPr!$B$13,'Uso dos produtos do projeto'!H74*'Uso dos produtos do projeto'!G74*'Uso dos produtos do projeto'!E74/1000,'Uso dos produtos do projeto'!H74*'Uso dos produtos do projeto'!E74),""))</f>
        <v/>
      </c>
      <c r="L74" s="180"/>
    </row>
    <row r="75" spans="2:12" ht="15.75" hidden="1" outlineLevel="1" x14ac:dyDescent="0.25">
      <c r="B75" s="205"/>
      <c r="C75" s="213"/>
      <c r="D75" s="206"/>
      <c r="E75" s="353"/>
      <c r="F75" s="213"/>
      <c r="G75" s="377"/>
      <c r="H75" s="552"/>
      <c r="I75" s="379" t="str">
        <f t="shared" si="0"/>
        <v xml:space="preserve">kg CO2e / </v>
      </c>
      <c r="J75" s="378"/>
      <c r="K75" s="348" t="str">
        <f>IF(H75="","",IFERROR(IF(D75=FAPr!$B$13,'Uso dos produtos do projeto'!H75*'Uso dos produtos do projeto'!G75*'Uso dos produtos do projeto'!E75/1000,'Uso dos produtos do projeto'!H75*'Uso dos produtos do projeto'!E75),""))</f>
        <v/>
      </c>
      <c r="L75" s="180"/>
    </row>
    <row r="76" spans="2:12" ht="15.75" hidden="1" outlineLevel="1" x14ac:dyDescent="0.25">
      <c r="B76" s="205"/>
      <c r="C76" s="213"/>
      <c r="D76" s="206"/>
      <c r="E76" s="353"/>
      <c r="F76" s="213"/>
      <c r="G76" s="377"/>
      <c r="H76" s="552"/>
      <c r="I76" s="379" t="str">
        <f t="shared" si="0"/>
        <v xml:space="preserve">kg CO2e / </v>
      </c>
      <c r="J76" s="378"/>
      <c r="K76" s="348" t="str">
        <f>IF(H76="","",IFERROR(IF(D76=FAPr!$B$13,'Uso dos produtos do projeto'!H76*'Uso dos produtos do projeto'!G76*'Uso dos produtos do projeto'!E76/1000,'Uso dos produtos do projeto'!H76*'Uso dos produtos do projeto'!E76),""))</f>
        <v/>
      </c>
      <c r="L76" s="180"/>
    </row>
    <row r="77" spans="2:12" ht="15.75" hidden="1" outlineLevel="1" x14ac:dyDescent="0.25">
      <c r="B77" s="205"/>
      <c r="C77" s="213"/>
      <c r="D77" s="206"/>
      <c r="E77" s="353"/>
      <c r="F77" s="213"/>
      <c r="G77" s="377"/>
      <c r="H77" s="552"/>
      <c r="I77" s="379" t="str">
        <f t="shared" si="0"/>
        <v xml:space="preserve">kg CO2e / </v>
      </c>
      <c r="J77" s="378"/>
      <c r="K77" s="348" t="str">
        <f>IF(H77="","",IFERROR(IF(D77=FAPr!$B$13,'Uso dos produtos do projeto'!H77*'Uso dos produtos do projeto'!G77*'Uso dos produtos do projeto'!E77/1000,'Uso dos produtos do projeto'!H77*'Uso dos produtos do projeto'!E77),""))</f>
        <v/>
      </c>
      <c r="L77" s="180"/>
    </row>
    <row r="78" spans="2:12" ht="15.75" hidden="1" outlineLevel="1" x14ac:dyDescent="0.25">
      <c r="B78" s="205"/>
      <c r="C78" s="213"/>
      <c r="D78" s="206"/>
      <c r="E78" s="353"/>
      <c r="F78" s="213"/>
      <c r="G78" s="377"/>
      <c r="H78" s="552"/>
      <c r="I78" s="379" t="str">
        <f t="shared" si="0"/>
        <v xml:space="preserve">kg CO2e / </v>
      </c>
      <c r="J78" s="378"/>
      <c r="K78" s="348" t="str">
        <f>IF(H78="","",IFERROR(IF(D78=FAPr!$B$13,'Uso dos produtos do projeto'!H78*'Uso dos produtos do projeto'!G78*'Uso dos produtos do projeto'!E78/1000,'Uso dos produtos do projeto'!H78*'Uso dos produtos do projeto'!E78),""))</f>
        <v/>
      </c>
      <c r="L78" s="180"/>
    </row>
    <row r="79" spans="2:12" ht="15.75" hidden="1" outlineLevel="1" x14ac:dyDescent="0.25">
      <c r="B79" s="205"/>
      <c r="C79" s="213"/>
      <c r="D79" s="206"/>
      <c r="E79" s="353"/>
      <c r="F79" s="213"/>
      <c r="G79" s="377"/>
      <c r="H79" s="552"/>
      <c r="I79" s="379" t="str">
        <f t="shared" si="0"/>
        <v xml:space="preserve">kg CO2e / </v>
      </c>
      <c r="J79" s="378"/>
      <c r="K79" s="348" t="str">
        <f>IF(H79="","",IFERROR(IF(D79=FAPr!$B$13,'Uso dos produtos do projeto'!H79*'Uso dos produtos do projeto'!G79*'Uso dos produtos do projeto'!E79/1000,'Uso dos produtos do projeto'!H79*'Uso dos produtos do projeto'!E79),""))</f>
        <v/>
      </c>
      <c r="L79" s="180"/>
    </row>
    <row r="80" spans="2:12" ht="15.75" hidden="1" outlineLevel="1" x14ac:dyDescent="0.25">
      <c r="B80" s="205"/>
      <c r="C80" s="213"/>
      <c r="D80" s="206"/>
      <c r="E80" s="353"/>
      <c r="F80" s="213"/>
      <c r="G80" s="377"/>
      <c r="H80" s="552"/>
      <c r="I80" s="379" t="str">
        <f t="shared" si="0"/>
        <v xml:space="preserve">kg CO2e / </v>
      </c>
      <c r="J80" s="378"/>
      <c r="K80" s="348" t="str">
        <f>IF(H80="","",IFERROR(IF(D80=FAPr!$B$13,'Uso dos produtos do projeto'!H80*'Uso dos produtos do projeto'!G80*'Uso dos produtos do projeto'!E80/1000,'Uso dos produtos do projeto'!H80*'Uso dos produtos do projeto'!E80),""))</f>
        <v/>
      </c>
      <c r="L80" s="180"/>
    </row>
    <row r="81" spans="2:12" ht="15.75" hidden="1" outlineLevel="1" x14ac:dyDescent="0.25">
      <c r="B81" s="205"/>
      <c r="C81" s="213"/>
      <c r="D81" s="206"/>
      <c r="E81" s="353"/>
      <c r="F81" s="213"/>
      <c r="G81" s="377"/>
      <c r="H81" s="552"/>
      <c r="I81" s="379" t="str">
        <f t="shared" si="0"/>
        <v xml:space="preserve">kg CO2e / </v>
      </c>
      <c r="J81" s="378"/>
      <c r="K81" s="348" t="str">
        <f>IF(H81="","",IFERROR(IF(D81=FAPr!$B$13,'Uso dos produtos do projeto'!H81*'Uso dos produtos do projeto'!G81*'Uso dos produtos do projeto'!E81/1000,'Uso dos produtos do projeto'!H81*'Uso dos produtos do projeto'!E81),""))</f>
        <v/>
      </c>
      <c r="L81" s="180"/>
    </row>
    <row r="82" spans="2:12" ht="15.75" hidden="1" outlineLevel="1" x14ac:dyDescent="0.25">
      <c r="B82" s="205"/>
      <c r="C82" s="213"/>
      <c r="D82" s="206"/>
      <c r="E82" s="353"/>
      <c r="F82" s="213"/>
      <c r="G82" s="377"/>
      <c r="H82" s="552"/>
      <c r="I82" s="379" t="str">
        <f t="shared" si="0"/>
        <v xml:space="preserve">kg CO2e / </v>
      </c>
      <c r="J82" s="378"/>
      <c r="K82" s="348" t="str">
        <f>IF(H82="","",IFERROR(IF(D82=FAPr!$B$13,'Uso dos produtos do projeto'!H82*'Uso dos produtos do projeto'!G82*'Uso dos produtos do projeto'!E82/1000,'Uso dos produtos do projeto'!H82*'Uso dos produtos do projeto'!E82),""))</f>
        <v/>
      </c>
      <c r="L82" s="180"/>
    </row>
    <row r="83" spans="2:12" ht="15.75" hidden="1" outlineLevel="1" x14ac:dyDescent="0.25">
      <c r="B83" s="205"/>
      <c r="C83" s="213"/>
      <c r="D83" s="206"/>
      <c r="E83" s="353"/>
      <c r="F83" s="213"/>
      <c r="G83" s="377"/>
      <c r="H83" s="552"/>
      <c r="I83" s="379" t="str">
        <f t="shared" si="0"/>
        <v xml:space="preserve">kg CO2e / </v>
      </c>
      <c r="J83" s="378"/>
      <c r="K83" s="348" t="str">
        <f>IF(H83="","",IFERROR(IF(D83=FAPr!$B$13,'Uso dos produtos do projeto'!H83*'Uso dos produtos do projeto'!G83*'Uso dos produtos do projeto'!E83/1000,'Uso dos produtos do projeto'!H83*'Uso dos produtos do projeto'!E83),""))</f>
        <v/>
      </c>
      <c r="L83" s="180"/>
    </row>
    <row r="84" spans="2:12" ht="15.75" hidden="1" outlineLevel="1" x14ac:dyDescent="0.25">
      <c r="B84" s="205"/>
      <c r="C84" s="213"/>
      <c r="D84" s="206"/>
      <c r="E84" s="353"/>
      <c r="F84" s="213"/>
      <c r="G84" s="377"/>
      <c r="H84" s="552"/>
      <c r="I84" s="379" t="str">
        <f t="shared" si="0"/>
        <v xml:space="preserve">kg CO2e / </v>
      </c>
      <c r="J84" s="378"/>
      <c r="K84" s="348" t="str">
        <f>IF(H84="","",IFERROR(IF(D84=FAPr!$B$13,'Uso dos produtos do projeto'!H84*'Uso dos produtos do projeto'!G84*'Uso dos produtos do projeto'!E84/1000,'Uso dos produtos do projeto'!H84*'Uso dos produtos do projeto'!E84),""))</f>
        <v/>
      </c>
      <c r="L84" s="180"/>
    </row>
    <row r="85" spans="2:12" ht="15.75" hidden="1" outlineLevel="1" x14ac:dyDescent="0.25">
      <c r="B85" s="205"/>
      <c r="C85" s="213"/>
      <c r="D85" s="206"/>
      <c r="E85" s="353"/>
      <c r="F85" s="213"/>
      <c r="G85" s="377"/>
      <c r="H85" s="552"/>
      <c r="I85" s="379" t="str">
        <f t="shared" si="0"/>
        <v xml:space="preserve">kg CO2e / </v>
      </c>
      <c r="J85" s="378"/>
      <c r="K85" s="348" t="str">
        <f>IF(H85="","",IFERROR(IF(D85=FAPr!$B$13,'Uso dos produtos do projeto'!H85*'Uso dos produtos do projeto'!G85*'Uso dos produtos do projeto'!E85/1000,'Uso dos produtos do projeto'!H85*'Uso dos produtos do projeto'!E85),""))</f>
        <v/>
      </c>
      <c r="L85" s="180"/>
    </row>
    <row r="86" spans="2:12" ht="15.75" hidden="1" outlineLevel="1" x14ac:dyDescent="0.25">
      <c r="B86" s="205"/>
      <c r="C86" s="213"/>
      <c r="D86" s="206"/>
      <c r="E86" s="353"/>
      <c r="F86" s="213"/>
      <c r="G86" s="377"/>
      <c r="H86" s="552"/>
      <c r="I86" s="379" t="str">
        <f t="shared" si="0"/>
        <v xml:space="preserve">kg CO2e / </v>
      </c>
      <c r="J86" s="378"/>
      <c r="K86" s="348" t="str">
        <f>IF(H86="","",IFERROR(IF(D86=FAPr!$B$13,'Uso dos produtos do projeto'!H86*'Uso dos produtos do projeto'!G86*'Uso dos produtos do projeto'!E86/1000,'Uso dos produtos do projeto'!H86*'Uso dos produtos do projeto'!E86),""))</f>
        <v/>
      </c>
      <c r="L86" s="180"/>
    </row>
    <row r="87" spans="2:12" ht="15.75" hidden="1" outlineLevel="1" x14ac:dyDescent="0.25">
      <c r="B87" s="205"/>
      <c r="C87" s="213"/>
      <c r="D87" s="206"/>
      <c r="E87" s="353"/>
      <c r="F87" s="213"/>
      <c r="G87" s="377"/>
      <c r="H87" s="552"/>
      <c r="I87" s="379" t="str">
        <f t="shared" si="0"/>
        <v xml:space="preserve">kg CO2e / </v>
      </c>
      <c r="J87" s="378"/>
      <c r="K87" s="348" t="str">
        <f>IF(H87="","",IFERROR(IF(D87=FAPr!$B$13,'Uso dos produtos do projeto'!H87*'Uso dos produtos do projeto'!G87*'Uso dos produtos do projeto'!E87/1000,'Uso dos produtos do projeto'!H87*'Uso dos produtos do projeto'!E87),""))</f>
        <v/>
      </c>
      <c r="L87" s="180"/>
    </row>
    <row r="88" spans="2:12" ht="15.75" hidden="1" outlineLevel="1" x14ac:dyDescent="0.25">
      <c r="B88" s="205"/>
      <c r="C88" s="213"/>
      <c r="D88" s="206"/>
      <c r="E88" s="353"/>
      <c r="F88" s="213"/>
      <c r="G88" s="377"/>
      <c r="H88" s="552"/>
      <c r="I88" s="379" t="str">
        <f t="shared" si="0"/>
        <v xml:space="preserve">kg CO2e / </v>
      </c>
      <c r="J88" s="378"/>
      <c r="K88" s="348" t="str">
        <f>IF(H88="","",IFERROR(IF(D88=FAPr!$B$13,'Uso dos produtos do projeto'!H88*'Uso dos produtos do projeto'!G88*'Uso dos produtos do projeto'!E88/1000,'Uso dos produtos do projeto'!H88*'Uso dos produtos do projeto'!E88),""))</f>
        <v/>
      </c>
      <c r="L88" s="180"/>
    </row>
    <row r="89" spans="2:12" ht="15.75" hidden="1" outlineLevel="1" x14ac:dyDescent="0.25">
      <c r="B89" s="205"/>
      <c r="C89" s="213"/>
      <c r="D89" s="206"/>
      <c r="E89" s="353"/>
      <c r="F89" s="213"/>
      <c r="G89" s="377"/>
      <c r="H89" s="552"/>
      <c r="I89" s="379" t="str">
        <f t="shared" si="0"/>
        <v xml:space="preserve">kg CO2e / </v>
      </c>
      <c r="J89" s="378"/>
      <c r="K89" s="348" t="str">
        <f>IF(H89="","",IFERROR(IF(D89=FAPr!$B$13,'Uso dos produtos do projeto'!H89*'Uso dos produtos do projeto'!G89*'Uso dos produtos do projeto'!E89/1000,'Uso dos produtos do projeto'!H89*'Uso dos produtos do projeto'!E89),""))</f>
        <v/>
      </c>
      <c r="L89" s="180"/>
    </row>
    <row r="90" spans="2:12" ht="15.75" hidden="1" outlineLevel="1" x14ac:dyDescent="0.25">
      <c r="B90" s="205"/>
      <c r="C90" s="213"/>
      <c r="D90" s="206"/>
      <c r="E90" s="353"/>
      <c r="F90" s="213"/>
      <c r="G90" s="377"/>
      <c r="H90" s="552"/>
      <c r="I90" s="379" t="str">
        <f t="shared" si="0"/>
        <v xml:space="preserve">kg CO2e / </v>
      </c>
      <c r="J90" s="378"/>
      <c r="K90" s="348" t="str">
        <f>IF(H90="","",IFERROR(IF(D90=FAPr!$B$13,'Uso dos produtos do projeto'!H90*'Uso dos produtos do projeto'!G90*'Uso dos produtos do projeto'!E90/1000,'Uso dos produtos do projeto'!H90*'Uso dos produtos do projeto'!E90),""))</f>
        <v/>
      </c>
      <c r="L90" s="180"/>
    </row>
    <row r="91" spans="2:12" ht="15.75" hidden="1" outlineLevel="1" x14ac:dyDescent="0.25">
      <c r="B91" s="205"/>
      <c r="C91" s="213"/>
      <c r="D91" s="206"/>
      <c r="E91" s="353"/>
      <c r="F91" s="213"/>
      <c r="G91" s="377"/>
      <c r="H91" s="552"/>
      <c r="I91" s="379" t="str">
        <f t="shared" si="0"/>
        <v xml:space="preserve">kg CO2e / </v>
      </c>
      <c r="J91" s="378"/>
      <c r="K91" s="348" t="str">
        <f>IF(H91="","",IFERROR(IF(D91=FAPr!$B$13,'Uso dos produtos do projeto'!H91*'Uso dos produtos do projeto'!G91*'Uso dos produtos do projeto'!E91/1000,'Uso dos produtos do projeto'!H91*'Uso dos produtos do projeto'!E91),""))</f>
        <v/>
      </c>
      <c r="L91" s="180"/>
    </row>
    <row r="92" spans="2:12" ht="15.75" hidden="1" outlineLevel="1" x14ac:dyDescent="0.25">
      <c r="B92" s="205"/>
      <c r="C92" s="213"/>
      <c r="D92" s="206"/>
      <c r="E92" s="353"/>
      <c r="F92" s="213"/>
      <c r="G92" s="377"/>
      <c r="H92" s="552"/>
      <c r="I92" s="379" t="str">
        <f t="shared" si="0"/>
        <v xml:space="preserve">kg CO2e / </v>
      </c>
      <c r="J92" s="378"/>
      <c r="K92" s="348" t="str">
        <f>IF(H92="","",IFERROR(IF(D92=FAPr!$B$13,'Uso dos produtos do projeto'!H92*'Uso dos produtos do projeto'!G92*'Uso dos produtos do projeto'!E92/1000,'Uso dos produtos do projeto'!H92*'Uso dos produtos do projeto'!E92),""))</f>
        <v/>
      </c>
      <c r="L92" s="180"/>
    </row>
    <row r="93" spans="2:12" ht="15.75" hidden="1" outlineLevel="1" x14ac:dyDescent="0.25">
      <c r="B93" s="205"/>
      <c r="C93" s="213"/>
      <c r="D93" s="206"/>
      <c r="E93" s="353"/>
      <c r="F93" s="213"/>
      <c r="G93" s="377"/>
      <c r="H93" s="552"/>
      <c r="I93" s="379" t="str">
        <f t="shared" si="0"/>
        <v xml:space="preserve">kg CO2e / </v>
      </c>
      <c r="J93" s="378"/>
      <c r="K93" s="348" t="str">
        <f>IF(H93="","",IFERROR(IF(D93=FAPr!$B$13,'Uso dos produtos do projeto'!H93*'Uso dos produtos do projeto'!G93*'Uso dos produtos do projeto'!E93/1000,'Uso dos produtos do projeto'!H93*'Uso dos produtos do projeto'!E93),""))</f>
        <v/>
      </c>
      <c r="L93" s="180"/>
    </row>
    <row r="94" spans="2:12" ht="15.75" hidden="1" outlineLevel="1" x14ac:dyDescent="0.25">
      <c r="B94" s="205"/>
      <c r="C94" s="213"/>
      <c r="D94" s="206"/>
      <c r="E94" s="353"/>
      <c r="F94" s="213"/>
      <c r="G94" s="377"/>
      <c r="H94" s="552"/>
      <c r="I94" s="379" t="str">
        <f t="shared" si="0"/>
        <v xml:space="preserve">kg CO2e / </v>
      </c>
      <c r="J94" s="378"/>
      <c r="K94" s="348" t="str">
        <f>IF(H94="","",IFERROR(IF(D94=FAPr!$B$13,'Uso dos produtos do projeto'!H94*'Uso dos produtos do projeto'!G94*'Uso dos produtos do projeto'!E94/1000,'Uso dos produtos do projeto'!H94*'Uso dos produtos do projeto'!E94),""))</f>
        <v/>
      </c>
      <c r="L94" s="180"/>
    </row>
    <row r="95" spans="2:12" ht="15.75" hidden="1" outlineLevel="1" x14ac:dyDescent="0.25">
      <c r="B95" s="205"/>
      <c r="C95" s="213"/>
      <c r="D95" s="206"/>
      <c r="E95" s="353"/>
      <c r="F95" s="213"/>
      <c r="G95" s="377"/>
      <c r="H95" s="552"/>
      <c r="I95" s="379" t="str">
        <f t="shared" si="0"/>
        <v xml:space="preserve">kg CO2e / </v>
      </c>
      <c r="J95" s="378"/>
      <c r="K95" s="348" t="str">
        <f>IF(H95="","",IFERROR(IF(D95=FAPr!$B$13,'Uso dos produtos do projeto'!H95*'Uso dos produtos do projeto'!G95*'Uso dos produtos do projeto'!E95/1000,'Uso dos produtos do projeto'!H95*'Uso dos produtos do projeto'!E95),""))</f>
        <v/>
      </c>
      <c r="L95" s="180"/>
    </row>
    <row r="96" spans="2:12" ht="15.75" hidden="1" outlineLevel="1" x14ac:dyDescent="0.25">
      <c r="B96" s="205"/>
      <c r="C96" s="213"/>
      <c r="D96" s="206"/>
      <c r="E96" s="353"/>
      <c r="F96" s="213"/>
      <c r="G96" s="377"/>
      <c r="H96" s="552"/>
      <c r="I96" s="379" t="str">
        <f t="shared" si="0"/>
        <v xml:space="preserve">kg CO2e / </v>
      </c>
      <c r="J96" s="378"/>
      <c r="K96" s="348" t="str">
        <f>IF(H96="","",IFERROR(IF(D96=FAPr!$B$13,'Uso dos produtos do projeto'!H96*'Uso dos produtos do projeto'!G96*'Uso dos produtos do projeto'!E96/1000,'Uso dos produtos do projeto'!H96*'Uso dos produtos do projeto'!E96),""))</f>
        <v/>
      </c>
      <c r="L96" s="180"/>
    </row>
    <row r="97" spans="2:12" ht="15.75" hidden="1" outlineLevel="1" x14ac:dyDescent="0.25">
      <c r="B97" s="205"/>
      <c r="C97" s="213"/>
      <c r="D97" s="206"/>
      <c r="E97" s="353"/>
      <c r="F97" s="213"/>
      <c r="G97" s="377"/>
      <c r="H97" s="552"/>
      <c r="I97" s="379" t="str">
        <f t="shared" si="0"/>
        <v xml:space="preserve">kg CO2e / </v>
      </c>
      <c r="J97" s="378"/>
      <c r="K97" s="348" t="str">
        <f>IF(H97="","",IFERROR(IF(D97=FAPr!$B$13,'Uso dos produtos do projeto'!H97*'Uso dos produtos do projeto'!G97*'Uso dos produtos do projeto'!E97/1000,'Uso dos produtos do projeto'!H97*'Uso dos produtos do projeto'!E97),""))</f>
        <v/>
      </c>
      <c r="L97" s="180"/>
    </row>
    <row r="98" spans="2:12" ht="15.75" hidden="1" outlineLevel="1" x14ac:dyDescent="0.25">
      <c r="B98" s="205"/>
      <c r="C98" s="213"/>
      <c r="D98" s="206"/>
      <c r="E98" s="353"/>
      <c r="F98" s="213"/>
      <c r="G98" s="377"/>
      <c r="H98" s="552"/>
      <c r="I98" s="379" t="str">
        <f t="shared" si="0"/>
        <v xml:space="preserve">kg CO2e / </v>
      </c>
      <c r="J98" s="378"/>
      <c r="K98" s="348" t="str">
        <f>IF(H98="","",IFERROR(IF(D98=FAPr!$B$13,'Uso dos produtos do projeto'!H98*'Uso dos produtos do projeto'!G98*'Uso dos produtos do projeto'!E98/1000,'Uso dos produtos do projeto'!H98*'Uso dos produtos do projeto'!E98),""))</f>
        <v/>
      </c>
      <c r="L98" s="180"/>
    </row>
    <row r="99" spans="2:12" ht="15.75" hidden="1" outlineLevel="1" x14ac:dyDescent="0.25">
      <c r="B99" s="205"/>
      <c r="C99" s="213"/>
      <c r="D99" s="206"/>
      <c r="E99" s="353"/>
      <c r="F99" s="213"/>
      <c r="G99" s="377"/>
      <c r="H99" s="552"/>
      <c r="I99" s="379" t="str">
        <f t="shared" si="0"/>
        <v xml:space="preserve">kg CO2e / </v>
      </c>
      <c r="J99" s="378"/>
      <c r="K99" s="348" t="str">
        <f>IF(H99="","",IFERROR(IF(D99=FAPr!$B$13,'Uso dos produtos do projeto'!H99*'Uso dos produtos do projeto'!G99*'Uso dos produtos do projeto'!E99/1000,'Uso dos produtos do projeto'!H99*'Uso dos produtos do projeto'!E99),""))</f>
        <v/>
      </c>
      <c r="L99" s="180"/>
    </row>
    <row r="100" spans="2:12" ht="15.75" hidden="1" outlineLevel="1" x14ac:dyDescent="0.25">
      <c r="B100" s="205"/>
      <c r="C100" s="213"/>
      <c r="D100" s="206"/>
      <c r="E100" s="353"/>
      <c r="F100" s="213"/>
      <c r="G100" s="377"/>
      <c r="H100" s="552"/>
      <c r="I100" s="379" t="str">
        <f t="shared" si="0"/>
        <v xml:space="preserve">kg CO2e / </v>
      </c>
      <c r="J100" s="378"/>
      <c r="K100" s="348" t="str">
        <f>IF(H100="","",IFERROR(IF(D100=FAPr!$B$13,'Uso dos produtos do projeto'!H100*'Uso dos produtos do projeto'!G100*'Uso dos produtos do projeto'!E100/1000,'Uso dos produtos do projeto'!H100*'Uso dos produtos do projeto'!E100),""))</f>
        <v/>
      </c>
      <c r="L100" s="180"/>
    </row>
    <row r="101" spans="2:12" ht="15.75" hidden="1" outlineLevel="1" x14ac:dyDescent="0.25">
      <c r="B101" s="205"/>
      <c r="C101" s="213"/>
      <c r="D101" s="206"/>
      <c r="E101" s="353"/>
      <c r="F101" s="213"/>
      <c r="G101" s="377"/>
      <c r="H101" s="552"/>
      <c r="I101" s="379" t="str">
        <f t="shared" ref="I101:I134" si="1">"kg CO2e / "&amp;F101</f>
        <v xml:space="preserve">kg CO2e / </v>
      </c>
      <c r="J101" s="378"/>
      <c r="K101" s="348" t="str">
        <f>IF(H101="","",IFERROR(IF(D101=FAPr!$B$13,'Uso dos produtos do projeto'!H101*'Uso dos produtos do projeto'!G101*'Uso dos produtos do projeto'!E101/1000,'Uso dos produtos do projeto'!H101*'Uso dos produtos do projeto'!E101),""))</f>
        <v/>
      </c>
      <c r="L101" s="180"/>
    </row>
    <row r="102" spans="2:12" ht="15.75" hidden="1" outlineLevel="1" x14ac:dyDescent="0.25">
      <c r="B102" s="205"/>
      <c r="C102" s="213"/>
      <c r="D102" s="206"/>
      <c r="E102" s="353"/>
      <c r="F102" s="213"/>
      <c r="G102" s="377"/>
      <c r="H102" s="552"/>
      <c r="I102" s="379" t="str">
        <f t="shared" si="1"/>
        <v xml:space="preserve">kg CO2e / </v>
      </c>
      <c r="J102" s="378"/>
      <c r="K102" s="348" t="str">
        <f>IF(H102="","",IFERROR(IF(D102=FAPr!$B$13,'Uso dos produtos do projeto'!H102*'Uso dos produtos do projeto'!G102*'Uso dos produtos do projeto'!E102/1000,'Uso dos produtos do projeto'!H102*'Uso dos produtos do projeto'!E102),""))</f>
        <v/>
      </c>
      <c r="L102" s="180"/>
    </row>
    <row r="103" spans="2:12" ht="15.75" hidden="1" outlineLevel="1" x14ac:dyDescent="0.25">
      <c r="B103" s="205"/>
      <c r="C103" s="213"/>
      <c r="D103" s="206"/>
      <c r="E103" s="353"/>
      <c r="F103" s="213"/>
      <c r="G103" s="377"/>
      <c r="H103" s="552"/>
      <c r="I103" s="379" t="str">
        <f t="shared" si="1"/>
        <v xml:space="preserve">kg CO2e / </v>
      </c>
      <c r="J103" s="378"/>
      <c r="K103" s="348" t="str">
        <f>IF(H103="","",IFERROR(IF(D103=FAPr!$B$13,'Uso dos produtos do projeto'!H103*'Uso dos produtos do projeto'!G103*'Uso dos produtos do projeto'!E103/1000,'Uso dos produtos do projeto'!H103*'Uso dos produtos do projeto'!E103),""))</f>
        <v/>
      </c>
      <c r="L103" s="180"/>
    </row>
    <row r="104" spans="2:12" ht="15.75" hidden="1" outlineLevel="1" x14ac:dyDescent="0.25">
      <c r="B104" s="205"/>
      <c r="C104" s="213"/>
      <c r="D104" s="206"/>
      <c r="E104" s="353"/>
      <c r="F104" s="213"/>
      <c r="G104" s="377"/>
      <c r="H104" s="552"/>
      <c r="I104" s="379" t="str">
        <f t="shared" si="1"/>
        <v xml:space="preserve">kg CO2e / </v>
      </c>
      <c r="J104" s="378"/>
      <c r="K104" s="348" t="str">
        <f>IF(H104="","",IFERROR(IF(D104=FAPr!$B$13,'Uso dos produtos do projeto'!H104*'Uso dos produtos do projeto'!G104*'Uso dos produtos do projeto'!E104/1000,'Uso dos produtos do projeto'!H104*'Uso dos produtos do projeto'!E104),""))</f>
        <v/>
      </c>
      <c r="L104" s="180"/>
    </row>
    <row r="105" spans="2:12" ht="15.75" hidden="1" outlineLevel="1" x14ac:dyDescent="0.25">
      <c r="B105" s="205"/>
      <c r="C105" s="213"/>
      <c r="D105" s="206"/>
      <c r="E105" s="353"/>
      <c r="F105" s="213"/>
      <c r="G105" s="377"/>
      <c r="H105" s="552"/>
      <c r="I105" s="379" t="str">
        <f t="shared" si="1"/>
        <v xml:space="preserve">kg CO2e / </v>
      </c>
      <c r="J105" s="378"/>
      <c r="K105" s="348" t="str">
        <f>IF(H105="","",IFERROR(IF(D105=FAPr!$B$13,'Uso dos produtos do projeto'!H105*'Uso dos produtos do projeto'!G105*'Uso dos produtos do projeto'!E105/1000,'Uso dos produtos do projeto'!H105*'Uso dos produtos do projeto'!E105),""))</f>
        <v/>
      </c>
      <c r="L105" s="180"/>
    </row>
    <row r="106" spans="2:12" ht="15.75" hidden="1" outlineLevel="1" x14ac:dyDescent="0.25">
      <c r="B106" s="205"/>
      <c r="C106" s="213"/>
      <c r="D106" s="206"/>
      <c r="E106" s="353"/>
      <c r="F106" s="213"/>
      <c r="G106" s="377"/>
      <c r="H106" s="552"/>
      <c r="I106" s="379" t="str">
        <f t="shared" si="1"/>
        <v xml:space="preserve">kg CO2e / </v>
      </c>
      <c r="J106" s="378"/>
      <c r="K106" s="348" t="str">
        <f>IF(H106="","",IFERROR(IF(D106=FAPr!$B$13,'Uso dos produtos do projeto'!H106*'Uso dos produtos do projeto'!G106*'Uso dos produtos do projeto'!E106/1000,'Uso dos produtos do projeto'!H106*'Uso dos produtos do projeto'!E106),""))</f>
        <v/>
      </c>
      <c r="L106" s="180"/>
    </row>
    <row r="107" spans="2:12" ht="15.75" hidden="1" outlineLevel="1" x14ac:dyDescent="0.25">
      <c r="B107" s="205"/>
      <c r="C107" s="213"/>
      <c r="D107" s="206"/>
      <c r="E107" s="353"/>
      <c r="F107" s="213"/>
      <c r="G107" s="377"/>
      <c r="H107" s="552"/>
      <c r="I107" s="379" t="str">
        <f t="shared" si="1"/>
        <v xml:space="preserve">kg CO2e / </v>
      </c>
      <c r="J107" s="378"/>
      <c r="K107" s="348" t="str">
        <f>IF(H107="","",IFERROR(IF(D107=FAPr!$B$13,'Uso dos produtos do projeto'!H107*'Uso dos produtos do projeto'!G107*'Uso dos produtos do projeto'!E107/1000,'Uso dos produtos do projeto'!H107*'Uso dos produtos do projeto'!E107),""))</f>
        <v/>
      </c>
      <c r="L107" s="180"/>
    </row>
    <row r="108" spans="2:12" ht="15.75" hidden="1" outlineLevel="1" x14ac:dyDescent="0.25">
      <c r="B108" s="205"/>
      <c r="C108" s="213"/>
      <c r="D108" s="206"/>
      <c r="E108" s="353"/>
      <c r="F108" s="213"/>
      <c r="G108" s="377"/>
      <c r="H108" s="552"/>
      <c r="I108" s="379" t="str">
        <f t="shared" si="1"/>
        <v xml:space="preserve">kg CO2e / </v>
      </c>
      <c r="J108" s="378"/>
      <c r="K108" s="348" t="str">
        <f>IF(H108="","",IFERROR(IF(D108=FAPr!$B$13,'Uso dos produtos do projeto'!H108*'Uso dos produtos do projeto'!G108*'Uso dos produtos do projeto'!E108/1000,'Uso dos produtos do projeto'!H108*'Uso dos produtos do projeto'!E108),""))</f>
        <v/>
      </c>
      <c r="L108" s="180"/>
    </row>
    <row r="109" spans="2:12" ht="15.75" hidden="1" outlineLevel="1" x14ac:dyDescent="0.25">
      <c r="B109" s="205"/>
      <c r="C109" s="213"/>
      <c r="D109" s="206"/>
      <c r="E109" s="353"/>
      <c r="F109" s="213"/>
      <c r="G109" s="377"/>
      <c r="H109" s="552"/>
      <c r="I109" s="379" t="str">
        <f t="shared" si="1"/>
        <v xml:space="preserve">kg CO2e / </v>
      </c>
      <c r="J109" s="378"/>
      <c r="K109" s="348" t="str">
        <f>IF(H109="","",IFERROR(IF(D109=FAPr!$B$13,'Uso dos produtos do projeto'!H109*'Uso dos produtos do projeto'!G109*'Uso dos produtos do projeto'!E109/1000,'Uso dos produtos do projeto'!H109*'Uso dos produtos do projeto'!E109),""))</f>
        <v/>
      </c>
      <c r="L109" s="180"/>
    </row>
    <row r="110" spans="2:12" ht="15.75" hidden="1" outlineLevel="1" x14ac:dyDescent="0.25">
      <c r="B110" s="205"/>
      <c r="C110" s="213"/>
      <c r="D110" s="206"/>
      <c r="E110" s="353"/>
      <c r="F110" s="213"/>
      <c r="G110" s="377"/>
      <c r="H110" s="552"/>
      <c r="I110" s="379" t="str">
        <f t="shared" si="1"/>
        <v xml:space="preserve">kg CO2e / </v>
      </c>
      <c r="J110" s="378"/>
      <c r="K110" s="348" t="str">
        <f>IF(H110="","",IFERROR(IF(D110=FAPr!$B$13,'Uso dos produtos do projeto'!H110*'Uso dos produtos do projeto'!G110*'Uso dos produtos do projeto'!E110/1000,'Uso dos produtos do projeto'!H110*'Uso dos produtos do projeto'!E110),""))</f>
        <v/>
      </c>
      <c r="L110" s="180"/>
    </row>
    <row r="111" spans="2:12" ht="15.75" hidden="1" outlineLevel="1" x14ac:dyDescent="0.25">
      <c r="B111" s="205"/>
      <c r="C111" s="213"/>
      <c r="D111" s="206"/>
      <c r="E111" s="353"/>
      <c r="F111" s="213"/>
      <c r="G111" s="377"/>
      <c r="H111" s="552"/>
      <c r="I111" s="379" t="str">
        <f t="shared" si="1"/>
        <v xml:space="preserve">kg CO2e / </v>
      </c>
      <c r="J111" s="378"/>
      <c r="K111" s="348" t="str">
        <f>IF(H111="","",IFERROR(IF(D111=FAPr!$B$13,'Uso dos produtos do projeto'!H111*'Uso dos produtos do projeto'!G111*'Uso dos produtos do projeto'!E111/1000,'Uso dos produtos do projeto'!H111*'Uso dos produtos do projeto'!E111),""))</f>
        <v/>
      </c>
      <c r="L111" s="180"/>
    </row>
    <row r="112" spans="2:12" ht="15.75" hidden="1" outlineLevel="1" x14ac:dyDescent="0.25">
      <c r="B112" s="205"/>
      <c r="C112" s="213"/>
      <c r="D112" s="206"/>
      <c r="E112" s="353"/>
      <c r="F112" s="213"/>
      <c r="G112" s="377"/>
      <c r="H112" s="552"/>
      <c r="I112" s="379" t="str">
        <f t="shared" si="1"/>
        <v xml:space="preserve">kg CO2e / </v>
      </c>
      <c r="J112" s="378"/>
      <c r="K112" s="348" t="str">
        <f>IF(H112="","",IFERROR(IF(D112=FAPr!$B$13,'Uso dos produtos do projeto'!H112*'Uso dos produtos do projeto'!G112*'Uso dos produtos do projeto'!E112/1000,'Uso dos produtos do projeto'!H112*'Uso dos produtos do projeto'!E112),""))</f>
        <v/>
      </c>
      <c r="L112" s="180"/>
    </row>
    <row r="113" spans="2:12" ht="15.75" hidden="1" outlineLevel="1" x14ac:dyDescent="0.25">
      <c r="B113" s="205"/>
      <c r="C113" s="213"/>
      <c r="D113" s="206"/>
      <c r="E113" s="353"/>
      <c r="F113" s="213"/>
      <c r="G113" s="377"/>
      <c r="H113" s="552"/>
      <c r="I113" s="379" t="str">
        <f t="shared" si="1"/>
        <v xml:space="preserve">kg CO2e / </v>
      </c>
      <c r="J113" s="378"/>
      <c r="K113" s="348" t="str">
        <f>IF(H113="","",IFERROR(IF(D113=FAPr!$B$13,'Uso dos produtos do projeto'!H113*'Uso dos produtos do projeto'!G113*'Uso dos produtos do projeto'!E113/1000,'Uso dos produtos do projeto'!H113*'Uso dos produtos do projeto'!E113),""))</f>
        <v/>
      </c>
      <c r="L113" s="180"/>
    </row>
    <row r="114" spans="2:12" ht="15.75" hidden="1" outlineLevel="1" x14ac:dyDescent="0.25">
      <c r="B114" s="205"/>
      <c r="C114" s="213"/>
      <c r="D114" s="206"/>
      <c r="E114" s="353"/>
      <c r="F114" s="213"/>
      <c r="G114" s="377"/>
      <c r="H114" s="552"/>
      <c r="I114" s="379" t="str">
        <f t="shared" si="1"/>
        <v xml:space="preserve">kg CO2e / </v>
      </c>
      <c r="J114" s="378"/>
      <c r="K114" s="348" t="str">
        <f>IF(H114="","",IFERROR(IF(D114=FAPr!$B$13,'Uso dos produtos do projeto'!H114*'Uso dos produtos do projeto'!G114*'Uso dos produtos do projeto'!E114/1000,'Uso dos produtos do projeto'!H114*'Uso dos produtos do projeto'!E114),""))</f>
        <v/>
      </c>
      <c r="L114" s="180"/>
    </row>
    <row r="115" spans="2:12" ht="15.75" hidden="1" outlineLevel="1" x14ac:dyDescent="0.25">
      <c r="B115" s="205"/>
      <c r="C115" s="213"/>
      <c r="D115" s="206"/>
      <c r="E115" s="353"/>
      <c r="F115" s="213"/>
      <c r="G115" s="377"/>
      <c r="H115" s="552"/>
      <c r="I115" s="379" t="str">
        <f t="shared" si="1"/>
        <v xml:space="preserve">kg CO2e / </v>
      </c>
      <c r="J115" s="378"/>
      <c r="K115" s="348" t="str">
        <f>IF(H115="","",IFERROR(IF(D115=FAPr!$B$13,'Uso dos produtos do projeto'!H115*'Uso dos produtos do projeto'!G115*'Uso dos produtos do projeto'!E115/1000,'Uso dos produtos do projeto'!H115*'Uso dos produtos do projeto'!E115),""))</f>
        <v/>
      </c>
      <c r="L115" s="180"/>
    </row>
    <row r="116" spans="2:12" ht="15.75" hidden="1" outlineLevel="1" x14ac:dyDescent="0.25">
      <c r="B116" s="205"/>
      <c r="C116" s="213"/>
      <c r="D116" s="206"/>
      <c r="E116" s="353"/>
      <c r="F116" s="213"/>
      <c r="G116" s="377"/>
      <c r="H116" s="552"/>
      <c r="I116" s="379" t="str">
        <f t="shared" si="1"/>
        <v xml:space="preserve">kg CO2e / </v>
      </c>
      <c r="J116" s="378"/>
      <c r="K116" s="348" t="str">
        <f>IF(H116="","",IFERROR(IF(D116=FAPr!$B$13,'Uso dos produtos do projeto'!H116*'Uso dos produtos do projeto'!G116*'Uso dos produtos do projeto'!E116/1000,'Uso dos produtos do projeto'!H116*'Uso dos produtos do projeto'!E116),""))</f>
        <v/>
      </c>
      <c r="L116" s="180"/>
    </row>
    <row r="117" spans="2:12" ht="15.75" hidden="1" outlineLevel="1" x14ac:dyDescent="0.25">
      <c r="B117" s="205"/>
      <c r="C117" s="213"/>
      <c r="D117" s="206"/>
      <c r="E117" s="353"/>
      <c r="F117" s="213"/>
      <c r="G117" s="377"/>
      <c r="H117" s="552"/>
      <c r="I117" s="379" t="str">
        <f t="shared" si="1"/>
        <v xml:space="preserve">kg CO2e / </v>
      </c>
      <c r="J117" s="378"/>
      <c r="K117" s="348" t="str">
        <f>IF(H117="","",IFERROR(IF(D117=FAPr!$B$13,'Uso dos produtos do projeto'!H117*'Uso dos produtos do projeto'!G117*'Uso dos produtos do projeto'!E117/1000,'Uso dos produtos do projeto'!H117*'Uso dos produtos do projeto'!E117),""))</f>
        <v/>
      </c>
      <c r="L117" s="180"/>
    </row>
    <row r="118" spans="2:12" ht="15.75" hidden="1" outlineLevel="1" x14ac:dyDescent="0.25">
      <c r="B118" s="205"/>
      <c r="C118" s="213"/>
      <c r="D118" s="206"/>
      <c r="E118" s="353"/>
      <c r="F118" s="213"/>
      <c r="G118" s="377"/>
      <c r="H118" s="552"/>
      <c r="I118" s="379" t="str">
        <f t="shared" si="1"/>
        <v xml:space="preserve">kg CO2e / </v>
      </c>
      <c r="J118" s="378"/>
      <c r="K118" s="348" t="str">
        <f>IF(H118="","",IFERROR(IF(D118=FAPr!$B$13,'Uso dos produtos do projeto'!H118*'Uso dos produtos do projeto'!G118*'Uso dos produtos do projeto'!E118/1000,'Uso dos produtos do projeto'!H118*'Uso dos produtos do projeto'!E118),""))</f>
        <v/>
      </c>
      <c r="L118" s="180"/>
    </row>
    <row r="119" spans="2:12" ht="15.75" hidden="1" outlineLevel="1" x14ac:dyDescent="0.25">
      <c r="B119" s="205"/>
      <c r="C119" s="213"/>
      <c r="D119" s="206"/>
      <c r="E119" s="353"/>
      <c r="F119" s="213"/>
      <c r="G119" s="377"/>
      <c r="H119" s="552"/>
      <c r="I119" s="379" t="str">
        <f t="shared" si="1"/>
        <v xml:space="preserve">kg CO2e / </v>
      </c>
      <c r="J119" s="378"/>
      <c r="K119" s="348" t="str">
        <f>IF(H119="","",IFERROR(IF(D119=FAPr!$B$13,'Uso dos produtos do projeto'!H119*'Uso dos produtos do projeto'!G119*'Uso dos produtos do projeto'!E119/1000,'Uso dos produtos do projeto'!H119*'Uso dos produtos do projeto'!E119),""))</f>
        <v/>
      </c>
      <c r="L119" s="180"/>
    </row>
    <row r="120" spans="2:12" ht="15.75" hidden="1" outlineLevel="1" x14ac:dyDescent="0.25">
      <c r="B120" s="205"/>
      <c r="C120" s="213"/>
      <c r="D120" s="206"/>
      <c r="E120" s="353"/>
      <c r="F120" s="213"/>
      <c r="G120" s="377"/>
      <c r="H120" s="552"/>
      <c r="I120" s="379" t="str">
        <f t="shared" si="1"/>
        <v xml:space="preserve">kg CO2e / </v>
      </c>
      <c r="J120" s="378"/>
      <c r="K120" s="348" t="str">
        <f>IF(H120="","",IFERROR(IF(D120=FAPr!$B$13,'Uso dos produtos do projeto'!H120*'Uso dos produtos do projeto'!G120*'Uso dos produtos do projeto'!E120/1000,'Uso dos produtos do projeto'!H120*'Uso dos produtos do projeto'!E120),""))</f>
        <v/>
      </c>
      <c r="L120" s="180"/>
    </row>
    <row r="121" spans="2:12" ht="15.75" hidden="1" outlineLevel="1" x14ac:dyDescent="0.25">
      <c r="B121" s="205"/>
      <c r="C121" s="213"/>
      <c r="D121" s="206"/>
      <c r="E121" s="353"/>
      <c r="F121" s="213"/>
      <c r="G121" s="377"/>
      <c r="H121" s="552"/>
      <c r="I121" s="379" t="str">
        <f t="shared" si="1"/>
        <v xml:space="preserve">kg CO2e / </v>
      </c>
      <c r="J121" s="378"/>
      <c r="K121" s="348" t="str">
        <f>IF(H121="","",IFERROR(IF(D121=FAPr!$B$13,'Uso dos produtos do projeto'!H121*'Uso dos produtos do projeto'!G121*'Uso dos produtos do projeto'!E121/1000,'Uso dos produtos do projeto'!H121*'Uso dos produtos do projeto'!E121),""))</f>
        <v/>
      </c>
      <c r="L121" s="180"/>
    </row>
    <row r="122" spans="2:12" ht="15.75" hidden="1" outlineLevel="1" x14ac:dyDescent="0.25">
      <c r="B122" s="205"/>
      <c r="C122" s="213"/>
      <c r="D122" s="206"/>
      <c r="E122" s="353"/>
      <c r="F122" s="213"/>
      <c r="G122" s="377"/>
      <c r="H122" s="552"/>
      <c r="I122" s="379" t="str">
        <f t="shared" si="1"/>
        <v xml:space="preserve">kg CO2e / </v>
      </c>
      <c r="J122" s="378"/>
      <c r="K122" s="348" t="str">
        <f>IF(H122="","",IFERROR(IF(D122=FAPr!$B$13,'Uso dos produtos do projeto'!H122*'Uso dos produtos do projeto'!G122*'Uso dos produtos do projeto'!E122/1000,'Uso dos produtos do projeto'!H122*'Uso dos produtos do projeto'!E122),""))</f>
        <v/>
      </c>
      <c r="L122" s="180"/>
    </row>
    <row r="123" spans="2:12" ht="15.75" hidden="1" outlineLevel="1" x14ac:dyDescent="0.25">
      <c r="B123" s="205"/>
      <c r="C123" s="213"/>
      <c r="D123" s="206"/>
      <c r="E123" s="353"/>
      <c r="F123" s="213"/>
      <c r="G123" s="377"/>
      <c r="H123" s="552"/>
      <c r="I123" s="379" t="str">
        <f t="shared" si="1"/>
        <v xml:space="preserve">kg CO2e / </v>
      </c>
      <c r="J123" s="378"/>
      <c r="K123" s="348" t="str">
        <f>IF(H123="","",IFERROR(IF(D123=FAPr!$B$13,'Uso dos produtos do projeto'!H123*'Uso dos produtos do projeto'!G123*'Uso dos produtos do projeto'!E123/1000,'Uso dos produtos do projeto'!H123*'Uso dos produtos do projeto'!E123),""))</f>
        <v/>
      </c>
      <c r="L123" s="180"/>
    </row>
    <row r="124" spans="2:12" ht="15.75" hidden="1" outlineLevel="1" x14ac:dyDescent="0.25">
      <c r="B124" s="205"/>
      <c r="C124" s="213"/>
      <c r="D124" s="206"/>
      <c r="E124" s="353"/>
      <c r="F124" s="213"/>
      <c r="G124" s="377"/>
      <c r="H124" s="552"/>
      <c r="I124" s="379" t="str">
        <f t="shared" si="1"/>
        <v xml:space="preserve">kg CO2e / </v>
      </c>
      <c r="J124" s="378"/>
      <c r="K124" s="348" t="str">
        <f>IF(H124="","",IFERROR(IF(D124=FAPr!$B$13,'Uso dos produtos do projeto'!H124*'Uso dos produtos do projeto'!G124*'Uso dos produtos do projeto'!E124/1000,'Uso dos produtos do projeto'!H124*'Uso dos produtos do projeto'!E124),""))</f>
        <v/>
      </c>
      <c r="L124" s="180"/>
    </row>
    <row r="125" spans="2:12" ht="15.75" hidden="1" outlineLevel="1" x14ac:dyDescent="0.25">
      <c r="B125" s="205"/>
      <c r="C125" s="213"/>
      <c r="D125" s="206"/>
      <c r="E125" s="353"/>
      <c r="F125" s="213"/>
      <c r="G125" s="377"/>
      <c r="H125" s="552"/>
      <c r="I125" s="379" t="str">
        <f t="shared" si="1"/>
        <v xml:space="preserve">kg CO2e / </v>
      </c>
      <c r="J125" s="378"/>
      <c r="K125" s="348" t="str">
        <f>IF(H125="","",IFERROR(IF(D125=FAPr!$B$13,'Uso dos produtos do projeto'!H125*'Uso dos produtos do projeto'!G125*'Uso dos produtos do projeto'!E125/1000,'Uso dos produtos do projeto'!H125*'Uso dos produtos do projeto'!E125),""))</f>
        <v/>
      </c>
      <c r="L125" s="180"/>
    </row>
    <row r="126" spans="2:12" ht="15.75" hidden="1" outlineLevel="1" x14ac:dyDescent="0.25">
      <c r="B126" s="205"/>
      <c r="C126" s="213"/>
      <c r="D126" s="206"/>
      <c r="E126" s="353"/>
      <c r="F126" s="213"/>
      <c r="G126" s="377"/>
      <c r="H126" s="552"/>
      <c r="I126" s="379" t="str">
        <f t="shared" si="1"/>
        <v xml:space="preserve">kg CO2e / </v>
      </c>
      <c r="J126" s="378"/>
      <c r="K126" s="348" t="str">
        <f>IF(H126="","",IFERROR(IF(D126=FAPr!$B$13,'Uso dos produtos do projeto'!H126*'Uso dos produtos do projeto'!G126*'Uso dos produtos do projeto'!E126/1000,'Uso dos produtos do projeto'!H126*'Uso dos produtos do projeto'!E126),""))</f>
        <v/>
      </c>
      <c r="L126" s="180"/>
    </row>
    <row r="127" spans="2:12" ht="15.75" hidden="1" outlineLevel="1" x14ac:dyDescent="0.25">
      <c r="B127" s="205"/>
      <c r="C127" s="213"/>
      <c r="D127" s="206"/>
      <c r="E127" s="353"/>
      <c r="F127" s="213"/>
      <c r="G127" s="377"/>
      <c r="H127" s="552"/>
      <c r="I127" s="379" t="str">
        <f t="shared" si="1"/>
        <v xml:space="preserve">kg CO2e / </v>
      </c>
      <c r="J127" s="378"/>
      <c r="K127" s="348" t="str">
        <f>IF(H127="","",IFERROR(IF(D127=FAPr!$B$13,'Uso dos produtos do projeto'!H127*'Uso dos produtos do projeto'!G127*'Uso dos produtos do projeto'!E127/1000,'Uso dos produtos do projeto'!H127*'Uso dos produtos do projeto'!E127),""))</f>
        <v/>
      </c>
      <c r="L127" s="180"/>
    </row>
    <row r="128" spans="2:12" ht="15.75" hidden="1" outlineLevel="1" x14ac:dyDescent="0.25">
      <c r="B128" s="205"/>
      <c r="C128" s="213"/>
      <c r="D128" s="206"/>
      <c r="E128" s="353"/>
      <c r="F128" s="213"/>
      <c r="G128" s="377"/>
      <c r="H128" s="552"/>
      <c r="I128" s="379" t="str">
        <f t="shared" si="1"/>
        <v xml:space="preserve">kg CO2e / </v>
      </c>
      <c r="J128" s="378"/>
      <c r="K128" s="348" t="str">
        <f>IF(H128="","",IFERROR(IF(D128=FAPr!$B$13,'Uso dos produtos do projeto'!H128*'Uso dos produtos do projeto'!G128*'Uso dos produtos do projeto'!E128/1000,'Uso dos produtos do projeto'!H128*'Uso dos produtos do projeto'!E128),""))</f>
        <v/>
      </c>
      <c r="L128" s="180"/>
    </row>
    <row r="129" spans="2:12" ht="15.75" hidden="1" outlineLevel="1" x14ac:dyDescent="0.25">
      <c r="B129" s="205"/>
      <c r="C129" s="213"/>
      <c r="D129" s="206"/>
      <c r="E129" s="353"/>
      <c r="F129" s="213"/>
      <c r="G129" s="377"/>
      <c r="H129" s="552"/>
      <c r="I129" s="379" t="str">
        <f t="shared" si="1"/>
        <v xml:space="preserve">kg CO2e / </v>
      </c>
      <c r="J129" s="378"/>
      <c r="K129" s="348" t="str">
        <f>IF(H129="","",IFERROR(IF(D129=FAPr!$B$13,'Uso dos produtos do projeto'!H129*'Uso dos produtos do projeto'!G129*'Uso dos produtos do projeto'!E129/1000,'Uso dos produtos do projeto'!H129*'Uso dos produtos do projeto'!E129),""))</f>
        <v/>
      </c>
      <c r="L129" s="180"/>
    </row>
    <row r="130" spans="2:12" ht="15.75" hidden="1" outlineLevel="1" x14ac:dyDescent="0.25">
      <c r="B130" s="205"/>
      <c r="C130" s="213"/>
      <c r="D130" s="206"/>
      <c r="E130" s="353"/>
      <c r="F130" s="213"/>
      <c r="G130" s="377"/>
      <c r="H130" s="552"/>
      <c r="I130" s="379" t="str">
        <f t="shared" si="1"/>
        <v xml:space="preserve">kg CO2e / </v>
      </c>
      <c r="J130" s="378"/>
      <c r="K130" s="348" t="str">
        <f>IF(H130="","",IFERROR(IF(D130=FAPr!$B$13,'Uso dos produtos do projeto'!H130*'Uso dos produtos do projeto'!G130*'Uso dos produtos do projeto'!E130/1000,'Uso dos produtos do projeto'!H130*'Uso dos produtos do projeto'!E130),""))</f>
        <v/>
      </c>
      <c r="L130" s="180"/>
    </row>
    <row r="131" spans="2:12" ht="15.75" hidden="1" outlineLevel="1" x14ac:dyDescent="0.25">
      <c r="B131" s="205"/>
      <c r="C131" s="213"/>
      <c r="D131" s="206"/>
      <c r="E131" s="353"/>
      <c r="F131" s="213"/>
      <c r="G131" s="377"/>
      <c r="H131" s="552"/>
      <c r="I131" s="379" t="str">
        <f t="shared" si="1"/>
        <v xml:space="preserve">kg CO2e / </v>
      </c>
      <c r="J131" s="378"/>
      <c r="K131" s="348" t="str">
        <f>IF(H131="","",IFERROR(IF(D131=FAPr!$B$13,'Uso dos produtos do projeto'!H131*'Uso dos produtos do projeto'!G131*'Uso dos produtos do projeto'!E131/1000,'Uso dos produtos do projeto'!H131*'Uso dos produtos do projeto'!E131),""))</f>
        <v/>
      </c>
      <c r="L131" s="180"/>
    </row>
    <row r="132" spans="2:12" ht="15.75" hidden="1" outlineLevel="1" x14ac:dyDescent="0.25">
      <c r="B132" s="205"/>
      <c r="C132" s="213"/>
      <c r="D132" s="206"/>
      <c r="E132" s="353"/>
      <c r="F132" s="213"/>
      <c r="G132" s="377"/>
      <c r="H132" s="552"/>
      <c r="I132" s="379" t="str">
        <f t="shared" si="1"/>
        <v xml:space="preserve">kg CO2e / </v>
      </c>
      <c r="J132" s="378"/>
      <c r="K132" s="348" t="str">
        <f>IF(H132="","",IFERROR(IF(D132=FAPr!$B$13,'Uso dos produtos do projeto'!H132*'Uso dos produtos do projeto'!G132*'Uso dos produtos do projeto'!E132/1000,'Uso dos produtos do projeto'!H132*'Uso dos produtos do projeto'!E132),""))</f>
        <v/>
      </c>
      <c r="L132" s="180"/>
    </row>
    <row r="133" spans="2:12" ht="15.75" hidden="1" outlineLevel="1" x14ac:dyDescent="0.25">
      <c r="B133" s="205"/>
      <c r="C133" s="213"/>
      <c r="D133" s="206"/>
      <c r="E133" s="353"/>
      <c r="F133" s="213"/>
      <c r="G133" s="377"/>
      <c r="H133" s="552"/>
      <c r="I133" s="379" t="str">
        <f t="shared" si="1"/>
        <v xml:space="preserve">kg CO2e / </v>
      </c>
      <c r="J133" s="378"/>
      <c r="K133" s="348" t="str">
        <f>IF(H133="","",IFERROR(IF(D133=FAPr!$B$13,'Uso dos produtos do projeto'!H133*'Uso dos produtos do projeto'!G133*'Uso dos produtos do projeto'!E133/1000,'Uso dos produtos do projeto'!H133*'Uso dos produtos do projeto'!E133),""))</f>
        <v/>
      </c>
      <c r="L133" s="180"/>
    </row>
    <row r="134" spans="2:12" ht="15.75" hidden="1" outlineLevel="1" x14ac:dyDescent="0.25">
      <c r="B134" s="205"/>
      <c r="C134" s="213"/>
      <c r="D134" s="206"/>
      <c r="E134" s="353"/>
      <c r="F134" s="213"/>
      <c r="G134" s="377"/>
      <c r="H134" s="552"/>
      <c r="I134" s="379" t="str">
        <f t="shared" si="1"/>
        <v xml:space="preserve">kg CO2e / </v>
      </c>
      <c r="J134" s="378"/>
      <c r="K134" s="348" t="str">
        <f>IF(H134="","",IFERROR(IF(D134=FAPr!$B$13,'Uso dos produtos do projeto'!H134*'Uso dos produtos do projeto'!G134*'Uso dos produtos do projeto'!E134/1000,'Uso dos produtos do projeto'!H134*'Uso dos produtos do projeto'!E134),""))</f>
        <v/>
      </c>
      <c r="L134" s="180"/>
    </row>
    <row r="135" spans="2:12" ht="24.6" customHeight="1" collapsed="1" x14ac:dyDescent="0.25">
      <c r="B135" s="216" t="s">
        <v>37</v>
      </c>
      <c r="C135" s="217"/>
      <c r="D135" s="217"/>
      <c r="E135" s="217"/>
      <c r="F135" s="217"/>
      <c r="G135" s="217"/>
      <c r="H135" s="217"/>
      <c r="I135" s="217"/>
      <c r="J135" s="232"/>
      <c r="K135" s="348">
        <f>SUM(K35:K134)</f>
        <v>0</v>
      </c>
    </row>
    <row r="136" spans="2:12" s="168" customFormat="1" ht="24.6" customHeight="1" x14ac:dyDescent="0.25">
      <c r="B136" s="208" t="s">
        <v>1006</v>
      </c>
      <c r="C136" s="209"/>
      <c r="D136" s="209"/>
      <c r="E136" s="209"/>
      <c r="F136" s="209"/>
      <c r="G136" s="209"/>
      <c r="H136" s="210"/>
      <c r="I136" s="210"/>
      <c r="J136" s="210"/>
    </row>
    <row r="137" spans="2:12" ht="15.75" x14ac:dyDescent="0.25"/>
    <row r="138" spans="2:12" ht="15.75" x14ac:dyDescent="0.25"/>
    <row r="139" spans="2:12" s="332" customFormat="1" ht="30" customHeight="1" x14ac:dyDescent="0.25">
      <c r="B139" s="231" t="s">
        <v>604</v>
      </c>
    </row>
    <row r="140" spans="2:12" ht="15.75" x14ac:dyDescent="0.25"/>
    <row r="141" spans="2:12" ht="15.75" x14ac:dyDescent="0.25">
      <c r="F141" s="1432" t="s">
        <v>550</v>
      </c>
      <c r="G141" s="1433"/>
      <c r="H141" s="1434"/>
    </row>
    <row r="142" spans="2:12" s="249" customFormat="1" ht="15.75" x14ac:dyDescent="0.25">
      <c r="F142" s="256" t="e">
        <f>'Emissões Fugitivas'!#REF!</f>
        <v>#REF!</v>
      </c>
      <c r="G142" s="257" t="s">
        <v>33</v>
      </c>
      <c r="H142" s="258" t="s">
        <v>246</v>
      </c>
    </row>
    <row r="143" spans="2:12" ht="18.75" x14ac:dyDescent="0.25">
      <c r="C143" s="1432" t="s">
        <v>980</v>
      </c>
      <c r="D143" s="1433"/>
      <c r="E143" s="1434"/>
      <c r="F143" s="536">
        <f>SUMIF($B$35:$B$134,F$142,$K$35:$K$134)</f>
        <v>0</v>
      </c>
      <c r="G143" s="536">
        <f>SUMIF($B$35:$B$134,G$142,$K$35:$K$134)</f>
        <v>0</v>
      </c>
      <c r="H143" s="536">
        <f>SUMIF($B$35:$B$134,H$142,$K$35:$K$134)</f>
        <v>0</v>
      </c>
      <c r="I143" s="220" t="s">
        <v>37</v>
      </c>
    </row>
    <row r="144" spans="2:12" ht="18.75" x14ac:dyDescent="0.25">
      <c r="C144" s="1432" t="s">
        <v>981</v>
      </c>
      <c r="D144" s="1433"/>
      <c r="E144" s="1434"/>
      <c r="F144" s="536" t="e">
        <f>IF(Identificação!#REF!="", F143*'Fatores de Emissão'!#REF!, Identificação!#REF!*F143)</f>
        <v>#REF!</v>
      </c>
      <c r="G144" s="536" t="e">
        <f>IF(Identificação!#REF!="", G143*'Fatores de Emissão'!#REF!, Identificação!#REF!*G143)</f>
        <v>#REF!</v>
      </c>
      <c r="H144" s="536" t="e">
        <f>IF(Identificação!#REF!="", H143*'Fatores de Emissão'!#REF!, Identificação!#REF!*H143)</f>
        <v>#REF!</v>
      </c>
      <c r="I144" s="536" t="e">
        <f>SUM(F144:H144)</f>
        <v>#REF!</v>
      </c>
    </row>
    <row r="145" spans="2:17" ht="15.75" x14ac:dyDescent="0.25"/>
    <row r="146" spans="2:17" ht="15.75" x14ac:dyDescent="0.25"/>
    <row r="147" spans="2:17" ht="19.899999999999999" customHeight="1" x14ac:dyDescent="0.25">
      <c r="B147" s="253"/>
      <c r="C147" s="253"/>
      <c r="D147" s="253"/>
      <c r="E147" s="253"/>
      <c r="F147" s="253"/>
      <c r="G147" s="253"/>
      <c r="H147" s="253"/>
      <c r="I147" s="253"/>
      <c r="J147" s="253"/>
      <c r="K147" s="253"/>
      <c r="L147" s="253"/>
      <c r="M147" s="253"/>
      <c r="N147" s="253"/>
      <c r="O147" s="253"/>
      <c r="P147" s="253"/>
      <c r="Q147" s="253"/>
    </row>
    <row r="148" spans="2:17" ht="15.75" x14ac:dyDescent="0.25"/>
    <row r="149" spans="2:17" ht="15.75" x14ac:dyDescent="0.25"/>
    <row r="150" spans="2:17" ht="15.75" x14ac:dyDescent="0.25"/>
    <row r="151" spans="2:17" ht="15.75" x14ac:dyDescent="0.25"/>
    <row r="152" spans="2:17" ht="15.75" x14ac:dyDescent="0.25"/>
    <row r="153" spans="2:17" ht="15.75" x14ac:dyDescent="0.25"/>
    <row r="154" spans="2:17" ht="15.75" x14ac:dyDescent="0.25"/>
    <row r="155" spans="2:17" ht="15.75" x14ac:dyDescent="0.25"/>
    <row r="156" spans="2:17" ht="15.75" x14ac:dyDescent="0.25"/>
    <row r="157" spans="2:17" ht="15.75" x14ac:dyDescent="0.25"/>
    <row r="158" spans="2:17" ht="15.75" x14ac:dyDescent="0.25"/>
    <row r="159" spans="2:17" ht="15.6" customHeight="1" x14ac:dyDescent="0.25"/>
    <row r="160" spans="2:17" ht="15.6" customHeight="1" x14ac:dyDescent="0.25"/>
    <row r="161" ht="15.6" customHeight="1" x14ac:dyDescent="0.25"/>
    <row r="162" ht="15.6" customHeight="1" x14ac:dyDescent="0.25"/>
    <row r="163" ht="15.6" customHeight="1" x14ac:dyDescent="0.25"/>
    <row r="164" ht="15.6" customHeight="1" x14ac:dyDescent="0.25"/>
    <row r="165" ht="15.6" customHeight="1" x14ac:dyDescent="0.25"/>
    <row r="166" ht="15.6" customHeight="1" x14ac:dyDescent="0.25"/>
    <row r="167" ht="15.6" customHeight="1" x14ac:dyDescent="0.25"/>
    <row r="168" ht="15.6" customHeight="1" x14ac:dyDescent="0.25"/>
    <row r="169" ht="15.6" customHeight="1" x14ac:dyDescent="0.25"/>
    <row r="170" ht="15.6" customHeight="1" x14ac:dyDescent="0.25"/>
    <row r="171" ht="15.6" customHeight="1" x14ac:dyDescent="0.25"/>
    <row r="172" ht="15.6" customHeight="1" x14ac:dyDescent="0.25"/>
    <row r="173" ht="15.6" customHeight="1" x14ac:dyDescent="0.25"/>
    <row r="174" ht="15.6" customHeight="1" x14ac:dyDescent="0.25"/>
    <row r="175" ht="15.6" customHeight="1" x14ac:dyDescent="0.25"/>
    <row r="176" ht="15.6" customHeight="1" x14ac:dyDescent="0.25"/>
    <row r="177" ht="15.6" customHeight="1" x14ac:dyDescent="0.25"/>
    <row r="178" ht="15.6" customHeight="1" x14ac:dyDescent="0.25"/>
    <row r="179" ht="15.6" customHeight="1" x14ac:dyDescent="0.25"/>
    <row r="180" ht="15.6" customHeight="1" x14ac:dyDescent="0.25"/>
    <row r="181" ht="15.6" customHeight="1" x14ac:dyDescent="0.25"/>
    <row r="182" ht="15.6" customHeight="1" x14ac:dyDescent="0.25"/>
    <row r="183" ht="15.6" customHeight="1" x14ac:dyDescent="0.25"/>
    <row r="184" ht="15.6" customHeight="1" x14ac:dyDescent="0.25"/>
    <row r="185" ht="15.6" customHeight="1" x14ac:dyDescent="0.25"/>
    <row r="186" ht="15.6" customHeight="1" x14ac:dyDescent="0.25"/>
    <row r="187" ht="15.6" customHeight="1" x14ac:dyDescent="0.25"/>
    <row r="188" ht="15.6" customHeight="1" x14ac:dyDescent="0.25"/>
    <row r="189" ht="15.6" customHeight="1" x14ac:dyDescent="0.25"/>
    <row r="190" ht="15.6" customHeight="1" x14ac:dyDescent="0.25"/>
    <row r="191" ht="15.6" customHeight="1" x14ac:dyDescent="0.25"/>
    <row r="192" ht="15.6" customHeight="1" x14ac:dyDescent="0.25"/>
    <row r="193" ht="15.6" customHeight="1" x14ac:dyDescent="0.25"/>
    <row r="194" ht="15.6" customHeight="1" x14ac:dyDescent="0.25"/>
    <row r="195" ht="15.6" customHeight="1" x14ac:dyDescent="0.25"/>
    <row r="196" ht="15.6" customHeight="1" x14ac:dyDescent="0.25"/>
    <row r="197" ht="15.6" customHeight="1" x14ac:dyDescent="0.25"/>
    <row r="198" ht="15.6" customHeight="1" x14ac:dyDescent="0.25"/>
    <row r="199" ht="15.6" customHeight="1" x14ac:dyDescent="0.25"/>
    <row r="200" ht="15.6" customHeight="1" x14ac:dyDescent="0.25"/>
    <row r="201" ht="15.6" customHeight="1" x14ac:dyDescent="0.25"/>
    <row r="202" ht="15.6" customHeight="1" x14ac:dyDescent="0.25"/>
    <row r="203" ht="15.6" customHeight="1" x14ac:dyDescent="0.25"/>
    <row r="204" ht="15.6" customHeight="1" x14ac:dyDescent="0.25"/>
    <row r="205" ht="15.6" customHeight="1" x14ac:dyDescent="0.25"/>
    <row r="206" ht="15.6" customHeight="1" x14ac:dyDescent="0.25"/>
    <row r="207" ht="15.6" customHeight="1" x14ac:dyDescent="0.25"/>
    <row r="208" ht="15.6" customHeight="1" x14ac:dyDescent="0.25"/>
    <row r="209" ht="15.6" customHeight="1" x14ac:dyDescent="0.25"/>
    <row r="210" ht="15.6" customHeight="1" x14ac:dyDescent="0.25"/>
    <row r="211" ht="15.6" customHeight="1" x14ac:dyDescent="0.25"/>
    <row r="212" ht="15.6" customHeight="1" x14ac:dyDescent="0.25"/>
    <row r="213" ht="15.6" customHeight="1" x14ac:dyDescent="0.25"/>
    <row r="214" ht="15.6" customHeight="1" x14ac:dyDescent="0.25"/>
    <row r="215" ht="15.6" customHeight="1" x14ac:dyDescent="0.25"/>
    <row r="216" ht="15.6" customHeight="1" x14ac:dyDescent="0.25"/>
    <row r="217" ht="15.6" customHeight="1" x14ac:dyDescent="0.25"/>
    <row r="218" ht="15.6" customHeight="1" x14ac:dyDescent="0.25"/>
    <row r="219" ht="15.6" customHeight="1" x14ac:dyDescent="0.25"/>
    <row r="220" ht="15.6" customHeight="1" x14ac:dyDescent="0.25"/>
    <row r="221" ht="15.6" customHeight="1" x14ac:dyDescent="0.25"/>
    <row r="222" ht="15.6" customHeight="1" x14ac:dyDescent="0.25"/>
    <row r="223" ht="15.6" customHeight="1" x14ac:dyDescent="0.25"/>
    <row r="224" ht="15.6" customHeight="1" x14ac:dyDescent="0.25"/>
    <row r="225" ht="15.6" customHeight="1" x14ac:dyDescent="0.25"/>
    <row r="226" ht="15.6" customHeight="1" x14ac:dyDescent="0.25"/>
    <row r="227" ht="15.6" customHeight="1" x14ac:dyDescent="0.25"/>
    <row r="228" ht="15.6" customHeight="1" x14ac:dyDescent="0.25"/>
    <row r="229" ht="15.6" customHeight="1" x14ac:dyDescent="0.25"/>
    <row r="230" ht="15.6" customHeight="1" x14ac:dyDescent="0.25"/>
    <row r="231" ht="15.6" customHeight="1" x14ac:dyDescent="0.25"/>
    <row r="232" ht="15.6" customHeight="1" x14ac:dyDescent="0.25"/>
    <row r="233" ht="15.6" customHeight="1" x14ac:dyDescent="0.25"/>
    <row r="234" ht="15.6" customHeight="1" x14ac:dyDescent="0.25"/>
    <row r="235" ht="15.6" customHeight="1" x14ac:dyDescent="0.25"/>
  </sheetData>
  <sheetProtection formatRows="0" selectLockedCells="1"/>
  <protectedRanges>
    <protectedRange sqref="C34 B35:E134 H35:I134" name="PI1"/>
  </protectedRanges>
  <mergeCells count="18">
    <mergeCell ref="F141:H141"/>
    <mergeCell ref="C143:E143"/>
    <mergeCell ref="C144:E144"/>
    <mergeCell ref="B32:B33"/>
    <mergeCell ref="D32:D33"/>
    <mergeCell ref="C32:C33"/>
    <mergeCell ref="E32:G32"/>
    <mergeCell ref="B20:K20"/>
    <mergeCell ref="B13:K13"/>
    <mergeCell ref="D8:J8"/>
    <mergeCell ref="J32:J33"/>
    <mergeCell ref="H32:I32"/>
    <mergeCell ref="K32:K33"/>
    <mergeCell ref="B21:K21"/>
    <mergeCell ref="D23:F23"/>
    <mergeCell ref="D24:F24"/>
    <mergeCell ref="D25:F25"/>
    <mergeCell ref="D26:F26"/>
  </mergeCells>
  <conditionalFormatting sqref="I35:I134">
    <cfRule type="expression" dxfId="0" priority="4">
      <formula>$F35=""</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20E227A-6772-4548-8C3E-6A8CC357D8FA}">
          <x14:formula1>
            <xm:f>FAEI!$A$10:$A$12</xm:f>
          </x14:formula1>
          <xm:sqref>B34:B134</xm:sqref>
        </x14:dataValidation>
        <x14:dataValidation type="list" allowBlank="1" showInputMessage="1" showErrorMessage="1" xr:uid="{4F6A6EB7-7960-4F6F-89D1-87E91341FCBC}">
          <x14:formula1>
            <xm:f>'Fatores de Emissão'!$C$258:$C$291</xm:f>
          </x14:formula1>
          <xm:sqref>Y34:Y45</xm:sqref>
        </x14:dataValidation>
        <x14:dataValidation type="list" allowBlank="1" showInputMessage="1" showErrorMessage="1" xr:uid="{6EADF263-1F19-4395-AF4B-EC8ABA38BE87}">
          <x14:formula1>
            <xm:f>FAPr!$B$12:$B$14</xm:f>
          </x14:formula1>
          <xm:sqref>D35:D134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665DB-1E98-4D51-877E-F69DE684AFE2}">
  <dimension ref="B11:C14"/>
  <sheetViews>
    <sheetView showGridLines="0" zoomScale="70" zoomScaleNormal="70" workbookViewId="0">
      <selection activeCell="B11" sqref="B11:C14"/>
    </sheetView>
  </sheetViews>
  <sheetFormatPr defaultRowHeight="15" x14ac:dyDescent="0.25"/>
  <cols>
    <col min="1" max="1" width="9.375" bestFit="1" customWidth="1"/>
    <col min="2" max="2" width="36.25" customWidth="1"/>
    <col min="3" max="3" width="78.375" customWidth="1"/>
    <col min="4" max="4" width="11.625" customWidth="1"/>
    <col min="5" max="5" width="11.5" bestFit="1" customWidth="1"/>
  </cols>
  <sheetData>
    <row r="11" spans="2:3" x14ac:dyDescent="0.25">
      <c r="B11" s="534" t="s">
        <v>994</v>
      </c>
      <c r="C11" s="534" t="s">
        <v>1009</v>
      </c>
    </row>
    <row r="12" spans="2:3" x14ac:dyDescent="0.25">
      <c r="B12" s="229" t="s">
        <v>992</v>
      </c>
      <c r="C12" s="229" t="s">
        <v>1141</v>
      </c>
    </row>
    <row r="13" spans="2:3" x14ac:dyDescent="0.25">
      <c r="B13" s="229" t="s">
        <v>991</v>
      </c>
      <c r="C13" s="229" t="s">
        <v>991</v>
      </c>
    </row>
    <row r="14" spans="2:3" x14ac:dyDescent="0.25">
      <c r="B14" s="229" t="s">
        <v>993</v>
      </c>
      <c r="C14" s="229" t="s">
        <v>1019</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933DB-C84D-46B1-AA6E-8DB410F7B618}">
  <dimension ref="A8:G25"/>
  <sheetViews>
    <sheetView showGridLines="0" zoomScale="70" zoomScaleNormal="70" workbookViewId="0">
      <selection activeCell="G13" sqref="G13"/>
    </sheetView>
  </sheetViews>
  <sheetFormatPr defaultRowHeight="15" x14ac:dyDescent="0.25"/>
  <cols>
    <col min="1" max="1" width="68.25" customWidth="1"/>
    <col min="2" max="2" width="17.375" customWidth="1"/>
    <col min="3" max="3" width="19.25" customWidth="1"/>
    <col min="4" max="4" width="26.625" customWidth="1"/>
    <col min="5" max="5" width="16.75" customWidth="1"/>
    <col min="6" max="6" width="14.375" customWidth="1"/>
    <col min="7" max="7" width="14.625" customWidth="1"/>
  </cols>
  <sheetData>
    <row r="8" spans="1:3" ht="33" x14ac:dyDescent="0.25">
      <c r="B8" s="5" t="s">
        <v>325</v>
      </c>
      <c r="C8" s="4" t="s">
        <v>841</v>
      </c>
    </row>
    <row r="9" spans="1:3" x14ac:dyDescent="0.25">
      <c r="A9" s="63" t="str">
        <f>'Fatores de Emissão'!B243</f>
        <v>% condutor veículo</v>
      </c>
      <c r="B9" s="137">
        <f>'Fatores de Emissão'!D243</f>
        <v>0.47899999999999998</v>
      </c>
      <c r="C9" s="38">
        <f>'Fatores de Emissão'!D247</f>
        <v>0.19728500000000002</v>
      </c>
    </row>
    <row r="10" spans="1:3" x14ac:dyDescent="0.25">
      <c r="A10" s="63" t="str">
        <f>'Fatores de Emissão'!B244</f>
        <v>% passageiro veículo</v>
      </c>
      <c r="B10" s="137">
        <f>'Fatores de Emissão'!D244</f>
        <v>0.18099999999999999</v>
      </c>
      <c r="C10" s="38">
        <f>'Fatores de Emissão'!D248</f>
        <v>0.19728500000000002</v>
      </c>
    </row>
    <row r="11" spans="1:3" x14ac:dyDescent="0.25">
      <c r="A11" s="63" t="str">
        <f>'Fatores de Emissão'!B245</f>
        <v>% transporte público</v>
      </c>
      <c r="B11" s="137">
        <f>'Fatores de Emissão'!D245</f>
        <v>0.1229</v>
      </c>
      <c r="C11" s="38">
        <f>'Fatores de Emissão'!D249</f>
        <v>0.36038999999999993</v>
      </c>
    </row>
    <row r="12" spans="1:3" x14ac:dyDescent="0.25">
      <c r="B12" s="138">
        <f>SUM(B9:B11)</f>
        <v>0.78289999999999993</v>
      </c>
    </row>
    <row r="14" spans="1:3" x14ac:dyDescent="0.25">
      <c r="B14" s="5" t="s">
        <v>511</v>
      </c>
      <c r="C14" s="22" t="s">
        <v>842</v>
      </c>
    </row>
    <row r="15" spans="1:3" x14ac:dyDescent="0.25">
      <c r="A15" s="5" t="s">
        <v>510</v>
      </c>
      <c r="B15" s="5">
        <f>'Fatores de Emissão'!D251</f>
        <v>15</v>
      </c>
      <c r="C15" s="22">
        <f>B15*21*11*2</f>
        <v>6930</v>
      </c>
    </row>
    <row r="19" spans="1:7" ht="14.65" customHeight="1" x14ac:dyDescent="0.25">
      <c r="A19" s="1255" t="s">
        <v>32</v>
      </c>
      <c r="B19" s="1255" t="s">
        <v>509</v>
      </c>
      <c r="C19" s="1255" t="str">
        <f>A9</f>
        <v>% condutor veículo</v>
      </c>
      <c r="D19" s="21" t="str">
        <f>A10</f>
        <v>% passageiro veículo</v>
      </c>
      <c r="E19" s="1255" t="str">
        <f>A11</f>
        <v>% transporte público</v>
      </c>
      <c r="F19" s="1255" t="s">
        <v>37</v>
      </c>
      <c r="G19" s="1255" t="s">
        <v>37</v>
      </c>
    </row>
    <row r="20" spans="1:7" ht="39" customHeight="1" x14ac:dyDescent="0.25">
      <c r="A20" s="1256"/>
      <c r="B20" s="1256"/>
      <c r="C20" s="1256"/>
      <c r="D20" s="80"/>
      <c r="E20" s="1256"/>
      <c r="F20" s="1256"/>
      <c r="G20" s="1256"/>
    </row>
    <row r="21" spans="1:7" ht="14.45" customHeight="1" x14ac:dyDescent="0.25">
      <c r="A21" s="1406"/>
      <c r="B21" s="1406"/>
      <c r="C21" s="1406"/>
      <c r="D21" s="68"/>
      <c r="E21" s="1406"/>
      <c r="F21" s="1406"/>
      <c r="G21" s="1406"/>
    </row>
    <row r="22" spans="1:7" ht="14.45" customHeight="1" x14ac:dyDescent="0.25">
      <c r="C22" s="8" t="s">
        <v>1015</v>
      </c>
      <c r="D22" s="8" t="str">
        <f>C22</f>
        <v>emissões kg</v>
      </c>
      <c r="E22" s="8" t="str">
        <f>D22</f>
        <v>emissões kg</v>
      </c>
      <c r="F22" t="s">
        <v>844</v>
      </c>
      <c r="G22" t="s">
        <v>843</v>
      </c>
    </row>
    <row r="23" spans="1:7" ht="18.75" x14ac:dyDescent="0.25">
      <c r="A23" s="57" t="e">
        <f>Identificação!#REF!</f>
        <v>#REF!</v>
      </c>
      <c r="B23" s="83" t="e">
        <f>Identificação!#REF!</f>
        <v>#REF!</v>
      </c>
      <c r="C23" s="135" t="e">
        <f>$B23*B$9*$C$15*C$9</f>
        <v>#REF!</v>
      </c>
      <c r="D23" s="135" t="e">
        <f>$B23*$C$15*C$10*B$10</f>
        <v>#REF!</v>
      </c>
      <c r="E23" s="135" t="e">
        <f>$B23*$C$15*C$11*B$11</f>
        <v>#REF!</v>
      </c>
      <c r="F23" s="136" t="e">
        <f>SUM(C23:E23)/1000</f>
        <v>#REF!</v>
      </c>
      <c r="G23" s="136" t="e">
        <f>IF(VLOOKUP(A23,Identificação!#REF!,3,FALSE)="",VLOOKUP(A23,'Fatores de Emissão'!#REF!,3,FALSE)*F23,VLOOKUP(A23,Identificação!#REF!,3,FALSE)*F23)</f>
        <v>#REF!</v>
      </c>
    </row>
    <row r="24" spans="1:7" ht="18.75" x14ac:dyDescent="0.25">
      <c r="A24" s="57" t="e">
        <f>Identificação!#REF!</f>
        <v>#REF!</v>
      </c>
      <c r="B24" s="83" t="e">
        <f>Identificação!#REF!</f>
        <v>#REF!</v>
      </c>
      <c r="C24" s="135" t="e">
        <f>$B24*$C$15*C$9*B$9</f>
        <v>#REF!</v>
      </c>
      <c r="D24" s="135" t="e">
        <f>$B24*$C$15*C$10*B$10</f>
        <v>#REF!</v>
      </c>
      <c r="E24" s="135" t="e">
        <f>$B24*$C$15*C$11*B$11</f>
        <v>#REF!</v>
      </c>
      <c r="F24" s="136" t="e">
        <f>SUM(C24:E24)/1000</f>
        <v>#REF!</v>
      </c>
      <c r="G24" s="136" t="e">
        <f>IF(VLOOKUP(A24,Identificação!#REF!,3,FALSE)="",VLOOKUP(A24,'Fatores de Emissão'!#REF!,3,FALSE)*F24,VLOOKUP(A24,Identificação!#REF!,3,FALSE)*F24)</f>
        <v>#REF!</v>
      </c>
    </row>
    <row r="25" spans="1:7" ht="18.75" x14ac:dyDescent="0.25">
      <c r="A25" s="57" t="e">
        <f>Identificação!#REF!</f>
        <v>#REF!</v>
      </c>
      <c r="B25" s="83" t="e">
        <f>Identificação!#REF!</f>
        <v>#REF!</v>
      </c>
      <c r="C25" s="135" t="e">
        <f>$B25*$C$15*C$9*B$9</f>
        <v>#REF!</v>
      </c>
      <c r="D25" s="135" t="e">
        <f>$B25*$C$15*C$10*B$10</f>
        <v>#REF!</v>
      </c>
      <c r="E25" s="135" t="e">
        <f>$B25*$C$15*C$11*B$11</f>
        <v>#REF!</v>
      </c>
      <c r="F25" s="136" t="e">
        <f>SUM(C25:E25)/1000</f>
        <v>#REF!</v>
      </c>
      <c r="G25" s="136" t="e">
        <f>IF(VLOOKUP(A25,Identificação!#REF!,3,FALSE)="",VLOOKUP(A25,'Fatores de Emissão'!#REF!,3,FALSE)*F25,VLOOKUP(A25,Identificação!#REF!,3,FALSE)*F25)</f>
        <v>#REF!</v>
      </c>
    </row>
  </sheetData>
  <mergeCells count="6">
    <mergeCell ref="F19:F21"/>
    <mergeCell ref="G19:G21"/>
    <mergeCell ref="A19:A21"/>
    <mergeCell ref="B19:B21"/>
    <mergeCell ref="C19:C21"/>
    <mergeCell ref="E19:E2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8394-4A2D-40C3-B6D9-0ED96E5E671B}">
  <sheetPr>
    <tabColor theme="4"/>
  </sheetPr>
  <dimension ref="A9:P32"/>
  <sheetViews>
    <sheetView showGridLines="0" topLeftCell="A20" zoomScale="70" zoomScaleNormal="70" workbookViewId="0">
      <selection activeCell="C27" sqref="C27"/>
    </sheetView>
  </sheetViews>
  <sheetFormatPr defaultColWidth="0" defaultRowHeight="18.75" x14ac:dyDescent="0.3"/>
  <cols>
    <col min="1" max="1" width="8.625" style="261" customWidth="1"/>
    <col min="2" max="2" width="70.625" style="261" customWidth="1"/>
    <col min="3" max="3" width="19" style="261" customWidth="1"/>
    <col min="4" max="4" width="64.625" style="261" customWidth="1"/>
    <col min="5" max="5" width="83.75" style="749" customWidth="1"/>
    <col min="6" max="6" width="8.625" style="261" customWidth="1"/>
    <col min="7" max="7" width="11.625" style="261" customWidth="1"/>
    <col min="8" max="11" width="8.625" style="261" customWidth="1"/>
    <col min="12" max="12" width="0" style="261" hidden="1" customWidth="1"/>
    <col min="13" max="16384" width="7.625" style="261" hidden="1"/>
  </cols>
  <sheetData>
    <row r="9" spans="2:11" ht="14.45" customHeight="1" x14ac:dyDescent="0.3">
      <c r="B9" s="1174" t="s">
        <v>1445</v>
      </c>
      <c r="C9" s="1174"/>
      <c r="D9" s="1174"/>
      <c r="E9" s="1174"/>
      <c r="F9" s="758"/>
      <c r="G9" s="758"/>
      <c r="H9" s="758"/>
      <c r="I9" s="758"/>
      <c r="J9" s="758"/>
      <c r="K9" s="758"/>
    </row>
    <row r="10" spans="2:11" ht="14.45" customHeight="1" x14ac:dyDescent="0.3">
      <c r="B10" s="1174"/>
      <c r="C10" s="1174"/>
      <c r="D10" s="1174"/>
      <c r="E10" s="1174"/>
      <c r="F10" s="758"/>
      <c r="G10" s="758"/>
      <c r="H10" s="758"/>
      <c r="I10" s="758"/>
      <c r="J10" s="758"/>
      <c r="K10" s="758"/>
    </row>
    <row r="11" spans="2:11" ht="14.45" customHeight="1" x14ac:dyDescent="0.3">
      <c r="B11" s="1174"/>
      <c r="C11" s="1174"/>
      <c r="D11" s="1174"/>
      <c r="E11" s="1174"/>
      <c r="F11" s="758"/>
      <c r="G11" s="758"/>
      <c r="H11" s="758"/>
      <c r="I11" s="758"/>
      <c r="J11" s="758"/>
      <c r="K11" s="758"/>
    </row>
    <row r="12" spans="2:11" ht="14.45" customHeight="1" x14ac:dyDescent="0.3">
      <c r="B12" s="1174"/>
      <c r="C12" s="1174"/>
      <c r="D12" s="1174"/>
      <c r="E12" s="1174"/>
      <c r="F12" s="758"/>
      <c r="G12" s="758"/>
      <c r="H12" s="758"/>
      <c r="I12" s="758"/>
      <c r="J12" s="758"/>
      <c r="K12" s="758"/>
    </row>
    <row r="13" spans="2:11" ht="21" x14ac:dyDescent="0.3">
      <c r="B13" s="1171" t="s">
        <v>0</v>
      </c>
      <c r="C13" s="1171"/>
      <c r="D13" s="1171"/>
      <c r="E13" s="1171"/>
      <c r="F13" s="749"/>
      <c r="G13" s="749"/>
      <c r="H13" s="749"/>
      <c r="I13" s="749"/>
      <c r="J13" s="749"/>
      <c r="K13" s="749"/>
    </row>
    <row r="14" spans="2:11" ht="32.25" customHeight="1" x14ac:dyDescent="0.3">
      <c r="B14" s="1172" t="s">
        <v>1191</v>
      </c>
      <c r="C14" s="1172"/>
      <c r="D14" s="1172"/>
      <c r="E14" s="1172"/>
      <c r="F14" s="749"/>
      <c r="G14" s="749"/>
      <c r="H14" s="749"/>
      <c r="I14" s="749"/>
      <c r="J14" s="749"/>
      <c r="K14" s="749"/>
    </row>
    <row r="15" spans="2:11" ht="25.5" customHeight="1" x14ac:dyDescent="0.3">
      <c r="B15" s="1177" t="s">
        <v>1192</v>
      </c>
      <c r="C15" s="1177"/>
      <c r="D15" s="1177"/>
      <c r="E15" s="1177"/>
      <c r="F15" s="749"/>
      <c r="G15" s="749"/>
      <c r="H15" s="749"/>
      <c r="I15" s="749"/>
      <c r="J15" s="749"/>
      <c r="K15" s="749"/>
    </row>
    <row r="16" spans="2:11" ht="25.5" customHeight="1" x14ac:dyDescent="0.3">
      <c r="B16" s="1177" t="s">
        <v>1194</v>
      </c>
      <c r="C16" s="1177"/>
      <c r="D16" s="1177"/>
      <c r="E16" s="1177"/>
      <c r="F16" s="749"/>
      <c r="G16" s="749"/>
      <c r="H16" s="749"/>
      <c r="I16" s="749"/>
      <c r="J16" s="749"/>
      <c r="K16" s="749"/>
    </row>
    <row r="17" spans="2:16" ht="23.25" customHeight="1" x14ac:dyDescent="0.3">
      <c r="B17" s="1177" t="s">
        <v>1193</v>
      </c>
      <c r="C17" s="1177"/>
      <c r="D17" s="1177"/>
      <c r="E17" s="1177"/>
      <c r="F17" s="749"/>
      <c r="G17" s="749"/>
      <c r="H17" s="749"/>
      <c r="I17" s="749"/>
      <c r="J17" s="749"/>
      <c r="K17" s="749"/>
    </row>
    <row r="18" spans="2:16" ht="23.25" customHeight="1" x14ac:dyDescent="0.3">
      <c r="B18" s="1177" t="s">
        <v>1621</v>
      </c>
      <c r="C18" s="1177"/>
      <c r="D18" s="1177"/>
      <c r="E18" s="1177"/>
      <c r="F18" s="749"/>
      <c r="G18" s="749"/>
      <c r="H18" s="749"/>
      <c r="I18" s="749"/>
      <c r="J18" s="749"/>
      <c r="K18" s="749"/>
    </row>
    <row r="19" spans="2:16" ht="27.75" customHeight="1" x14ac:dyDescent="0.3">
      <c r="B19" s="1172" t="s">
        <v>1446</v>
      </c>
      <c r="C19" s="1172"/>
      <c r="D19" s="1172"/>
      <c r="E19" s="1172"/>
      <c r="F19" s="749"/>
      <c r="G19" s="749"/>
      <c r="H19" s="749"/>
      <c r="I19" s="749"/>
      <c r="J19" s="749"/>
      <c r="K19" s="749"/>
    </row>
    <row r="20" spans="2:16" ht="30" customHeight="1" x14ac:dyDescent="0.3">
      <c r="B20" s="1172" t="s">
        <v>1447</v>
      </c>
      <c r="C20" s="1172"/>
      <c r="D20" s="1172"/>
      <c r="E20" s="1172"/>
      <c r="F20" s="749"/>
      <c r="G20" s="749"/>
      <c r="H20" s="749"/>
      <c r="I20" s="749"/>
      <c r="J20" s="749"/>
      <c r="K20" s="749"/>
    </row>
    <row r="21" spans="2:16" ht="26.45" customHeight="1" x14ac:dyDescent="0.3">
      <c r="B21" s="1173" t="s">
        <v>1448</v>
      </c>
      <c r="C21" s="1173"/>
      <c r="D21" s="1173"/>
      <c r="E21" s="1173"/>
    </row>
    <row r="22" spans="2:16" ht="23.25" customHeight="1" x14ac:dyDescent="0.3">
      <c r="B22" s="1173"/>
      <c r="C22" s="1173"/>
      <c r="D22" s="1173"/>
      <c r="E22" s="1173"/>
    </row>
    <row r="23" spans="2:16" x14ac:dyDescent="0.3">
      <c r="E23" s="261"/>
    </row>
    <row r="24" spans="2:16" x14ac:dyDescent="0.3">
      <c r="C24" s="750"/>
    </row>
    <row r="25" spans="2:16" x14ac:dyDescent="0.3">
      <c r="B25" s="752" t="s">
        <v>490</v>
      </c>
      <c r="C25" s="752" t="s">
        <v>498</v>
      </c>
      <c r="D25" s="752" t="s">
        <v>1449</v>
      </c>
      <c r="E25" s="752" t="s">
        <v>829</v>
      </c>
    </row>
    <row r="26" spans="2:16" x14ac:dyDescent="0.3">
      <c r="B26" s="759" t="s">
        <v>47</v>
      </c>
      <c r="C26" s="760" t="s">
        <v>47</v>
      </c>
      <c r="D26" s="755" t="s">
        <v>1616</v>
      </c>
      <c r="E26" s="761"/>
    </row>
    <row r="27" spans="2:16" ht="93.75" x14ac:dyDescent="0.3">
      <c r="B27" s="756" t="s">
        <v>1576</v>
      </c>
      <c r="C27" s="266"/>
      <c r="D27" s="762" t="str">
        <f>IF(C27="Sim", "Combustão Estacionária","")</f>
        <v/>
      </c>
      <c r="E27" s="757" t="s">
        <v>1579</v>
      </c>
    </row>
    <row r="28" spans="2:16" ht="76.5" customHeight="1" x14ac:dyDescent="0.3">
      <c r="B28" s="756" t="s">
        <v>1710</v>
      </c>
      <c r="C28" s="266"/>
      <c r="D28" s="757" t="str">
        <f>IF(C28="Sim", "Combustão móvel","")</f>
        <v/>
      </c>
      <c r="E28" s="757" t="s">
        <v>1711</v>
      </c>
    </row>
    <row r="29" spans="2:16" ht="93.75" x14ac:dyDescent="0.3">
      <c r="B29" s="756" t="s">
        <v>1577</v>
      </c>
      <c r="C29" s="266"/>
      <c r="D29" s="757" t="str">
        <f>IF(C29="Sim", "Emissões fugitivas","")</f>
        <v/>
      </c>
      <c r="E29" s="757" t="s">
        <v>1580</v>
      </c>
    </row>
    <row r="30" spans="2:16" ht="112.5" x14ac:dyDescent="0.3">
      <c r="B30" s="756" t="s">
        <v>1578</v>
      </c>
      <c r="C30" s="266"/>
      <c r="D30" s="757" t="str">
        <f>IF(C30="Sim", "Processos industriais","")</f>
        <v/>
      </c>
      <c r="E30" s="757" t="s">
        <v>1581</v>
      </c>
    </row>
    <row r="31" spans="2:16" ht="165" customHeight="1" x14ac:dyDescent="0.3">
      <c r="B31" s="756" t="s">
        <v>1705</v>
      </c>
      <c r="C31" s="266"/>
      <c r="D31" s="757" t="str">
        <f>IF(C31="Sim", "Outras emissões de processo","")</f>
        <v/>
      </c>
      <c r="E31" s="757" t="s">
        <v>1582</v>
      </c>
      <c r="G31" s="1175"/>
      <c r="H31" s="1175"/>
      <c r="I31" s="1175"/>
      <c r="J31" s="1175"/>
      <c r="K31" s="1175"/>
      <c r="L31" s="1175"/>
      <c r="M31" s="1175"/>
      <c r="N31" s="1175"/>
      <c r="O31" s="1175"/>
      <c r="P31" s="1175"/>
    </row>
    <row r="32" spans="2:16" ht="88.15" customHeight="1" x14ac:dyDescent="0.3">
      <c r="B32" s="763" t="s">
        <v>1622</v>
      </c>
      <c r="C32" s="266"/>
      <c r="D32" s="757" t="str">
        <f>IF(C32="Sim", "Energia elétrica e térmica","")</f>
        <v/>
      </c>
      <c r="E32" s="757" t="s">
        <v>1583</v>
      </c>
      <c r="G32" s="1176"/>
      <c r="H32" s="1176"/>
      <c r="I32" s="1176"/>
      <c r="J32" s="1176"/>
      <c r="K32" s="1176"/>
      <c r="L32" s="1176"/>
      <c r="M32" s="1176"/>
      <c r="N32" s="1176"/>
      <c r="O32" s="1176"/>
      <c r="P32" s="1176"/>
    </row>
  </sheetData>
  <sheetProtection algorithmName="SHA-512" hashValue="2PCUsQ+IHeOg+IO0hrhupZJphNbmdhPmuS26EUoZlRylbk/z9epYKFBKGwN7qVtOcxi96ARvM8dhuYphGb4dOA==" saltValue="ILegivgMAuOvPyfULI0Csw==" spinCount="100000" sheet="1" objects="1" scenarios="1" selectLockedCells="1"/>
  <protectedRanges>
    <protectedRange sqref="C27:C32" name="Dados gerais"/>
  </protectedRanges>
  <mergeCells count="13">
    <mergeCell ref="B22:E22"/>
    <mergeCell ref="B9:E12"/>
    <mergeCell ref="G31:P31"/>
    <mergeCell ref="G32:P32"/>
    <mergeCell ref="B13:E13"/>
    <mergeCell ref="B14:E14"/>
    <mergeCell ref="B15:E15"/>
    <mergeCell ref="B16:E16"/>
    <mergeCell ref="B18:E18"/>
    <mergeCell ref="B19:E19"/>
    <mergeCell ref="B20:E20"/>
    <mergeCell ref="B21:E21"/>
    <mergeCell ref="B17:E17"/>
  </mergeCells>
  <conditionalFormatting sqref="D27:D32">
    <cfRule type="expression" dxfId="79" priority="1">
      <formula>$C27="Não"</formula>
    </cfRule>
    <cfRule type="expression" dxfId="78" priority="2">
      <formula>$C27="Sim"</formula>
    </cfRule>
    <cfRule type="expression" dxfId="77" priority="3">
      <formula>$C27=""</formula>
    </cfRule>
  </conditionalFormatting>
  <dataValidations count="1">
    <dataValidation type="list" showInputMessage="1" showErrorMessage="1" error="Falta responder a esta questão" prompt="a responder" sqref="C27:C32" xr:uid="{02A30456-203A-4203-8893-8E05938A4339}">
      <formula1>"Sim, Não"</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E291-EBAC-49F8-A58C-9606D966D01A}">
  <sheetPr>
    <tabColor rgb="FFFFC000"/>
  </sheetPr>
  <dimension ref="A1:AC33"/>
  <sheetViews>
    <sheetView showGridLines="0" zoomScale="80" zoomScaleNormal="80" workbookViewId="0"/>
  </sheetViews>
  <sheetFormatPr defaultColWidth="0" defaultRowHeight="18.75" zeroHeight="1" x14ac:dyDescent="0.3"/>
  <cols>
    <col min="1" max="1" width="7.375" style="262" customWidth="1"/>
    <col min="2" max="2" width="23.625" style="261" customWidth="1"/>
    <col min="3" max="3" width="11.875" style="261" customWidth="1"/>
    <col min="4" max="4" width="3.625" style="261" customWidth="1"/>
    <col min="5" max="29" width="8.625" style="261" customWidth="1"/>
    <col min="30" max="16384" width="7.625" style="261" hidden="1"/>
  </cols>
  <sheetData>
    <row r="1" spans="1:4" x14ac:dyDescent="0.3">
      <c r="A1" s="695"/>
      <c r="B1" s="695"/>
      <c r="C1" s="695"/>
      <c r="D1" s="260"/>
    </row>
    <row r="2" spans="1:4" x14ac:dyDescent="0.3">
      <c r="A2" s="695"/>
      <c r="B2" s="695"/>
      <c r="C2" s="695"/>
      <c r="D2" s="260"/>
    </row>
    <row r="3" spans="1:4" x14ac:dyDescent="0.3">
      <c r="A3" s="695"/>
      <c r="B3" s="695"/>
      <c r="C3" s="695"/>
      <c r="D3" s="260"/>
    </row>
    <row r="4" spans="1:4" x14ac:dyDescent="0.3">
      <c r="A4" s="695"/>
      <c r="B4" s="695"/>
      <c r="C4" s="695"/>
      <c r="D4" s="260"/>
    </row>
    <row r="5" spans="1:4" x14ac:dyDescent="0.3">
      <c r="A5" s="695"/>
      <c r="B5" s="695"/>
      <c r="C5" s="695"/>
      <c r="D5" s="260"/>
    </row>
    <row r="6" spans="1:4" ht="21" x14ac:dyDescent="0.35">
      <c r="A6" s="695"/>
      <c r="B6" s="696" t="s">
        <v>849</v>
      </c>
      <c r="C6" s="695"/>
      <c r="D6" s="260"/>
    </row>
    <row r="7" spans="1:4" x14ac:dyDescent="0.3">
      <c r="A7" s="697"/>
      <c r="B7" s="698" t="str">
        <f>Triagem!D26</f>
        <v>Identificação</v>
      </c>
      <c r="C7" s="695"/>
      <c r="D7" s="260"/>
    </row>
    <row r="8" spans="1:4" x14ac:dyDescent="0.3">
      <c r="A8" s="712" t="str" cm="1">
        <f t="array" ref="A8">_xlfn._xlws.FILTER(Triagem!C27:D32,Triagem!C27:C32=FACM!$B$25,"")</f>
        <v/>
      </c>
      <c r="B8" s="711"/>
      <c r="C8" s="695"/>
      <c r="D8" s="260"/>
    </row>
    <row r="9" spans="1:4" x14ac:dyDescent="0.3">
      <c r="A9" s="712"/>
      <c r="B9" s="711"/>
      <c r="C9" s="695"/>
      <c r="D9" s="260"/>
    </row>
    <row r="10" spans="1:4" x14ac:dyDescent="0.3">
      <c r="A10" s="712"/>
      <c r="B10" s="711"/>
      <c r="C10" s="695"/>
      <c r="D10" s="260"/>
    </row>
    <row r="11" spans="1:4" x14ac:dyDescent="0.3">
      <c r="A11" s="712"/>
      <c r="B11" s="711"/>
      <c r="C11" s="695"/>
      <c r="D11" s="260"/>
    </row>
    <row r="12" spans="1:4" x14ac:dyDescent="0.3">
      <c r="A12" s="712"/>
      <c r="B12" s="711"/>
      <c r="C12" s="695"/>
      <c r="D12" s="260"/>
    </row>
    <row r="13" spans="1:4" x14ac:dyDescent="0.3">
      <c r="A13" s="712"/>
      <c r="B13" s="711"/>
      <c r="C13" s="695"/>
      <c r="D13" s="260"/>
    </row>
    <row r="14" spans="1:4" x14ac:dyDescent="0.3">
      <c r="A14" s="712"/>
      <c r="B14" s="698"/>
      <c r="C14" s="695"/>
      <c r="D14" s="260"/>
    </row>
    <row r="15" spans="1:4" x14ac:dyDescent="0.3">
      <c r="A15" s="712"/>
      <c r="B15" s="698"/>
      <c r="C15" s="695"/>
      <c r="D15" s="260"/>
    </row>
    <row r="16" spans="1:4" x14ac:dyDescent="0.3">
      <c r="A16" s="712"/>
      <c r="B16" s="698"/>
      <c r="C16" s="695"/>
      <c r="D16" s="260"/>
    </row>
    <row r="17" spans="1:4" x14ac:dyDescent="0.3">
      <c r="A17" s="712"/>
      <c r="B17" s="698"/>
      <c r="C17" s="695"/>
      <c r="D17" s="260"/>
    </row>
    <row r="18" spans="1:4" x14ac:dyDescent="0.3">
      <c r="A18" s="712"/>
      <c r="B18" s="698"/>
      <c r="C18" s="699"/>
      <c r="D18" s="260"/>
    </row>
    <row r="19" spans="1:4" x14ac:dyDescent="0.3">
      <c r="A19" s="712"/>
      <c r="B19" s="698"/>
      <c r="C19" s="695"/>
      <c r="D19" s="260"/>
    </row>
    <row r="20" spans="1:4" x14ac:dyDescent="0.3">
      <c r="A20" s="712"/>
      <c r="B20" s="698"/>
      <c r="C20" s="695"/>
      <c r="D20" s="260"/>
    </row>
    <row r="21" spans="1:4" x14ac:dyDescent="0.3">
      <c r="A21" s="712"/>
      <c r="B21" s="698"/>
      <c r="C21" s="695"/>
      <c r="D21" s="260"/>
    </row>
    <row r="22" spans="1:4" x14ac:dyDescent="0.3">
      <c r="A22" s="712"/>
      <c r="B22" s="698"/>
      <c r="C22" s="695"/>
      <c r="D22" s="260"/>
    </row>
    <row r="23" spans="1:4" x14ac:dyDescent="0.3">
      <c r="A23" s="712"/>
      <c r="B23" s="698"/>
      <c r="C23" s="695"/>
      <c r="D23" s="260"/>
    </row>
    <row r="24" spans="1:4" x14ac:dyDescent="0.3">
      <c r="A24" s="712"/>
      <c r="B24" s="698"/>
      <c r="C24" s="695"/>
      <c r="D24" s="260"/>
    </row>
    <row r="25" spans="1:4" x14ac:dyDescent="0.3">
      <c r="A25" s="712"/>
      <c r="B25" s="698"/>
      <c r="C25" s="695"/>
    </row>
    <row r="26" spans="1:4" x14ac:dyDescent="0.3">
      <c r="A26" s="712"/>
      <c r="B26" s="698"/>
      <c r="C26" s="695"/>
    </row>
    <row r="27" spans="1:4" x14ac:dyDescent="0.3">
      <c r="A27" s="712"/>
      <c r="B27" s="698"/>
      <c r="C27" s="695"/>
    </row>
    <row r="28" spans="1:4" x14ac:dyDescent="0.3">
      <c r="A28" s="712"/>
      <c r="B28" s="698"/>
      <c r="C28" s="695"/>
    </row>
    <row r="29" spans="1:4" x14ac:dyDescent="0.3">
      <c r="A29" s="712"/>
      <c r="B29" s="698"/>
      <c r="C29" s="695"/>
    </row>
    <row r="30" spans="1:4" x14ac:dyDescent="0.3">
      <c r="A30" s="712"/>
      <c r="B30" s="698"/>
      <c r="C30" s="695"/>
    </row>
    <row r="31" spans="1:4" x14ac:dyDescent="0.3">
      <c r="A31" s="712"/>
      <c r="B31" s="698"/>
      <c r="C31" s="695"/>
    </row>
    <row r="32" spans="1:4" x14ac:dyDescent="0.3">
      <c r="A32" s="712"/>
      <c r="B32" s="698"/>
      <c r="C32" s="695"/>
    </row>
    <row r="33" spans="1:3" x14ac:dyDescent="0.3">
      <c r="A33" s="712"/>
      <c r="B33" s="698"/>
      <c r="C33" s="695"/>
    </row>
  </sheetData>
  <sheetProtection algorithmName="SHA-512" hashValue="aQGCSlpwHwGunoMhaRQgCy3gGUDhwSWE/66gO5mcJeQvsvgdYTtnWsAj99fhKHppjzvJQlNbPhFz1q7CejNcVw==" saltValue="odL04Y92DsuZhIv7+zy9dg==" spinCount="100000"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C77F-6384-4F3B-8DEB-F10107BC1E15}">
  <sheetPr>
    <tabColor theme="4"/>
  </sheetPr>
  <dimension ref="A1:Z62"/>
  <sheetViews>
    <sheetView showGridLines="0" zoomScale="80" zoomScaleNormal="80" workbookViewId="0">
      <selection activeCell="E15" sqref="E15:P15"/>
    </sheetView>
  </sheetViews>
  <sheetFormatPr defaultColWidth="0" defaultRowHeight="15.75" zeroHeight="1" x14ac:dyDescent="0.25"/>
  <cols>
    <col min="1" max="3" width="8.625" style="166" customWidth="1"/>
    <col min="4" max="4" width="34.25" style="166" customWidth="1"/>
    <col min="5" max="5" width="19" style="166" customWidth="1"/>
    <col min="6" max="6" width="16.25" style="166" customWidth="1"/>
    <col min="7" max="7" width="31.625" style="166" customWidth="1"/>
    <col min="8" max="26" width="8.625" style="166" customWidth="1"/>
    <col min="27" max="16384" width="7.625" style="166" hidden="1"/>
  </cols>
  <sheetData>
    <row r="1" spans="2:17" x14ac:dyDescent="0.25"/>
    <row r="2" spans="2:17" x14ac:dyDescent="0.25"/>
    <row r="3" spans="2:17" x14ac:dyDescent="0.25"/>
    <row r="4" spans="2:17" x14ac:dyDescent="0.25"/>
    <row r="5" spans="2:17" x14ac:dyDescent="0.25"/>
    <row r="6" spans="2:17" ht="15.75" customHeight="1" x14ac:dyDescent="0.35">
      <c r="F6" s="764"/>
      <c r="G6" s="764"/>
      <c r="H6" s="764"/>
      <c r="I6" s="764"/>
      <c r="J6" s="764"/>
      <c r="K6" s="764"/>
      <c r="L6" s="764"/>
      <c r="M6" s="764"/>
      <c r="N6" s="764"/>
      <c r="O6" s="764"/>
    </row>
    <row r="7" spans="2:17" ht="15.75" customHeight="1" x14ac:dyDescent="0.35">
      <c r="E7" s="764"/>
      <c r="F7" s="764"/>
      <c r="G7" s="764"/>
      <c r="H7" s="764"/>
      <c r="I7" s="764"/>
      <c r="J7" s="764"/>
      <c r="K7" s="764"/>
      <c r="L7" s="764"/>
      <c r="M7" s="764"/>
      <c r="N7" s="764"/>
      <c r="O7" s="764"/>
      <c r="P7" s="765"/>
      <c r="Q7" s="765"/>
    </row>
    <row r="8" spans="2:17" x14ac:dyDescent="0.25"/>
    <row r="9" spans="2:17" x14ac:dyDescent="0.25"/>
    <row r="10" spans="2:17" ht="21" x14ac:dyDescent="0.35">
      <c r="B10" s="766" t="str">
        <f>IF(Triagem!C26="", "", IF(Triagem!C26="Não", "Não necessita de preencher esta folha", "Folha a ser preenchida"))</f>
        <v>Folha a ser preenchida</v>
      </c>
    </row>
    <row r="11" spans="2:17" ht="18.75" x14ac:dyDescent="0.25">
      <c r="B11" s="767"/>
      <c r="C11" s="768"/>
      <c r="D11" s="171"/>
    </row>
    <row r="12" spans="2:17" x14ac:dyDescent="0.25">
      <c r="B12" s="171"/>
      <c r="C12" s="768"/>
      <c r="D12" s="171"/>
    </row>
    <row r="13" spans="2:17" x14ac:dyDescent="0.25">
      <c r="B13" s="769"/>
      <c r="C13" s="171"/>
      <c r="D13" s="171"/>
    </row>
    <row r="14" spans="2:17" ht="16.5" thickBot="1" x14ac:dyDescent="0.3">
      <c r="B14" s="770"/>
      <c r="C14" s="171"/>
      <c r="D14" s="171"/>
    </row>
    <row r="15" spans="2:17" ht="30" customHeight="1" thickBot="1" x14ac:dyDescent="0.3">
      <c r="B15" s="771"/>
      <c r="C15" s="772"/>
      <c r="D15" s="772" t="s">
        <v>1479</v>
      </c>
      <c r="E15" s="1178"/>
      <c r="F15" s="1179"/>
      <c r="G15" s="1179"/>
      <c r="H15" s="1179"/>
      <c r="I15" s="1179"/>
      <c r="J15" s="1179"/>
      <c r="K15" s="1179"/>
      <c r="L15" s="1179"/>
      <c r="M15" s="1179"/>
      <c r="N15" s="1179"/>
      <c r="O15" s="1179"/>
      <c r="P15" s="1180"/>
    </row>
    <row r="16" spans="2:17" ht="30" customHeight="1" thickBot="1" x14ac:dyDescent="0.3">
      <c r="B16" s="771"/>
      <c r="C16" s="772"/>
      <c r="D16" s="621" t="s">
        <v>1480</v>
      </c>
      <c r="E16" s="1178"/>
      <c r="F16" s="1179"/>
      <c r="G16" s="1179"/>
      <c r="H16" s="1179"/>
      <c r="I16" s="1179"/>
      <c r="J16" s="1179"/>
      <c r="K16" s="1179"/>
      <c r="L16" s="1179"/>
      <c r="M16" s="1179"/>
      <c r="N16" s="1179"/>
      <c r="O16" s="1179"/>
      <c r="P16" s="1180"/>
    </row>
    <row r="17" spans="2:16" ht="30" customHeight="1" thickBot="1" x14ac:dyDescent="0.3">
      <c r="D17" s="233" t="s">
        <v>1</v>
      </c>
      <c r="E17" s="1178"/>
      <c r="F17" s="1179"/>
      <c r="G17" s="1179"/>
      <c r="H17" s="1179"/>
      <c r="I17" s="1179"/>
      <c r="J17" s="1179"/>
      <c r="K17" s="1179"/>
      <c r="L17" s="1179"/>
      <c r="M17" s="1179"/>
      <c r="N17" s="1179"/>
      <c r="O17" s="1179"/>
      <c r="P17" s="1180"/>
    </row>
    <row r="18" spans="2:16" ht="30" customHeight="1" thickBot="1" x14ac:dyDescent="0.3">
      <c r="D18" s="239" t="s">
        <v>1020</v>
      </c>
      <c r="E18" s="1178"/>
      <c r="F18" s="1179"/>
      <c r="G18" s="1179"/>
      <c r="H18" s="1179"/>
      <c r="I18" s="1179"/>
      <c r="J18" s="1179"/>
      <c r="K18" s="1179"/>
      <c r="L18" s="1179"/>
      <c r="M18" s="1179"/>
      <c r="N18" s="1179"/>
      <c r="O18" s="1179"/>
      <c r="P18" s="1180"/>
    </row>
    <row r="19" spans="2:16" x14ac:dyDescent="0.25">
      <c r="B19" s="773"/>
      <c r="C19" s="171"/>
      <c r="D19" s="233"/>
      <c r="E19" s="240"/>
      <c r="F19" s="240"/>
      <c r="G19" s="240"/>
      <c r="H19" s="240"/>
      <c r="I19" s="240"/>
      <c r="J19" s="240"/>
      <c r="K19" s="240"/>
      <c r="L19" s="240"/>
      <c r="M19" s="240"/>
      <c r="N19" s="240"/>
      <c r="O19" s="240"/>
      <c r="P19" s="240"/>
    </row>
    <row r="20" spans="2:16" x14ac:dyDescent="0.25">
      <c r="B20" s="773"/>
      <c r="C20" s="171"/>
      <c r="D20" s="233"/>
      <c r="E20" s="240"/>
      <c r="F20" s="240"/>
      <c r="G20" s="240"/>
      <c r="H20" s="240"/>
      <c r="I20" s="240"/>
      <c r="J20" s="240"/>
      <c r="K20" s="240"/>
      <c r="L20" s="240"/>
      <c r="M20" s="240"/>
      <c r="N20" s="240"/>
      <c r="O20" s="240"/>
      <c r="P20" s="240"/>
    </row>
    <row r="21" spans="2:16" x14ac:dyDescent="0.25"/>
    <row r="22" spans="2:16" x14ac:dyDescent="0.25"/>
    <row r="23" spans="2:16" x14ac:dyDescent="0.25"/>
    <row r="24" spans="2:16" x14ac:dyDescent="0.25"/>
    <row r="25" spans="2:16" x14ac:dyDescent="0.25"/>
    <row r="26" spans="2:16" ht="29.45" customHeight="1" x14ac:dyDescent="0.25"/>
    <row r="27" spans="2:16" x14ac:dyDescent="0.25"/>
    <row r="28" spans="2:16" x14ac:dyDescent="0.25"/>
    <row r="29" spans="2:16" x14ac:dyDescent="0.25"/>
    <row r="30" spans="2:16" x14ac:dyDescent="0.25"/>
    <row r="31" spans="2:16" x14ac:dyDescent="0.25"/>
    <row r="32" spans="2:16"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3" x14ac:dyDescent="0.25"/>
    <row r="54" x14ac:dyDescent="0.25"/>
    <row r="55" x14ac:dyDescent="0.25"/>
    <row r="56" x14ac:dyDescent="0.25"/>
    <row r="57" x14ac:dyDescent="0.25"/>
    <row r="58" x14ac:dyDescent="0.25"/>
    <row r="59" x14ac:dyDescent="0.25"/>
    <row r="60" x14ac:dyDescent="0.25"/>
    <row r="61" x14ac:dyDescent="0.25"/>
    <row r="62" x14ac:dyDescent="0.25"/>
  </sheetData>
  <sheetProtection algorithmName="SHA-512" hashValue="lRbfiQzWKtqt67OFNsalO+k2CRcFMGRNnvRqa2ETJv9Q7FcRGq1Kkzx5m0rZ6s/s1cvSsJKaPWdL4bWXKcLmmQ==" saltValue="TjdFDkND8Oljgt6zR0C50w==" spinCount="100000" sheet="1" objects="1" scenarios="1" selectLockedCells="1"/>
  <protectedRanges>
    <protectedRange sqref="E15:P18" name="DG1"/>
  </protectedRanges>
  <mergeCells count="4">
    <mergeCell ref="E15:P15"/>
    <mergeCell ref="E17:P17"/>
    <mergeCell ref="E18:P18"/>
    <mergeCell ref="E16:P1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F179-E5C9-463E-8328-2AAD5F9B18E9}">
  <sheetPr>
    <tabColor theme="4"/>
  </sheetPr>
  <dimension ref="A1:W303"/>
  <sheetViews>
    <sheetView showGridLines="0" topLeftCell="A179" zoomScale="80" zoomScaleNormal="80" workbookViewId="0">
      <selection activeCell="B184" sqref="B184"/>
    </sheetView>
  </sheetViews>
  <sheetFormatPr defaultColWidth="0" defaultRowHeight="35.25" customHeight="1" outlineLevelRow="2" x14ac:dyDescent="0.25"/>
  <cols>
    <col min="1" max="1" width="9.25" style="166" bestFit="1" customWidth="1"/>
    <col min="2" max="2" width="40.75" style="166" customWidth="1"/>
    <col min="3" max="3" width="47.375" style="166" customWidth="1"/>
    <col min="4" max="4" width="37.625" style="166" customWidth="1"/>
    <col min="5" max="5" width="45" style="166" customWidth="1"/>
    <col min="6" max="6" width="48.5" style="166" customWidth="1"/>
    <col min="7" max="7" width="33.5" style="166" customWidth="1"/>
    <col min="8" max="8" width="28.875" style="166" customWidth="1"/>
    <col min="9" max="9" width="45.5" style="166" customWidth="1"/>
    <col min="10" max="11" width="28.875" style="166" customWidth="1"/>
    <col min="12" max="12" width="17.25" style="166" customWidth="1"/>
    <col min="13" max="13" width="16" style="166" customWidth="1"/>
    <col min="14" max="14" width="15.25" style="166" customWidth="1"/>
    <col min="15" max="15" width="21.875" style="166" customWidth="1"/>
    <col min="16" max="16" width="16.625" style="166" customWidth="1"/>
    <col min="17" max="17" width="20.625" style="166" customWidth="1"/>
    <col min="18" max="18" width="25.75" style="166" customWidth="1"/>
    <col min="19" max="21" width="5.625" style="166" customWidth="1"/>
    <col min="22" max="22" width="33" style="166" customWidth="1"/>
    <col min="23" max="23" width="11.875" style="166" customWidth="1"/>
    <col min="24" max="16379" width="5" style="166" customWidth="1"/>
    <col min="16380" max="16380" width="9.625" style="166" customWidth="1"/>
    <col min="16381" max="16381" width="6.875" style="166" customWidth="1"/>
    <col min="16382" max="16382" width="6.125" style="166" customWidth="1"/>
    <col min="16383" max="16383" width="7.375" style="166" customWidth="1"/>
    <col min="16384" max="16384" width="4.625" style="166" customWidth="1"/>
  </cols>
  <sheetData>
    <row r="1" spans="2:11" ht="14.1" customHeight="1" x14ac:dyDescent="0.25"/>
    <row r="2" spans="2:11" ht="14.1" customHeight="1" x14ac:dyDescent="0.25"/>
    <row r="3" spans="2:11" ht="14.1" customHeight="1" x14ac:dyDescent="0.25"/>
    <row r="4" spans="2:11" ht="14.1" customHeight="1" x14ac:dyDescent="0.25"/>
    <row r="5" spans="2:11" ht="14.1" customHeight="1" x14ac:dyDescent="0.25"/>
    <row r="6" spans="2:11" ht="14.1" customHeight="1" x14ac:dyDescent="0.25"/>
    <row r="7" spans="2:11" ht="21" customHeight="1" x14ac:dyDescent="0.25"/>
    <row r="8" spans="2:11" ht="21" customHeight="1" x14ac:dyDescent="0.25">
      <c r="D8" s="774"/>
      <c r="E8" s="774"/>
      <c r="F8" s="774"/>
      <c r="G8" s="774"/>
      <c r="H8" s="774"/>
      <c r="I8" s="774"/>
      <c r="J8" s="774"/>
      <c r="K8" s="774"/>
    </row>
    <row r="9" spans="2:11" ht="21" customHeight="1" x14ac:dyDescent="0.25"/>
    <row r="10" spans="2:11" ht="21" customHeight="1" x14ac:dyDescent="0.3">
      <c r="B10" s="775" t="str">
        <f>IF(Triagem!C27="", "Não indicou na TRIAGEM se esta folha se adequa ao projeto", IF(Triagem!C27="Não", "Não necessita de preencher esta folha", "Folha a ser preenchida"))</f>
        <v>Não indicou na TRIAGEM se esta folha se adequa ao projeto</v>
      </c>
    </row>
    <row r="11" spans="2:11" ht="9" customHeight="1" x14ac:dyDescent="0.25">
      <c r="B11" s="776"/>
    </row>
    <row r="12" spans="2:11" ht="21" customHeight="1" x14ac:dyDescent="0.25">
      <c r="B12" s="777" t="s">
        <v>1453</v>
      </c>
      <c r="C12" s="778"/>
      <c r="D12" s="778"/>
      <c r="E12" s="778"/>
      <c r="F12" s="778"/>
      <c r="G12" s="778"/>
      <c r="H12" s="778"/>
    </row>
    <row r="13" spans="2:11" ht="21" customHeight="1" x14ac:dyDescent="0.25">
      <c r="B13" s="779" t="s">
        <v>1454</v>
      </c>
      <c r="C13" s="778"/>
      <c r="D13" s="778"/>
      <c r="E13" s="778"/>
      <c r="F13" s="778"/>
      <c r="G13" s="778"/>
      <c r="H13" s="778"/>
    </row>
    <row r="14" spans="2:11" ht="9.75" customHeight="1" x14ac:dyDescent="0.25">
      <c r="B14" s="777"/>
      <c r="C14" s="778"/>
      <c r="D14" s="778"/>
      <c r="E14" s="778"/>
      <c r="F14" s="778"/>
      <c r="G14" s="778"/>
      <c r="H14" s="778"/>
    </row>
    <row r="15" spans="2:11" ht="21" customHeight="1" x14ac:dyDescent="0.25">
      <c r="B15" s="777" t="s">
        <v>1455</v>
      </c>
      <c r="C15" s="778"/>
      <c r="D15" s="778"/>
      <c r="E15" s="778"/>
      <c r="F15" s="778"/>
      <c r="G15" s="778"/>
      <c r="H15" s="778"/>
    </row>
    <row r="16" spans="2:11" ht="21" customHeight="1" x14ac:dyDescent="0.25">
      <c r="B16" s="778" t="s">
        <v>1456</v>
      </c>
      <c r="C16" s="778"/>
      <c r="D16" s="778"/>
      <c r="E16" s="778"/>
      <c r="F16" s="778"/>
      <c r="G16" s="778"/>
      <c r="H16" s="778"/>
    </row>
    <row r="17" spans="2:14" ht="21" customHeight="1" x14ac:dyDescent="0.25">
      <c r="B17" s="778" t="s">
        <v>1457</v>
      </c>
      <c r="C17" s="778"/>
      <c r="D17" s="778"/>
      <c r="E17" s="778"/>
      <c r="F17" s="778"/>
      <c r="G17" s="778"/>
      <c r="H17" s="778"/>
    </row>
    <row r="18" spans="2:14" ht="21" customHeight="1" x14ac:dyDescent="0.25">
      <c r="B18" s="778" t="s">
        <v>1458</v>
      </c>
      <c r="C18" s="778"/>
      <c r="D18" s="778"/>
      <c r="E18" s="778"/>
      <c r="F18" s="778"/>
      <c r="G18" s="778"/>
      <c r="H18" s="778"/>
    </row>
    <row r="19" spans="2:14" ht="9.75" customHeight="1" x14ac:dyDescent="0.25">
      <c r="B19" s="777"/>
      <c r="C19" s="778"/>
      <c r="D19" s="778"/>
      <c r="E19" s="778"/>
      <c r="F19" s="778"/>
      <c r="G19" s="778"/>
      <c r="H19" s="778"/>
    </row>
    <row r="20" spans="2:14" ht="21" customHeight="1" x14ac:dyDescent="0.25">
      <c r="B20" s="777" t="s">
        <v>1459</v>
      </c>
      <c r="C20" s="778"/>
      <c r="D20" s="778"/>
      <c r="E20" s="778"/>
      <c r="F20" s="778"/>
      <c r="G20" s="778"/>
      <c r="H20" s="778"/>
    </row>
    <row r="21" spans="2:14" ht="21" customHeight="1" x14ac:dyDescent="0.25">
      <c r="B21" s="777" t="s">
        <v>1476</v>
      </c>
      <c r="C21" s="778"/>
      <c r="D21" s="778"/>
      <c r="E21" s="778"/>
      <c r="F21" s="778"/>
      <c r="G21" s="778"/>
      <c r="H21" s="778"/>
    </row>
    <row r="22" spans="2:14" ht="21" customHeight="1" x14ac:dyDescent="0.25">
      <c r="B22" s="777" t="s">
        <v>1460</v>
      </c>
      <c r="C22" s="778"/>
      <c r="D22" s="778"/>
      <c r="E22" s="778"/>
      <c r="F22" s="778"/>
      <c r="G22" s="778"/>
      <c r="H22" s="778"/>
    </row>
    <row r="23" spans="2:14" ht="21" customHeight="1" x14ac:dyDescent="0.25">
      <c r="B23" s="778" t="s">
        <v>1462</v>
      </c>
      <c r="C23" s="778"/>
      <c r="D23" s="778"/>
      <c r="E23" s="778"/>
      <c r="F23" s="778"/>
      <c r="G23" s="778"/>
      <c r="H23" s="778"/>
    </row>
    <row r="24" spans="2:14" ht="21" customHeight="1" x14ac:dyDescent="0.25">
      <c r="B24" s="778" t="s">
        <v>1463</v>
      </c>
      <c r="C24" s="778"/>
      <c r="D24" s="778"/>
      <c r="E24" s="778"/>
      <c r="F24" s="778"/>
      <c r="G24" s="778"/>
      <c r="H24" s="778"/>
    </row>
    <row r="25" spans="2:14" ht="21" customHeight="1" x14ac:dyDescent="0.25">
      <c r="B25" s="778" t="s">
        <v>1464</v>
      </c>
      <c r="C25" s="778"/>
      <c r="D25" s="778"/>
      <c r="E25" s="778"/>
      <c r="F25" s="778"/>
      <c r="G25" s="778"/>
      <c r="H25" s="778"/>
    </row>
    <row r="26" spans="2:14" ht="21" customHeight="1" x14ac:dyDescent="0.25">
      <c r="B26" s="778" t="s">
        <v>1465</v>
      </c>
      <c r="C26" s="778"/>
      <c r="D26" s="778"/>
      <c r="E26" s="778"/>
      <c r="F26" s="778"/>
      <c r="G26" s="778"/>
      <c r="H26" s="778"/>
    </row>
    <row r="27" spans="2:14" ht="21" customHeight="1" x14ac:dyDescent="0.25">
      <c r="B27" s="778" t="s">
        <v>1466</v>
      </c>
      <c r="C27" s="778"/>
      <c r="D27" s="778"/>
      <c r="E27" s="778"/>
      <c r="F27" s="778"/>
      <c r="G27" s="778"/>
      <c r="H27" s="778"/>
    </row>
    <row r="28" spans="2:14" ht="6.75" customHeight="1" x14ac:dyDescent="0.25">
      <c r="B28" s="778"/>
      <c r="C28" s="778"/>
      <c r="D28" s="778"/>
      <c r="E28" s="778"/>
      <c r="F28" s="778"/>
      <c r="G28" s="778"/>
      <c r="H28" s="778"/>
    </row>
    <row r="29" spans="2:14" ht="21" customHeight="1" x14ac:dyDescent="0.25">
      <c r="B29" s="780" t="s">
        <v>1467</v>
      </c>
      <c r="C29" s="781"/>
      <c r="D29" s="778"/>
      <c r="E29" s="778"/>
      <c r="F29" s="781"/>
      <c r="G29" s="778"/>
      <c r="H29" s="778"/>
      <c r="I29" s="168"/>
      <c r="J29" s="168"/>
      <c r="K29" s="168"/>
      <c r="L29" s="168"/>
      <c r="M29" s="168"/>
      <c r="N29" s="168"/>
    </row>
    <row r="30" spans="2:14" ht="21" customHeight="1" x14ac:dyDescent="0.25">
      <c r="B30" s="778" t="s">
        <v>1468</v>
      </c>
      <c r="C30" s="778"/>
      <c r="D30" s="778"/>
      <c r="E30" s="778"/>
      <c r="F30" s="778"/>
      <c r="G30" s="778"/>
      <c r="H30" s="778"/>
      <c r="I30" s="168"/>
      <c r="J30" s="168"/>
      <c r="K30" s="168"/>
      <c r="L30" s="168"/>
      <c r="M30" s="168"/>
      <c r="N30" s="168"/>
    </row>
    <row r="31" spans="2:14" ht="21" customHeight="1" x14ac:dyDescent="0.25">
      <c r="B31" s="778" t="s">
        <v>1469</v>
      </c>
      <c r="C31" s="778"/>
      <c r="D31" s="778"/>
      <c r="E31" s="778"/>
      <c r="F31" s="778"/>
      <c r="G31" s="778"/>
      <c r="H31" s="778"/>
      <c r="I31" s="168"/>
      <c r="J31" s="168"/>
      <c r="K31" s="168"/>
      <c r="L31" s="168"/>
      <c r="M31" s="168"/>
      <c r="N31" s="168"/>
    </row>
    <row r="32" spans="2:14" ht="21" customHeight="1" x14ac:dyDescent="0.25">
      <c r="B32" s="778" t="s">
        <v>1470</v>
      </c>
      <c r="C32" s="778"/>
      <c r="D32" s="778"/>
      <c r="E32" s="778"/>
      <c r="F32" s="778"/>
      <c r="G32" s="778"/>
      <c r="H32" s="778"/>
    </row>
    <row r="33" spans="2:20" ht="21" customHeight="1" x14ac:dyDescent="0.25">
      <c r="B33" s="778" t="s">
        <v>1471</v>
      </c>
      <c r="C33" s="778"/>
      <c r="D33" s="778"/>
      <c r="E33" s="778"/>
      <c r="F33" s="778"/>
      <c r="G33" s="778"/>
      <c r="H33" s="778"/>
    </row>
    <row r="34" spans="2:20" ht="21" customHeight="1" x14ac:dyDescent="0.25">
      <c r="B34" s="778" t="s">
        <v>1472</v>
      </c>
      <c r="C34" s="778"/>
      <c r="D34" s="778"/>
      <c r="E34" s="778"/>
      <c r="F34" s="778"/>
      <c r="G34" s="778"/>
      <c r="H34" s="778"/>
    </row>
    <row r="35" spans="2:20" ht="21" customHeight="1" x14ac:dyDescent="0.25"/>
    <row r="36" spans="2:20" ht="21" customHeight="1" x14ac:dyDescent="0.25">
      <c r="B36" s="233"/>
      <c r="L36" s="782"/>
    </row>
    <row r="37" spans="2:20" ht="21" customHeight="1" x14ac:dyDescent="0.4">
      <c r="B37" s="783" t="s">
        <v>580</v>
      </c>
      <c r="C37" s="171"/>
    </row>
    <row r="38" spans="2:20" ht="24" customHeight="1" x14ac:dyDescent="0.25">
      <c r="B38" s="1182" t="s">
        <v>871</v>
      </c>
      <c r="C38" s="1182"/>
      <c r="D38" s="1182"/>
      <c r="E38" s="1182"/>
      <c r="F38" s="1182"/>
      <c r="G38" s="1182"/>
      <c r="H38" s="1182"/>
      <c r="I38" s="784"/>
      <c r="J38" s="784"/>
      <c r="K38" s="784"/>
    </row>
    <row r="39" spans="2:20" ht="21" customHeight="1" x14ac:dyDescent="0.25">
      <c r="B39" s="785" t="s">
        <v>600</v>
      </c>
      <c r="C39" s="778"/>
      <c r="D39" s="778"/>
      <c r="E39" s="778"/>
      <c r="F39" s="778"/>
      <c r="G39" s="778"/>
      <c r="H39" s="778"/>
    </row>
    <row r="40" spans="2:20" ht="21" customHeight="1" x14ac:dyDescent="0.25">
      <c r="B40" s="786" t="s">
        <v>23</v>
      </c>
      <c r="C40" s="787" t="s">
        <v>3</v>
      </c>
      <c r="D40" s="788"/>
      <c r="E40" s="1207" t="s">
        <v>596</v>
      </c>
      <c r="F40" s="1208"/>
      <c r="G40" s="789"/>
      <c r="H40" s="788"/>
    </row>
    <row r="41" spans="2:20" ht="31.5" customHeight="1" x14ac:dyDescent="0.25">
      <c r="B41" s="790" t="s">
        <v>6</v>
      </c>
      <c r="C41" s="1210" t="s">
        <v>593</v>
      </c>
      <c r="D41" s="1211"/>
      <c r="E41" s="1216" t="s">
        <v>870</v>
      </c>
      <c r="F41" s="1217"/>
      <c r="G41" s="791"/>
      <c r="H41" s="792"/>
      <c r="I41" s="267"/>
      <c r="J41" s="267"/>
      <c r="K41" s="267"/>
      <c r="L41" s="267"/>
      <c r="M41" s="267"/>
      <c r="N41" s="267"/>
      <c r="O41" s="267"/>
      <c r="P41" s="267"/>
      <c r="Q41" s="267"/>
      <c r="R41" s="267"/>
      <c r="S41" s="267"/>
      <c r="T41" s="267"/>
    </row>
    <row r="42" spans="2:20" ht="46.5" customHeight="1" x14ac:dyDescent="0.25">
      <c r="B42" s="790" t="s">
        <v>485</v>
      </c>
      <c r="C42" s="1210" t="s">
        <v>594</v>
      </c>
      <c r="D42" s="1211"/>
      <c r="E42" s="1210" t="s">
        <v>887</v>
      </c>
      <c r="F42" s="1215"/>
      <c r="G42" s="1215"/>
      <c r="H42" s="1211"/>
      <c r="I42" s="793"/>
      <c r="J42" s="793"/>
      <c r="K42" s="793"/>
      <c r="L42" s="794"/>
      <c r="M42" s="794"/>
      <c r="N42" s="794"/>
      <c r="O42" s="794"/>
      <c r="P42" s="794"/>
      <c r="Q42" s="794"/>
      <c r="R42" s="794"/>
      <c r="S42" s="794"/>
      <c r="T42" s="794"/>
    </row>
    <row r="43" spans="2:20" ht="31.5" customHeight="1" x14ac:dyDescent="0.25">
      <c r="B43" s="790" t="s">
        <v>486</v>
      </c>
      <c r="C43" s="1210" t="s">
        <v>595</v>
      </c>
      <c r="D43" s="1211"/>
      <c r="E43" s="1210" t="s">
        <v>888</v>
      </c>
      <c r="F43" s="1215"/>
      <c r="G43" s="1215"/>
      <c r="H43" s="1211"/>
      <c r="I43" s="793"/>
      <c r="J43" s="793"/>
      <c r="K43" s="793"/>
      <c r="L43" s="267"/>
      <c r="M43" s="267"/>
      <c r="N43" s="267"/>
      <c r="O43" s="267"/>
      <c r="P43" s="267"/>
      <c r="Q43" s="267"/>
      <c r="R43" s="267"/>
      <c r="S43" s="267"/>
      <c r="T43" s="267"/>
    </row>
    <row r="44" spans="2:20" ht="33.75" customHeight="1" x14ac:dyDescent="0.25">
      <c r="B44" s="790" t="s">
        <v>1473</v>
      </c>
      <c r="C44" s="1210" t="s">
        <v>1474</v>
      </c>
      <c r="D44" s="1211"/>
      <c r="E44" s="1210" t="s">
        <v>1475</v>
      </c>
      <c r="F44" s="1215"/>
      <c r="G44" s="1215"/>
      <c r="H44" s="1211"/>
      <c r="I44" s="793"/>
      <c r="J44" s="793"/>
      <c r="K44" s="793"/>
      <c r="L44" s="267"/>
      <c r="M44" s="267"/>
      <c r="N44" s="267"/>
      <c r="O44" s="267"/>
      <c r="P44" s="267"/>
      <c r="Q44" s="267"/>
      <c r="R44" s="267"/>
      <c r="S44" s="267"/>
      <c r="T44" s="267"/>
    </row>
    <row r="45" spans="2:20" ht="11.25" customHeight="1" x14ac:dyDescent="0.25">
      <c r="B45" s="785"/>
      <c r="C45" s="778"/>
      <c r="D45" s="778"/>
      <c r="E45" s="778"/>
      <c r="F45" s="778"/>
      <c r="G45" s="778"/>
      <c r="H45" s="778"/>
    </row>
    <row r="46" spans="2:20" ht="21" customHeight="1" x14ac:dyDescent="0.25">
      <c r="B46" s="781" t="s">
        <v>442</v>
      </c>
      <c r="C46" s="778"/>
      <c r="D46" s="778"/>
      <c r="E46" s="778"/>
      <c r="F46" s="778"/>
      <c r="G46" s="778"/>
      <c r="H46" s="778"/>
    </row>
    <row r="47" spans="2:20" ht="9.75" customHeight="1" x14ac:dyDescent="0.25">
      <c r="B47" s="781"/>
      <c r="C47" s="778"/>
      <c r="D47" s="778"/>
      <c r="E47" s="778"/>
      <c r="F47" s="778"/>
      <c r="G47" s="778"/>
      <c r="H47" s="778"/>
    </row>
    <row r="48" spans="2:20" ht="21" customHeight="1" x14ac:dyDescent="0.25">
      <c r="B48" s="165"/>
    </row>
    <row r="49" spans="1:12" ht="21" customHeight="1" x14ac:dyDescent="0.25">
      <c r="B49" s="1187" t="s">
        <v>603</v>
      </c>
      <c r="C49" s="1188"/>
      <c r="D49" s="1212"/>
      <c r="E49" s="1213"/>
      <c r="F49" s="1213"/>
      <c r="G49" s="1213"/>
      <c r="H49" s="1214"/>
      <c r="I49" s="795"/>
      <c r="J49" s="795"/>
      <c r="K49" s="795"/>
      <c r="L49" s="796"/>
    </row>
    <row r="50" spans="1:12" ht="21" customHeight="1" x14ac:dyDescent="0.25"/>
    <row r="51" spans="1:12" ht="21" customHeight="1" x14ac:dyDescent="0.25"/>
    <row r="52" spans="1:12" ht="21" customHeight="1" x14ac:dyDescent="0.4">
      <c r="B52" s="783" t="s">
        <v>581</v>
      </c>
      <c r="C52" s="171"/>
    </row>
    <row r="53" spans="1:12" ht="21" customHeight="1" x14ac:dyDescent="0.25">
      <c r="B53" s="778" t="s">
        <v>1450</v>
      </c>
      <c r="C53" s="778"/>
      <c r="D53" s="778"/>
      <c r="E53" s="778"/>
      <c r="F53" s="778"/>
      <c r="G53" s="778"/>
      <c r="H53" s="778"/>
    </row>
    <row r="54" spans="1:12" ht="21" customHeight="1" x14ac:dyDescent="0.25">
      <c r="B54" s="778" t="s">
        <v>584</v>
      </c>
      <c r="C54" s="778"/>
      <c r="D54" s="778"/>
      <c r="E54" s="778"/>
      <c r="F54" s="778"/>
      <c r="G54" s="778"/>
      <c r="H54" s="778"/>
    </row>
    <row r="55" spans="1:12" ht="21" customHeight="1" x14ac:dyDescent="0.25">
      <c r="B55" s="778" t="s">
        <v>867</v>
      </c>
      <c r="C55" s="778"/>
      <c r="D55" s="778"/>
      <c r="E55" s="778"/>
      <c r="F55" s="778"/>
      <c r="G55" s="778"/>
      <c r="H55" s="778"/>
    </row>
    <row r="56" spans="1:12" ht="21" customHeight="1" x14ac:dyDescent="0.25">
      <c r="B56" s="778" t="s">
        <v>1623</v>
      </c>
      <c r="C56" s="778"/>
      <c r="D56" s="778"/>
      <c r="E56" s="778"/>
      <c r="F56" s="778"/>
      <c r="G56" s="778"/>
      <c r="H56" s="778"/>
    </row>
    <row r="57" spans="1:12" ht="21" customHeight="1" x14ac:dyDescent="0.25">
      <c r="B57" s="778" t="s">
        <v>1229</v>
      </c>
      <c r="C57" s="778"/>
      <c r="D57" s="778"/>
      <c r="E57" s="778"/>
      <c r="F57" s="778"/>
      <c r="G57" s="778"/>
      <c r="H57" s="778"/>
    </row>
    <row r="58" spans="1:12" ht="21" customHeight="1" x14ac:dyDescent="0.25">
      <c r="B58" s="778" t="s">
        <v>868</v>
      </c>
      <c r="C58" s="778"/>
      <c r="D58" s="778"/>
      <c r="E58" s="778"/>
      <c r="F58" s="778"/>
      <c r="G58" s="778"/>
      <c r="H58" s="778"/>
    </row>
    <row r="59" spans="1:12" ht="21" customHeight="1" x14ac:dyDescent="0.25">
      <c r="B59" s="778" t="s">
        <v>1624</v>
      </c>
      <c r="C59" s="778"/>
      <c r="D59" s="778"/>
      <c r="E59" s="778"/>
      <c r="F59" s="778"/>
      <c r="G59" s="778"/>
      <c r="H59" s="778"/>
    </row>
    <row r="60" spans="1:12" ht="45.75" customHeight="1" x14ac:dyDescent="0.25">
      <c r="B60" s="1209" t="s">
        <v>1230</v>
      </c>
      <c r="C60" s="1209"/>
      <c r="D60" s="1209"/>
      <c r="E60" s="1209"/>
      <c r="F60" s="1209"/>
      <c r="G60" s="1209"/>
      <c r="H60" s="1209"/>
    </row>
    <row r="62" spans="1:12" ht="21" customHeight="1" x14ac:dyDescent="0.25"/>
    <row r="63" spans="1:12" s="800" customFormat="1" ht="35.25" customHeight="1" x14ac:dyDescent="0.25">
      <c r="A63" s="798"/>
      <c r="B63" s="799" t="s">
        <v>1206</v>
      </c>
    </row>
    <row r="64" spans="1:12" ht="21" customHeight="1" x14ac:dyDescent="0.35">
      <c r="B64" s="171" t="s">
        <v>1452</v>
      </c>
      <c r="C64" s="770"/>
      <c r="L64" s="782"/>
    </row>
    <row r="65" spans="1:18" ht="21" customHeight="1" x14ac:dyDescent="0.25">
      <c r="B65" s="165"/>
      <c r="C65" s="770"/>
      <c r="L65" s="782"/>
    </row>
    <row r="66" spans="1:18" ht="21" customHeight="1" outlineLevel="1" x14ac:dyDescent="0.25">
      <c r="B66" s="765" t="s">
        <v>1340</v>
      </c>
      <c r="F66" s="795"/>
      <c r="G66" s="801" t="str">
        <f>IF(D71&gt;0, IF($D$49="", "Tem de indicar o setor de atividade em cima", ""),"")</f>
        <v/>
      </c>
      <c r="H66" s="796"/>
      <c r="I66" s="796"/>
      <c r="J66" s="796"/>
      <c r="K66" s="796"/>
      <c r="N66" s="782"/>
    </row>
    <row r="67" spans="1:18" ht="78" customHeight="1" outlineLevel="1" x14ac:dyDescent="0.25">
      <c r="B67" s="1184" t="s">
        <v>582</v>
      </c>
      <c r="C67" s="1184" t="s">
        <v>25</v>
      </c>
      <c r="D67" s="1218" t="s">
        <v>493</v>
      </c>
      <c r="E67" s="1218"/>
      <c r="F67" s="1218"/>
      <c r="G67" s="1204" t="s">
        <v>554</v>
      </c>
      <c r="H67" s="174" t="s">
        <v>1124</v>
      </c>
      <c r="I67" s="174" t="s">
        <v>1146</v>
      </c>
      <c r="K67" s="778"/>
      <c r="L67" s="780" t="s">
        <v>1631</v>
      </c>
      <c r="M67" s="778"/>
      <c r="N67" s="802"/>
      <c r="O67" s="778"/>
      <c r="P67" s="778"/>
      <c r="Q67" s="778"/>
      <c r="R67" s="778"/>
    </row>
    <row r="68" spans="1:18" ht="39" customHeight="1" outlineLevel="1" x14ac:dyDescent="0.25">
      <c r="B68" s="1185"/>
      <c r="C68" s="1185"/>
      <c r="D68" s="803" t="s">
        <v>523</v>
      </c>
      <c r="E68" s="1184" t="s">
        <v>29</v>
      </c>
      <c r="F68" s="1204" t="s">
        <v>1716</v>
      </c>
      <c r="G68" s="1205"/>
      <c r="H68" s="745" t="s">
        <v>1123</v>
      </c>
      <c r="I68" s="745" t="s">
        <v>1073</v>
      </c>
      <c r="K68" s="778"/>
      <c r="L68" s="778" t="s">
        <v>869</v>
      </c>
      <c r="M68" s="778"/>
      <c r="N68" s="1201" t="s">
        <v>1200</v>
      </c>
      <c r="O68" s="1202"/>
      <c r="P68" s="1203"/>
      <c r="Q68" s="778"/>
      <c r="R68" s="778"/>
    </row>
    <row r="69" spans="1:18" ht="19.5" customHeight="1" outlineLevel="1" x14ac:dyDescent="0.25">
      <c r="B69" s="1186"/>
      <c r="C69" s="1186"/>
      <c r="D69" s="1076" t="str">
        <f>IF(COUNTIF(J71:J168,"Erro, confira o valor do consumo médio annual esperado")&gt;0,"Erro: confira of valores desta coluna","")</f>
        <v/>
      </c>
      <c r="E69" s="1186"/>
      <c r="F69" s="1206"/>
      <c r="G69" s="1206"/>
      <c r="H69" s="804"/>
      <c r="I69" s="805"/>
      <c r="K69" s="778"/>
      <c r="L69" s="778"/>
      <c r="M69" s="778"/>
      <c r="N69" s="802"/>
      <c r="O69" s="778"/>
      <c r="P69" s="778"/>
      <c r="Q69" s="778"/>
      <c r="R69" s="778"/>
    </row>
    <row r="70" spans="1:18" ht="32.450000000000003" customHeight="1" outlineLevel="1" x14ac:dyDescent="0.25">
      <c r="A70" s="175" t="s">
        <v>36</v>
      </c>
      <c r="B70" s="806" t="s">
        <v>583</v>
      </c>
      <c r="C70" s="807" t="s">
        <v>1080</v>
      </c>
      <c r="D70" s="808">
        <v>1000</v>
      </c>
      <c r="E70" s="809" t="s">
        <v>31</v>
      </c>
      <c r="F70" s="1101"/>
      <c r="G70" s="1102" t="s">
        <v>1210</v>
      </c>
      <c r="H70" s="810">
        <v>2.627983491673362</v>
      </c>
      <c r="I70" s="808">
        <v>2627.9834916733621</v>
      </c>
      <c r="K70" s="778"/>
      <c r="L70" s="1192" t="str">
        <f>IF(N68="","",VLOOKUP(N68,CE!$C$10:$D$48,2,FALSE))</f>
        <v>Outros biocombustíveis gasosos não incluídos não listados.</v>
      </c>
      <c r="M70" s="1193"/>
      <c r="N70" s="1193"/>
      <c r="O70" s="1193"/>
      <c r="P70" s="1193"/>
      <c r="Q70" s="1194"/>
      <c r="R70" s="778"/>
    </row>
    <row r="71" spans="1:18" ht="45" customHeight="1" outlineLevel="1" x14ac:dyDescent="0.25">
      <c r="A71" s="811"/>
      <c r="B71" s="705"/>
      <c r="C71" s="706"/>
      <c r="D71" s="1079"/>
      <c r="E71" s="812" t="str">
        <f>IF(C71="","",VLOOKUP(C71,CE!$B$55:$D$101,3,FALSE))</f>
        <v/>
      </c>
      <c r="F71" s="1079"/>
      <c r="G71" s="708"/>
      <c r="H71" s="813" t="str">
        <f>IFERROR(VLOOKUP(C71,CE!$B$55:$H$89,5,FALSE)+VLOOKUP(C71,CE!$B$55:$H$89,6,FALSE)*'Fatores de Emissão'!E258+VLOOKUP(C71,CE!$B$55:$H$89,7,FALSE)*'Fatores de Emissão'!E259,"")</f>
        <v/>
      </c>
      <c r="I71" s="814" t="str">
        <f t="shared" ref="I71:I102" si="0">IFERROR(H71*D71,"")</f>
        <v/>
      </c>
      <c r="J71" s="1080" t="str">
        <f t="shared" ref="J71:J102" si="1">IF(D71="","",IFERROR(D71*1,"Erro, confira o valor do consumo médio annual esperado"))</f>
        <v/>
      </c>
      <c r="K71" s="778"/>
      <c r="L71" s="1195"/>
      <c r="M71" s="1196"/>
      <c r="N71" s="1196"/>
      <c r="O71" s="1196"/>
      <c r="P71" s="1196"/>
      <c r="Q71" s="1197"/>
      <c r="R71" s="778"/>
    </row>
    <row r="72" spans="1:18" ht="45" customHeight="1" outlineLevel="1" x14ac:dyDescent="0.25">
      <c r="A72" s="811"/>
      <c r="B72" s="705"/>
      <c r="C72" s="706"/>
      <c r="D72" s="1079"/>
      <c r="E72" s="812" t="str">
        <f>IF(C72="","",VLOOKUP(C72,CE!$B$55:$D$101,3,FALSE))</f>
        <v/>
      </c>
      <c r="F72" s="1079"/>
      <c r="G72" s="708"/>
      <c r="H72" s="813" t="str">
        <f>IFERROR(VLOOKUP(C72,CE!$B$55:$H$89,5,FALSE)+VLOOKUP(C72,CE!$B$55:$H$89,6,FALSE)*'Fatores de Emissão'!E259+VLOOKUP(C72,CE!$B$55:$H$89,7,FALSE)*'Fatores de Emissão'!E260,"")</f>
        <v/>
      </c>
      <c r="I72" s="814" t="str">
        <f t="shared" si="0"/>
        <v/>
      </c>
      <c r="J72" s="1080" t="str">
        <f t="shared" si="1"/>
        <v/>
      </c>
      <c r="K72" s="778"/>
      <c r="L72" s="1195"/>
      <c r="M72" s="1196"/>
      <c r="N72" s="1196"/>
      <c r="O72" s="1196"/>
      <c r="P72" s="1196"/>
      <c r="Q72" s="1197"/>
      <c r="R72" s="778"/>
    </row>
    <row r="73" spans="1:18" ht="45" customHeight="1" outlineLevel="1" x14ac:dyDescent="0.25">
      <c r="A73" s="811"/>
      <c r="B73" s="705"/>
      <c r="C73" s="706"/>
      <c r="D73" s="1079"/>
      <c r="E73" s="812" t="str">
        <f>IF(C73="","",VLOOKUP(C73,CE!$B$55:$D$101,3,FALSE))</f>
        <v/>
      </c>
      <c r="F73" s="1079"/>
      <c r="G73" s="708"/>
      <c r="H73" s="813" t="str">
        <f>IFERROR(VLOOKUP(C73,CE!$B$55:$H$89,5,FALSE)+VLOOKUP(C73,CE!$B$55:$H$89,6,FALSE)*'Fatores de Emissão'!E260+VLOOKUP(C73,CE!$B$55:$H$89,7,FALSE)*'Fatores de Emissão'!E261,"")</f>
        <v/>
      </c>
      <c r="I73" s="814" t="str">
        <f t="shared" si="0"/>
        <v/>
      </c>
      <c r="J73" s="1080" t="str">
        <f t="shared" si="1"/>
        <v/>
      </c>
      <c r="K73" s="778"/>
      <c r="L73" s="1195"/>
      <c r="M73" s="1196"/>
      <c r="N73" s="1196"/>
      <c r="O73" s="1196"/>
      <c r="P73" s="1196"/>
      <c r="Q73" s="1197"/>
      <c r="R73" s="778"/>
    </row>
    <row r="74" spans="1:18" ht="45" customHeight="1" outlineLevel="1" x14ac:dyDescent="0.25">
      <c r="A74" s="811"/>
      <c r="B74" s="705"/>
      <c r="C74" s="706"/>
      <c r="D74" s="1079"/>
      <c r="E74" s="812" t="str">
        <f>IF(C74="","",VLOOKUP(C74,CE!$B$55:$D$101,3,FALSE))</f>
        <v/>
      </c>
      <c r="F74" s="1079"/>
      <c r="G74" s="708"/>
      <c r="H74" s="813" t="str">
        <f>IFERROR(VLOOKUP(C74,CE!$B$55:$H$89,5,FALSE)+VLOOKUP(C74,CE!$B$55:$H$89,6,FALSE)*'Fatores de Emissão'!E261+VLOOKUP(C74,CE!$B$55:$H$89,7,FALSE)*'Fatores de Emissão'!E262,"")</f>
        <v/>
      </c>
      <c r="I74" s="814" t="str">
        <f t="shared" si="0"/>
        <v/>
      </c>
      <c r="J74" s="1080" t="str">
        <f t="shared" si="1"/>
        <v/>
      </c>
      <c r="K74" s="778"/>
      <c r="L74" s="1195"/>
      <c r="M74" s="1196"/>
      <c r="N74" s="1196"/>
      <c r="O74" s="1196"/>
      <c r="P74" s="1196"/>
      <c r="Q74" s="1197"/>
      <c r="R74" s="778"/>
    </row>
    <row r="75" spans="1:18" ht="45" customHeight="1" outlineLevel="1" x14ac:dyDescent="0.25">
      <c r="A75" s="811"/>
      <c r="B75" s="705"/>
      <c r="C75" s="706"/>
      <c r="D75" s="1079"/>
      <c r="E75" s="812" t="str">
        <f>IF(C75="","",VLOOKUP(C75,CE!$B$55:$D$101,3,FALSE))</f>
        <v/>
      </c>
      <c r="F75" s="1079"/>
      <c r="G75" s="708"/>
      <c r="H75" s="813" t="str">
        <f>IFERROR(VLOOKUP(C75,CE!$B$55:$H$89,5,FALSE)+VLOOKUP(C75,CE!$B$55:$H$89,6,FALSE)*'Fatores de Emissão'!E262+VLOOKUP(C75,CE!$B$55:$H$89,7,FALSE)*'Fatores de Emissão'!E263,"")</f>
        <v/>
      </c>
      <c r="I75" s="814" t="str">
        <f t="shared" si="0"/>
        <v/>
      </c>
      <c r="J75" s="1080" t="str">
        <f t="shared" si="1"/>
        <v/>
      </c>
      <c r="K75" s="778"/>
      <c r="L75" s="1195"/>
      <c r="M75" s="1196"/>
      <c r="N75" s="1196"/>
      <c r="O75" s="1196"/>
      <c r="P75" s="1196"/>
      <c r="Q75" s="1197"/>
      <c r="R75" s="778"/>
    </row>
    <row r="76" spans="1:18" ht="45" customHeight="1" outlineLevel="1" x14ac:dyDescent="0.25">
      <c r="A76" s="811"/>
      <c r="B76" s="705"/>
      <c r="C76" s="706"/>
      <c r="D76" s="1079"/>
      <c r="E76" s="812" t="str">
        <f>IF(C76="","",VLOOKUP(C76,CE!$B$55:$D$101,3,FALSE))</f>
        <v/>
      </c>
      <c r="F76" s="1079"/>
      <c r="G76" s="708"/>
      <c r="H76" s="813" t="str">
        <f>IFERROR(VLOOKUP(C76,CE!$B$55:$H$89,5,FALSE)+VLOOKUP(C76,CE!$B$55:$H$89,6,FALSE)*'Fatores de Emissão'!E263+VLOOKUP(C76,CE!$B$55:$H$89,7,FALSE)*'Fatores de Emissão'!E264,"")</f>
        <v/>
      </c>
      <c r="I76" s="814" t="str">
        <f t="shared" si="0"/>
        <v/>
      </c>
      <c r="J76" s="1080" t="str">
        <f t="shared" si="1"/>
        <v/>
      </c>
      <c r="K76" s="778"/>
      <c r="L76" s="1198"/>
      <c r="M76" s="1199"/>
      <c r="N76" s="1199"/>
      <c r="O76" s="1199"/>
      <c r="P76" s="1199"/>
      <c r="Q76" s="1200"/>
      <c r="R76" s="778"/>
    </row>
    <row r="77" spans="1:18" ht="45" customHeight="1" outlineLevel="1" x14ac:dyDescent="0.25">
      <c r="A77" s="811"/>
      <c r="B77" s="705"/>
      <c r="C77" s="706"/>
      <c r="D77" s="1079"/>
      <c r="E77" s="812" t="str">
        <f>IF(C77="","",VLOOKUP(C77,CE!$B$55:$D$101,3,FALSE))</f>
        <v/>
      </c>
      <c r="F77" s="1079"/>
      <c r="G77" s="708"/>
      <c r="H77" s="813" t="str">
        <f>IFERROR(VLOOKUP(C77,CE!$B$55:$H$89,5,FALSE)+VLOOKUP(C77,CE!$B$55:$H$89,6,FALSE)*'Fatores de Emissão'!E264+VLOOKUP(C77,CE!$B$55:$H$89,7,FALSE)*'Fatores de Emissão'!E265,"")</f>
        <v/>
      </c>
      <c r="I77" s="814" t="str">
        <f t="shared" si="0"/>
        <v/>
      </c>
      <c r="J77" s="1080" t="str">
        <f t="shared" si="1"/>
        <v/>
      </c>
      <c r="K77" s="778"/>
      <c r="L77" s="778" t="s">
        <v>889</v>
      </c>
      <c r="M77" s="778"/>
      <c r="N77" s="802"/>
      <c r="O77" s="778"/>
      <c r="P77" s="778"/>
      <c r="Q77" s="778"/>
      <c r="R77" s="778"/>
    </row>
    <row r="78" spans="1:18" ht="45" customHeight="1" outlineLevel="1" x14ac:dyDescent="0.25">
      <c r="A78" s="811"/>
      <c r="B78" s="705"/>
      <c r="C78" s="706"/>
      <c r="D78" s="1079"/>
      <c r="E78" s="812" t="str">
        <f>IF(C78="","",VLOOKUP(C78,CE!$B$55:$D$101,3,FALSE))</f>
        <v/>
      </c>
      <c r="F78" s="1079"/>
      <c r="G78" s="708"/>
      <c r="H78" s="813" t="str">
        <f>IFERROR(VLOOKUP(C78,CE!$B$55:$H$89,5,FALSE)+VLOOKUP(C78,CE!$B$55:$H$89,6,FALSE)*'Fatores de Emissão'!E265+VLOOKUP(C78,CE!$B$55:$H$89,7,FALSE)*'Fatores de Emissão'!E266,"")</f>
        <v/>
      </c>
      <c r="I78" s="814" t="str">
        <f t="shared" si="0"/>
        <v/>
      </c>
      <c r="J78" s="1080" t="str">
        <f t="shared" si="1"/>
        <v/>
      </c>
      <c r="K78" s="778"/>
      <c r="L78" s="778"/>
      <c r="M78" s="778"/>
      <c r="N78" s="778"/>
      <c r="O78" s="778"/>
      <c r="P78" s="778"/>
      <c r="Q78" s="778"/>
      <c r="R78" s="778"/>
    </row>
    <row r="79" spans="1:18" ht="45" customHeight="1" outlineLevel="1" x14ac:dyDescent="0.25">
      <c r="A79" s="811"/>
      <c r="B79" s="705"/>
      <c r="C79" s="706"/>
      <c r="D79" s="1079"/>
      <c r="E79" s="812" t="str">
        <f>IF(C79="","",VLOOKUP(C79,CE!$B$55:$D$101,3,FALSE))</f>
        <v/>
      </c>
      <c r="F79" s="1079"/>
      <c r="G79" s="708"/>
      <c r="H79" s="813" t="str">
        <f>IFERROR(VLOOKUP(C79,CE!$B$55:$H$89,5,FALSE)+VLOOKUP(C79,CE!$B$55:$H$89,6,FALSE)*'Fatores de Emissão'!E266+VLOOKUP(C79,CE!$B$55:$H$89,7,FALSE)*'Fatores de Emissão'!E267,"")</f>
        <v/>
      </c>
      <c r="I79" s="814" t="str">
        <f t="shared" si="0"/>
        <v/>
      </c>
      <c r="J79" s="1080" t="str">
        <f t="shared" si="1"/>
        <v/>
      </c>
    </row>
    <row r="80" spans="1:18" ht="45" hidden="1" customHeight="1" outlineLevel="2" x14ac:dyDescent="0.25">
      <c r="A80" s="811"/>
      <c r="B80" s="705"/>
      <c r="C80" s="706"/>
      <c r="D80" s="1079"/>
      <c r="E80" s="812" t="str">
        <f>IF(C80="","",VLOOKUP(C80,CE!$B$55:$D$101,3,FALSE))</f>
        <v/>
      </c>
      <c r="F80" s="1079"/>
      <c r="G80" s="708"/>
      <c r="H80" s="813" t="str">
        <f>IFERROR(VLOOKUP(C80,CE!$B$55:$H$89,5,FALSE)+VLOOKUP(C80,CE!$B$55:$H$89,6,FALSE)*'Fatores de Emissão'!E267+VLOOKUP(C80,CE!$B$55:$H$89,7,FALSE)*'Fatores de Emissão'!E268,"")</f>
        <v/>
      </c>
      <c r="I80" s="814" t="str">
        <f t="shared" si="0"/>
        <v/>
      </c>
      <c r="J80" s="1080" t="str">
        <f t="shared" si="1"/>
        <v/>
      </c>
    </row>
    <row r="81" spans="1:10" ht="45" hidden="1" customHeight="1" outlineLevel="2" x14ac:dyDescent="0.25">
      <c r="A81" s="811"/>
      <c r="B81" s="705"/>
      <c r="C81" s="706"/>
      <c r="D81" s="1079"/>
      <c r="E81" s="812" t="str">
        <f>IF(C81="","",VLOOKUP(C81,CE!$B$55:$D$101,3,FALSE))</f>
        <v/>
      </c>
      <c r="F81" s="1079"/>
      <c r="G81" s="708"/>
      <c r="H81" s="813" t="str">
        <f>IFERROR(VLOOKUP(C81,CE!$B$55:$H$89,5,FALSE)+VLOOKUP(C81,CE!$B$55:$H$89,6,FALSE)*'Fatores de Emissão'!E268+VLOOKUP(C81,CE!$B$55:$H$89,7,FALSE)*'Fatores de Emissão'!E269,"")</f>
        <v/>
      </c>
      <c r="I81" s="814" t="str">
        <f t="shared" si="0"/>
        <v/>
      </c>
      <c r="J81" s="1080" t="str">
        <f t="shared" si="1"/>
        <v/>
      </c>
    </row>
    <row r="82" spans="1:10" ht="45" hidden="1" customHeight="1" outlineLevel="2" x14ac:dyDescent="0.25">
      <c r="A82" s="811"/>
      <c r="B82" s="705"/>
      <c r="C82" s="706"/>
      <c r="D82" s="1079"/>
      <c r="E82" s="812" t="str">
        <f>IF(C82="","",VLOOKUP(C82,CE!$B$55:$D$101,3,FALSE))</f>
        <v/>
      </c>
      <c r="F82" s="1079"/>
      <c r="G82" s="708"/>
      <c r="H82" s="813" t="str">
        <f>IFERROR(VLOOKUP(C82,CE!$B$55:$H$89,5,FALSE)+VLOOKUP(C82,CE!$B$55:$H$89,6,FALSE)*'Fatores de Emissão'!E269+VLOOKUP(C82,CE!$B$55:$H$89,7,FALSE)*'Fatores de Emissão'!E270,"")</f>
        <v/>
      </c>
      <c r="I82" s="814" t="str">
        <f t="shared" si="0"/>
        <v/>
      </c>
      <c r="J82" s="1080" t="str">
        <f t="shared" si="1"/>
        <v/>
      </c>
    </row>
    <row r="83" spans="1:10" ht="45" hidden="1" customHeight="1" outlineLevel="2" x14ac:dyDescent="0.25">
      <c r="A83" s="811"/>
      <c r="B83" s="705"/>
      <c r="C83" s="706"/>
      <c r="D83" s="1079"/>
      <c r="E83" s="812" t="str">
        <f>IF(C83="","",VLOOKUP(C83,CE!$B$55:$D$101,3,FALSE))</f>
        <v/>
      </c>
      <c r="F83" s="1079"/>
      <c r="G83" s="708"/>
      <c r="H83" s="813" t="str">
        <f>IFERROR(VLOOKUP(C83,CE!$B$55:$H$89,5,FALSE)+VLOOKUP(C83,CE!$B$55:$H$89,6,FALSE)*'Fatores de Emissão'!E270+VLOOKUP(C83,CE!$B$55:$H$89,7,FALSE)*'Fatores de Emissão'!E271,"")</f>
        <v/>
      </c>
      <c r="I83" s="814" t="str">
        <f t="shared" si="0"/>
        <v/>
      </c>
      <c r="J83" s="1080" t="str">
        <f t="shared" si="1"/>
        <v/>
      </c>
    </row>
    <row r="84" spans="1:10" ht="45" hidden="1" customHeight="1" outlineLevel="2" x14ac:dyDescent="0.25">
      <c r="A84" s="811"/>
      <c r="B84" s="705"/>
      <c r="C84" s="706"/>
      <c r="D84" s="1079"/>
      <c r="E84" s="812" t="str">
        <f>IF(C84="","",VLOOKUP(C84,CE!$B$55:$D$101,3,FALSE))</f>
        <v/>
      </c>
      <c r="F84" s="1079"/>
      <c r="G84" s="708"/>
      <c r="H84" s="813" t="str">
        <f>IFERROR(VLOOKUP(C84,CE!$B$55:$H$89,5,FALSE)+VLOOKUP(C84,CE!$B$55:$H$89,6,FALSE)*'Fatores de Emissão'!E271+VLOOKUP(C84,CE!$B$55:$H$89,7,FALSE)*'Fatores de Emissão'!E272,"")</f>
        <v/>
      </c>
      <c r="I84" s="814" t="str">
        <f t="shared" si="0"/>
        <v/>
      </c>
      <c r="J84" s="1080" t="str">
        <f t="shared" si="1"/>
        <v/>
      </c>
    </row>
    <row r="85" spans="1:10" ht="45" hidden="1" customHeight="1" outlineLevel="2" x14ac:dyDescent="0.25">
      <c r="A85" s="811"/>
      <c r="B85" s="705"/>
      <c r="C85" s="706"/>
      <c r="D85" s="1079"/>
      <c r="E85" s="812" t="str">
        <f>IF(C85="","",VLOOKUP(C85,CE!$B$55:$D$101,3,FALSE))</f>
        <v/>
      </c>
      <c r="F85" s="1079"/>
      <c r="G85" s="708"/>
      <c r="H85" s="813" t="str">
        <f>IFERROR(VLOOKUP(C85,CE!$B$55:$H$89,5,FALSE)+VLOOKUP(C85,CE!$B$55:$H$89,6,FALSE)*'Fatores de Emissão'!E272+VLOOKUP(C85,CE!$B$55:$H$89,7,FALSE)*'Fatores de Emissão'!E273,"")</f>
        <v/>
      </c>
      <c r="I85" s="814" t="str">
        <f t="shared" si="0"/>
        <v/>
      </c>
      <c r="J85" s="1080" t="str">
        <f t="shared" si="1"/>
        <v/>
      </c>
    </row>
    <row r="86" spans="1:10" ht="45" hidden="1" customHeight="1" outlineLevel="2" x14ac:dyDescent="0.25">
      <c r="A86" s="811"/>
      <c r="B86" s="705"/>
      <c r="C86" s="706"/>
      <c r="D86" s="1079"/>
      <c r="E86" s="812" t="str">
        <f>IF(C86="","",VLOOKUP(C86,CE!$B$55:$D$101,3,FALSE))</f>
        <v/>
      </c>
      <c r="F86" s="1079"/>
      <c r="G86" s="708"/>
      <c r="H86" s="813" t="str">
        <f>IFERROR(VLOOKUP(C86,CE!$B$55:$H$89,5,FALSE)+VLOOKUP(C86,CE!$B$55:$H$89,6,FALSE)*'Fatores de Emissão'!E273+VLOOKUP(C86,CE!$B$55:$H$89,7,FALSE)*'Fatores de Emissão'!E274,"")</f>
        <v/>
      </c>
      <c r="I86" s="814" t="str">
        <f t="shared" si="0"/>
        <v/>
      </c>
      <c r="J86" s="1080" t="str">
        <f t="shared" si="1"/>
        <v/>
      </c>
    </row>
    <row r="87" spans="1:10" ht="45" hidden="1" customHeight="1" outlineLevel="2" x14ac:dyDescent="0.25">
      <c r="A87" s="811"/>
      <c r="B87" s="705"/>
      <c r="C87" s="706"/>
      <c r="D87" s="1079"/>
      <c r="E87" s="812" t="str">
        <f>IF(C87="","",VLOOKUP(C87,CE!$B$55:$D$101,3,FALSE))</f>
        <v/>
      </c>
      <c r="F87" s="1079"/>
      <c r="G87" s="708"/>
      <c r="H87" s="813" t="str">
        <f>IFERROR(VLOOKUP(C87,CE!$B$55:$H$89,5,FALSE)+VLOOKUP(C87,CE!$B$55:$H$89,6,FALSE)*'Fatores de Emissão'!E274+VLOOKUP(C87,CE!$B$55:$H$89,7,FALSE)*'Fatores de Emissão'!E275,"")</f>
        <v/>
      </c>
      <c r="I87" s="814" t="str">
        <f t="shared" si="0"/>
        <v/>
      </c>
      <c r="J87" s="1080" t="str">
        <f t="shared" si="1"/>
        <v/>
      </c>
    </row>
    <row r="88" spans="1:10" ht="45" hidden="1" customHeight="1" outlineLevel="2" x14ac:dyDescent="0.25">
      <c r="A88" s="811"/>
      <c r="B88" s="705"/>
      <c r="C88" s="706"/>
      <c r="D88" s="1079"/>
      <c r="E88" s="812" t="str">
        <f>IF(C88="","",VLOOKUP(C88,CE!$B$55:$D$101,3,FALSE))</f>
        <v/>
      </c>
      <c r="F88" s="1079"/>
      <c r="G88" s="708"/>
      <c r="H88" s="813" t="str">
        <f>IFERROR(VLOOKUP(C88,CE!$B$55:$H$89,5,FALSE)+VLOOKUP(C88,CE!$B$55:$H$89,6,FALSE)*'Fatores de Emissão'!E275+VLOOKUP(C88,CE!$B$55:$H$89,7,FALSE)*'Fatores de Emissão'!E276,"")</f>
        <v/>
      </c>
      <c r="I88" s="814" t="str">
        <f t="shared" si="0"/>
        <v/>
      </c>
      <c r="J88" s="1080" t="str">
        <f t="shared" si="1"/>
        <v/>
      </c>
    </row>
    <row r="89" spans="1:10" ht="45" hidden="1" customHeight="1" outlineLevel="2" x14ac:dyDescent="0.25">
      <c r="A89" s="811"/>
      <c r="B89" s="705"/>
      <c r="C89" s="706"/>
      <c r="D89" s="1079"/>
      <c r="E89" s="812" t="str">
        <f>IF(C89="","",VLOOKUP(C89,CE!$B$55:$D$101,3,FALSE))</f>
        <v/>
      </c>
      <c r="F89" s="1079"/>
      <c r="G89" s="708"/>
      <c r="H89" s="813" t="str">
        <f>IFERROR(VLOOKUP(C89,CE!$B$55:$H$89,5,FALSE)+VLOOKUP(C89,CE!$B$55:$H$89,6,FALSE)*'Fatores de Emissão'!E276+VLOOKUP(C89,CE!$B$55:$H$89,7,FALSE)*'Fatores de Emissão'!E277,"")</f>
        <v/>
      </c>
      <c r="I89" s="814" t="str">
        <f t="shared" si="0"/>
        <v/>
      </c>
      <c r="J89" s="1080" t="str">
        <f t="shared" si="1"/>
        <v/>
      </c>
    </row>
    <row r="90" spans="1:10" ht="45" hidden="1" customHeight="1" outlineLevel="2" x14ac:dyDescent="0.25">
      <c r="A90" s="811"/>
      <c r="B90" s="705"/>
      <c r="C90" s="706"/>
      <c r="D90" s="1079"/>
      <c r="E90" s="812" t="str">
        <f>IF(C90="","",VLOOKUP(C90,CE!$B$55:$D$101,3,FALSE))</f>
        <v/>
      </c>
      <c r="F90" s="1079"/>
      <c r="G90" s="708"/>
      <c r="H90" s="813" t="str">
        <f>IFERROR(VLOOKUP(C90,CE!$B$55:$H$89,5,FALSE)+VLOOKUP(C90,CE!$B$55:$H$89,6,FALSE)*'Fatores de Emissão'!E277+VLOOKUP(C90,CE!$B$55:$H$89,7,FALSE)*'Fatores de Emissão'!E278,"")</f>
        <v/>
      </c>
      <c r="I90" s="814" t="str">
        <f t="shared" si="0"/>
        <v/>
      </c>
      <c r="J90" s="1080" t="str">
        <f t="shared" si="1"/>
        <v/>
      </c>
    </row>
    <row r="91" spans="1:10" ht="45" hidden="1" customHeight="1" outlineLevel="2" x14ac:dyDescent="0.25">
      <c r="A91" s="811"/>
      <c r="B91" s="705"/>
      <c r="C91" s="706"/>
      <c r="D91" s="1079"/>
      <c r="E91" s="812" t="str">
        <f>IF(C91="","",VLOOKUP(C91,CE!$B$55:$D$101,3,FALSE))</f>
        <v/>
      </c>
      <c r="F91" s="1079"/>
      <c r="G91" s="708"/>
      <c r="H91" s="813" t="str">
        <f>IFERROR(VLOOKUP(C91,CE!$B$55:$H$89,5,FALSE)+VLOOKUP(C91,CE!$B$55:$H$89,6,FALSE)*'Fatores de Emissão'!E278+VLOOKUP(C91,CE!$B$55:$H$89,7,FALSE)*'Fatores de Emissão'!E279,"")</f>
        <v/>
      </c>
      <c r="I91" s="814" t="str">
        <f t="shared" si="0"/>
        <v/>
      </c>
      <c r="J91" s="1080" t="str">
        <f t="shared" si="1"/>
        <v/>
      </c>
    </row>
    <row r="92" spans="1:10" ht="45" hidden="1" customHeight="1" outlineLevel="2" x14ac:dyDescent="0.25">
      <c r="A92" s="811"/>
      <c r="B92" s="705"/>
      <c r="C92" s="706"/>
      <c r="D92" s="1079"/>
      <c r="E92" s="812" t="str">
        <f>IF(C92="","",VLOOKUP(C92,CE!$B$55:$D$101,3,FALSE))</f>
        <v/>
      </c>
      <c r="F92" s="1079"/>
      <c r="G92" s="708"/>
      <c r="H92" s="813" t="str">
        <f>IFERROR(VLOOKUP(C92,CE!$B$55:$H$89,5,FALSE)+VLOOKUP(C92,CE!$B$55:$H$89,6,FALSE)*'Fatores de Emissão'!E279+VLOOKUP(C92,CE!$B$55:$H$89,7,FALSE)*'Fatores de Emissão'!E280,"")</f>
        <v/>
      </c>
      <c r="I92" s="814" t="str">
        <f t="shared" si="0"/>
        <v/>
      </c>
      <c r="J92" s="1080" t="str">
        <f t="shared" si="1"/>
        <v/>
      </c>
    </row>
    <row r="93" spans="1:10" ht="45" hidden="1" customHeight="1" outlineLevel="2" x14ac:dyDescent="0.25">
      <c r="A93" s="811"/>
      <c r="B93" s="705"/>
      <c r="C93" s="706"/>
      <c r="D93" s="1079"/>
      <c r="E93" s="812" t="str">
        <f>IF(C93="","",VLOOKUP(C93,CE!$B$55:$D$101,3,FALSE))</f>
        <v/>
      </c>
      <c r="F93" s="1079"/>
      <c r="G93" s="708"/>
      <c r="H93" s="813" t="str">
        <f>IFERROR(VLOOKUP(C93,CE!$B$55:$H$89,5,FALSE)+VLOOKUP(C93,CE!$B$55:$H$89,6,FALSE)*'Fatores de Emissão'!E280+VLOOKUP(C93,CE!$B$55:$H$89,7,FALSE)*'Fatores de Emissão'!E281,"")</f>
        <v/>
      </c>
      <c r="I93" s="814" t="str">
        <f t="shared" si="0"/>
        <v/>
      </c>
      <c r="J93" s="1080" t="str">
        <f t="shared" si="1"/>
        <v/>
      </c>
    </row>
    <row r="94" spans="1:10" ht="45" hidden="1" customHeight="1" outlineLevel="2" x14ac:dyDescent="0.25">
      <c r="A94" s="811"/>
      <c r="B94" s="705"/>
      <c r="C94" s="706"/>
      <c r="D94" s="1079"/>
      <c r="E94" s="812" t="str">
        <f>IF(C94="","",VLOOKUP(C94,CE!$B$55:$D$101,3,FALSE))</f>
        <v/>
      </c>
      <c r="F94" s="1079"/>
      <c r="G94" s="708"/>
      <c r="H94" s="813" t="str">
        <f>IFERROR(VLOOKUP(C94,CE!$B$55:$H$89,5,FALSE)+VLOOKUP(C94,CE!$B$55:$H$89,6,FALSE)*'Fatores de Emissão'!E281+VLOOKUP(C94,CE!$B$55:$H$89,7,FALSE)*'Fatores de Emissão'!E282,"")</f>
        <v/>
      </c>
      <c r="I94" s="814" t="str">
        <f t="shared" si="0"/>
        <v/>
      </c>
      <c r="J94" s="1080" t="str">
        <f t="shared" si="1"/>
        <v/>
      </c>
    </row>
    <row r="95" spans="1:10" ht="45" hidden="1" customHeight="1" outlineLevel="2" x14ac:dyDescent="0.25">
      <c r="A95" s="811"/>
      <c r="B95" s="705"/>
      <c r="C95" s="706"/>
      <c r="D95" s="1079"/>
      <c r="E95" s="812" t="str">
        <f>IF(C95="","",VLOOKUP(C95,CE!$B$55:$D$101,3,FALSE))</f>
        <v/>
      </c>
      <c r="F95" s="1079"/>
      <c r="G95" s="708"/>
      <c r="H95" s="813" t="str">
        <f>IFERROR(VLOOKUP(C95,CE!$B$55:$H$89,5,FALSE)+VLOOKUP(C95,CE!$B$55:$H$89,6,FALSE)*'Fatores de Emissão'!E282+VLOOKUP(C95,CE!$B$55:$H$89,7,FALSE)*'Fatores de Emissão'!E283,"")</f>
        <v/>
      </c>
      <c r="I95" s="814" t="str">
        <f t="shared" si="0"/>
        <v/>
      </c>
      <c r="J95" s="1080" t="str">
        <f t="shared" si="1"/>
        <v/>
      </c>
    </row>
    <row r="96" spans="1:10" ht="45" hidden="1" customHeight="1" outlineLevel="2" x14ac:dyDescent="0.25">
      <c r="A96" s="811"/>
      <c r="B96" s="705"/>
      <c r="C96" s="706"/>
      <c r="D96" s="1079"/>
      <c r="E96" s="812" t="str">
        <f>IF(C96="","",VLOOKUP(C96,CE!$B$55:$D$101,3,FALSE))</f>
        <v/>
      </c>
      <c r="F96" s="1079"/>
      <c r="G96" s="708"/>
      <c r="H96" s="813" t="str">
        <f>IFERROR(VLOOKUP(C96,CE!$B$55:$H$89,5,FALSE)+VLOOKUP(C96,CE!$B$55:$H$89,6,FALSE)*'Fatores de Emissão'!E283+VLOOKUP(C96,CE!$B$55:$H$89,7,FALSE)*'Fatores de Emissão'!E284,"")</f>
        <v/>
      </c>
      <c r="I96" s="814" t="str">
        <f t="shared" si="0"/>
        <v/>
      </c>
      <c r="J96" s="1080" t="str">
        <f t="shared" si="1"/>
        <v/>
      </c>
    </row>
    <row r="97" spans="1:10" ht="45" hidden="1" customHeight="1" outlineLevel="2" x14ac:dyDescent="0.25">
      <c r="A97" s="811"/>
      <c r="B97" s="705"/>
      <c r="C97" s="706"/>
      <c r="D97" s="1079"/>
      <c r="E97" s="812" t="str">
        <f>IF(C97="","",VLOOKUP(C97,CE!$B$55:$D$101,3,FALSE))</f>
        <v/>
      </c>
      <c r="F97" s="1079"/>
      <c r="G97" s="708"/>
      <c r="H97" s="813" t="str">
        <f>IFERROR(VLOOKUP(C97,CE!$B$55:$H$89,5,FALSE)+VLOOKUP(C97,CE!$B$55:$H$89,6,FALSE)*'Fatores de Emissão'!E284+VLOOKUP(C97,CE!$B$55:$H$89,7,FALSE)*'Fatores de Emissão'!E285,"")</f>
        <v/>
      </c>
      <c r="I97" s="814" t="str">
        <f t="shared" si="0"/>
        <v/>
      </c>
      <c r="J97" s="1080" t="str">
        <f t="shared" si="1"/>
        <v/>
      </c>
    </row>
    <row r="98" spans="1:10" ht="45" hidden="1" customHeight="1" outlineLevel="2" x14ac:dyDescent="0.25">
      <c r="A98" s="811"/>
      <c r="B98" s="705"/>
      <c r="C98" s="706"/>
      <c r="D98" s="1079"/>
      <c r="E98" s="812" t="str">
        <f>IF(C98="","",VLOOKUP(C98,CE!$B$55:$D$101,3,FALSE))</f>
        <v/>
      </c>
      <c r="F98" s="1079"/>
      <c r="G98" s="708"/>
      <c r="H98" s="813" t="str">
        <f>IFERROR(VLOOKUP(C98,CE!$B$55:$H$89,5,FALSE)+VLOOKUP(C98,CE!$B$55:$H$89,6,FALSE)*'Fatores de Emissão'!E285+VLOOKUP(C98,CE!$B$55:$H$89,7,FALSE)*'Fatores de Emissão'!E286,"")</f>
        <v/>
      </c>
      <c r="I98" s="814" t="str">
        <f t="shared" si="0"/>
        <v/>
      </c>
      <c r="J98" s="1080" t="str">
        <f t="shared" si="1"/>
        <v/>
      </c>
    </row>
    <row r="99" spans="1:10" ht="45" hidden="1" customHeight="1" outlineLevel="2" x14ac:dyDescent="0.25">
      <c r="A99" s="811"/>
      <c r="B99" s="705"/>
      <c r="C99" s="706"/>
      <c r="D99" s="1079"/>
      <c r="E99" s="812" t="str">
        <f>IF(C99="","",VLOOKUP(C99,CE!$B$55:$D$101,3,FALSE))</f>
        <v/>
      </c>
      <c r="F99" s="1079"/>
      <c r="G99" s="708"/>
      <c r="H99" s="813" t="str">
        <f>IFERROR(VLOOKUP(C99,CE!$B$55:$H$89,5,FALSE)+VLOOKUP(C99,CE!$B$55:$H$89,6,FALSE)*'Fatores de Emissão'!E286+VLOOKUP(C99,CE!$B$55:$H$89,7,FALSE)*'Fatores de Emissão'!E287,"")</f>
        <v/>
      </c>
      <c r="I99" s="814" t="str">
        <f t="shared" si="0"/>
        <v/>
      </c>
      <c r="J99" s="1080" t="str">
        <f t="shared" si="1"/>
        <v/>
      </c>
    </row>
    <row r="100" spans="1:10" ht="45" hidden="1" customHeight="1" outlineLevel="2" x14ac:dyDescent="0.25">
      <c r="A100" s="811"/>
      <c r="B100" s="705"/>
      <c r="C100" s="706"/>
      <c r="D100" s="1079"/>
      <c r="E100" s="812" t="str">
        <f>IF(C100="","",VLOOKUP(C100,CE!$B$55:$D$101,3,FALSE))</f>
        <v/>
      </c>
      <c r="F100" s="1079"/>
      <c r="G100" s="708"/>
      <c r="H100" s="813" t="str">
        <f>IFERROR(VLOOKUP(C100,CE!$B$55:$H$89,5,FALSE)+VLOOKUP(C100,CE!$B$55:$H$89,6,FALSE)*'Fatores de Emissão'!E287+VLOOKUP(C100,CE!$B$55:$H$89,7,FALSE)*'Fatores de Emissão'!E288,"")</f>
        <v/>
      </c>
      <c r="I100" s="814" t="str">
        <f t="shared" si="0"/>
        <v/>
      </c>
      <c r="J100" s="1080" t="str">
        <f t="shared" si="1"/>
        <v/>
      </c>
    </row>
    <row r="101" spans="1:10" ht="45" hidden="1" customHeight="1" outlineLevel="2" x14ac:dyDescent="0.25">
      <c r="A101" s="811"/>
      <c r="B101" s="705"/>
      <c r="C101" s="706"/>
      <c r="D101" s="1079"/>
      <c r="E101" s="812" t="str">
        <f>IF(C101="","",VLOOKUP(C101,CE!$B$55:$D$101,3,FALSE))</f>
        <v/>
      </c>
      <c r="F101" s="1079"/>
      <c r="G101" s="708"/>
      <c r="H101" s="813" t="str">
        <f>IFERROR(VLOOKUP(C101,CE!$B$55:$H$89,5,FALSE)+VLOOKUP(C101,CE!$B$55:$H$89,6,FALSE)*'Fatores de Emissão'!E288+VLOOKUP(C101,CE!$B$55:$H$89,7,FALSE)*'Fatores de Emissão'!E289,"")</f>
        <v/>
      </c>
      <c r="I101" s="814" t="str">
        <f t="shared" si="0"/>
        <v/>
      </c>
      <c r="J101" s="1080" t="str">
        <f t="shared" si="1"/>
        <v/>
      </c>
    </row>
    <row r="102" spans="1:10" ht="45" hidden="1" customHeight="1" outlineLevel="2" x14ac:dyDescent="0.25">
      <c r="A102" s="811"/>
      <c r="B102" s="705"/>
      <c r="C102" s="706"/>
      <c r="D102" s="1079"/>
      <c r="E102" s="812" t="str">
        <f>IF(C102="","",VLOOKUP(C102,CE!$B$55:$D$101,3,FALSE))</f>
        <v/>
      </c>
      <c r="F102" s="1079"/>
      <c r="G102" s="708"/>
      <c r="H102" s="813" t="str">
        <f>IFERROR(VLOOKUP(C102,CE!$B$55:$H$89,5,FALSE)+VLOOKUP(C102,CE!$B$55:$H$89,6,FALSE)*'Fatores de Emissão'!E289+VLOOKUP(C102,CE!$B$55:$H$89,7,FALSE)*'Fatores de Emissão'!E290,"")</f>
        <v/>
      </c>
      <c r="I102" s="814" t="str">
        <f t="shared" si="0"/>
        <v/>
      </c>
      <c r="J102" s="1080" t="str">
        <f t="shared" si="1"/>
        <v/>
      </c>
    </row>
    <row r="103" spans="1:10" ht="45" hidden="1" customHeight="1" outlineLevel="2" x14ac:dyDescent="0.25">
      <c r="A103" s="811"/>
      <c r="B103" s="705"/>
      <c r="C103" s="706"/>
      <c r="D103" s="1079"/>
      <c r="E103" s="812" t="str">
        <f>IF(C103="","",VLOOKUP(C103,CE!$B$55:$D$101,3,FALSE))</f>
        <v/>
      </c>
      <c r="F103" s="1079"/>
      <c r="G103" s="708"/>
      <c r="H103" s="813" t="str">
        <f>IFERROR(VLOOKUP(C103,CE!$B$55:$H$89,5,FALSE)+VLOOKUP(C103,CE!$B$55:$H$89,6,FALSE)*'Fatores de Emissão'!E290+VLOOKUP(C103,CE!$B$55:$H$89,7,FALSE)*'Fatores de Emissão'!E291,"")</f>
        <v/>
      </c>
      <c r="I103" s="814" t="str">
        <f t="shared" ref="I103:I134" si="2">IFERROR(H103*D103,"")</f>
        <v/>
      </c>
      <c r="J103" s="1080" t="str">
        <f t="shared" ref="J103:J134" si="3">IF(D103="","",IFERROR(D103*1,"Erro, confira o valor do consumo médio annual esperado"))</f>
        <v/>
      </c>
    </row>
    <row r="104" spans="1:10" ht="45" hidden="1" customHeight="1" outlineLevel="2" x14ac:dyDescent="0.25">
      <c r="A104" s="811"/>
      <c r="B104" s="705"/>
      <c r="C104" s="706"/>
      <c r="D104" s="1079"/>
      <c r="E104" s="812" t="str">
        <f>IF(C104="","",VLOOKUP(C104,CE!$B$55:$D$101,3,FALSE))</f>
        <v/>
      </c>
      <c r="F104" s="1079"/>
      <c r="G104" s="708"/>
      <c r="H104" s="813" t="str">
        <f>IFERROR(VLOOKUP(C104,CE!$B$55:$H$89,5,FALSE)+VLOOKUP(C104,CE!$B$55:$H$89,6,FALSE)*'Fatores de Emissão'!E291+VLOOKUP(C104,CE!$B$55:$H$89,7,FALSE)*'Fatores de Emissão'!E292,"")</f>
        <v/>
      </c>
      <c r="I104" s="814" t="str">
        <f t="shared" si="2"/>
        <v/>
      </c>
      <c r="J104" s="1080" t="str">
        <f t="shared" si="3"/>
        <v/>
      </c>
    </row>
    <row r="105" spans="1:10" ht="45" hidden="1" customHeight="1" outlineLevel="2" x14ac:dyDescent="0.25">
      <c r="A105" s="811"/>
      <c r="B105" s="705"/>
      <c r="C105" s="706"/>
      <c r="D105" s="1079"/>
      <c r="E105" s="812" t="str">
        <f>IF(C105="","",VLOOKUP(C105,CE!$B$55:$D$101,3,FALSE))</f>
        <v/>
      </c>
      <c r="F105" s="1079"/>
      <c r="G105" s="708"/>
      <c r="H105" s="813" t="str">
        <f>IFERROR(VLOOKUP(C105,CE!$B$55:$H$89,5,FALSE)+VLOOKUP(C105,CE!$B$55:$H$89,6,FALSE)*'Fatores de Emissão'!E292+VLOOKUP(C105,CE!$B$55:$H$89,7,FALSE)*'Fatores de Emissão'!E293,"")</f>
        <v/>
      </c>
      <c r="I105" s="814" t="str">
        <f t="shared" si="2"/>
        <v/>
      </c>
      <c r="J105" s="1080" t="str">
        <f t="shared" si="3"/>
        <v/>
      </c>
    </row>
    <row r="106" spans="1:10" ht="45" hidden="1" customHeight="1" outlineLevel="2" x14ac:dyDescent="0.25">
      <c r="A106" s="811"/>
      <c r="B106" s="705"/>
      <c r="C106" s="706"/>
      <c r="D106" s="1079"/>
      <c r="E106" s="812" t="str">
        <f>IF(C106="","",VLOOKUP(C106,CE!$B$55:$D$101,3,FALSE))</f>
        <v/>
      </c>
      <c r="F106" s="1079"/>
      <c r="G106" s="708"/>
      <c r="H106" s="813" t="str">
        <f>IFERROR(VLOOKUP(C106,CE!$B$55:$H$89,5,FALSE)+VLOOKUP(C106,CE!$B$55:$H$89,6,FALSE)*'Fatores de Emissão'!E293+VLOOKUP(C106,CE!$B$55:$H$89,7,FALSE)*'Fatores de Emissão'!E294,"")</f>
        <v/>
      </c>
      <c r="I106" s="814" t="str">
        <f t="shared" si="2"/>
        <v/>
      </c>
      <c r="J106" s="1080" t="str">
        <f t="shared" si="3"/>
        <v/>
      </c>
    </row>
    <row r="107" spans="1:10" ht="45" hidden="1" customHeight="1" outlineLevel="2" x14ac:dyDescent="0.25">
      <c r="A107" s="811"/>
      <c r="B107" s="705"/>
      <c r="C107" s="706"/>
      <c r="D107" s="1079"/>
      <c r="E107" s="812" t="str">
        <f>IF(C107="","",VLOOKUP(C107,CE!$B$55:$D$101,3,FALSE))</f>
        <v/>
      </c>
      <c r="F107" s="1079"/>
      <c r="G107" s="708"/>
      <c r="H107" s="813" t="str">
        <f>IFERROR(VLOOKUP(C107,CE!$B$55:$H$89,5,FALSE)+VLOOKUP(C107,CE!$B$55:$H$89,6,FALSE)*'Fatores de Emissão'!E294+VLOOKUP(C107,CE!$B$55:$H$89,7,FALSE)*'Fatores de Emissão'!E295,"")</f>
        <v/>
      </c>
      <c r="I107" s="814" t="str">
        <f t="shared" si="2"/>
        <v/>
      </c>
      <c r="J107" s="1080" t="str">
        <f t="shared" si="3"/>
        <v/>
      </c>
    </row>
    <row r="108" spans="1:10" ht="45" hidden="1" customHeight="1" outlineLevel="2" x14ac:dyDescent="0.25">
      <c r="A108" s="811"/>
      <c r="B108" s="705"/>
      <c r="C108" s="706"/>
      <c r="D108" s="1079"/>
      <c r="E108" s="812" t="str">
        <f>IF(C108="","",VLOOKUP(C108,CE!$B$55:$D$101,3,FALSE))</f>
        <v/>
      </c>
      <c r="F108" s="1079"/>
      <c r="G108" s="708"/>
      <c r="H108" s="813" t="str">
        <f>IFERROR(VLOOKUP(C108,CE!$B$55:$H$89,5,FALSE)+VLOOKUP(C108,CE!$B$55:$H$89,6,FALSE)*'Fatores de Emissão'!E295+VLOOKUP(C108,CE!$B$55:$H$89,7,FALSE)*'Fatores de Emissão'!E296,"")</f>
        <v/>
      </c>
      <c r="I108" s="814" t="str">
        <f t="shared" si="2"/>
        <v/>
      </c>
      <c r="J108" s="1080" t="str">
        <f t="shared" si="3"/>
        <v/>
      </c>
    </row>
    <row r="109" spans="1:10" ht="45" hidden="1" customHeight="1" outlineLevel="2" x14ac:dyDescent="0.25">
      <c r="A109" s="811"/>
      <c r="B109" s="705"/>
      <c r="C109" s="706"/>
      <c r="D109" s="1079"/>
      <c r="E109" s="812" t="str">
        <f>IF(C109="","",VLOOKUP(C109,CE!$B$55:$D$101,3,FALSE))</f>
        <v/>
      </c>
      <c r="F109" s="1079"/>
      <c r="G109" s="708"/>
      <c r="H109" s="813" t="str">
        <f>IFERROR(VLOOKUP(C109,CE!$B$55:$H$89,5,FALSE)+VLOOKUP(C109,CE!$B$55:$H$89,6,FALSE)*'Fatores de Emissão'!E296+VLOOKUP(C109,CE!$B$55:$H$89,7,FALSE)*'Fatores de Emissão'!E297,"")</f>
        <v/>
      </c>
      <c r="I109" s="814" t="str">
        <f t="shared" si="2"/>
        <v/>
      </c>
      <c r="J109" s="1080" t="str">
        <f t="shared" si="3"/>
        <v/>
      </c>
    </row>
    <row r="110" spans="1:10" ht="45" hidden="1" customHeight="1" outlineLevel="2" x14ac:dyDescent="0.25">
      <c r="A110" s="811"/>
      <c r="B110" s="705"/>
      <c r="C110" s="706"/>
      <c r="D110" s="1079"/>
      <c r="E110" s="812" t="str">
        <f>IF(C110="","",VLOOKUP(C110,CE!$B$55:$D$101,3,FALSE))</f>
        <v/>
      </c>
      <c r="F110" s="1079"/>
      <c r="G110" s="708"/>
      <c r="H110" s="813" t="str">
        <f>IFERROR(VLOOKUP(C110,CE!$B$55:$H$89,5,FALSE)+VLOOKUP(C110,CE!$B$55:$H$89,6,FALSE)*'Fatores de Emissão'!E297+VLOOKUP(C110,CE!$B$55:$H$89,7,FALSE)*'Fatores de Emissão'!E298,"")</f>
        <v/>
      </c>
      <c r="I110" s="814" t="str">
        <f t="shared" si="2"/>
        <v/>
      </c>
      <c r="J110" s="1080" t="str">
        <f t="shared" si="3"/>
        <v/>
      </c>
    </row>
    <row r="111" spans="1:10" ht="45" hidden="1" customHeight="1" outlineLevel="2" x14ac:dyDescent="0.25">
      <c r="A111" s="811"/>
      <c r="B111" s="705"/>
      <c r="C111" s="706"/>
      <c r="D111" s="1079"/>
      <c r="E111" s="812" t="str">
        <f>IF(C111="","",VLOOKUP(C111,CE!$B$55:$D$101,3,FALSE))</f>
        <v/>
      </c>
      <c r="F111" s="1079"/>
      <c r="G111" s="708"/>
      <c r="H111" s="813" t="str">
        <f>IFERROR(VLOOKUP(C111,CE!$B$55:$H$89,5,FALSE)+VLOOKUP(C111,CE!$B$55:$H$89,6,FALSE)*'Fatores de Emissão'!E298+VLOOKUP(C111,CE!$B$55:$H$89,7,FALSE)*'Fatores de Emissão'!E299,"")</f>
        <v/>
      </c>
      <c r="I111" s="814" t="str">
        <f t="shared" si="2"/>
        <v/>
      </c>
      <c r="J111" s="1080" t="str">
        <f t="shared" si="3"/>
        <v/>
      </c>
    </row>
    <row r="112" spans="1:10" ht="45" hidden="1" customHeight="1" outlineLevel="2" x14ac:dyDescent="0.25">
      <c r="A112" s="811"/>
      <c r="B112" s="705"/>
      <c r="C112" s="706"/>
      <c r="D112" s="1079"/>
      <c r="E112" s="812" t="str">
        <f>IF(C112="","",VLOOKUP(C112,CE!$B$55:$D$101,3,FALSE))</f>
        <v/>
      </c>
      <c r="F112" s="1079"/>
      <c r="G112" s="708"/>
      <c r="H112" s="813" t="str">
        <f>IFERROR(VLOOKUP(C112,CE!$B$55:$H$89,5,FALSE)+VLOOKUP(C112,CE!$B$55:$H$89,6,FALSE)*'Fatores de Emissão'!E299+VLOOKUP(C112,CE!$B$55:$H$89,7,FALSE)*'Fatores de Emissão'!E300,"")</f>
        <v/>
      </c>
      <c r="I112" s="814" t="str">
        <f t="shared" si="2"/>
        <v/>
      </c>
      <c r="J112" s="1080" t="str">
        <f t="shared" si="3"/>
        <v/>
      </c>
    </row>
    <row r="113" spans="1:10" ht="45" hidden="1" customHeight="1" outlineLevel="2" x14ac:dyDescent="0.25">
      <c r="A113" s="811"/>
      <c r="B113" s="705"/>
      <c r="C113" s="706"/>
      <c r="D113" s="1079"/>
      <c r="E113" s="812" t="str">
        <f>IF(C113="","",VLOOKUP(C113,CE!$B$55:$D$101,3,FALSE))</f>
        <v/>
      </c>
      <c r="F113" s="1079"/>
      <c r="G113" s="708"/>
      <c r="H113" s="813" t="str">
        <f>IFERROR(VLOOKUP(C113,CE!$B$55:$H$89,5,FALSE)+VLOOKUP(C113,CE!$B$55:$H$89,6,FALSE)*'Fatores de Emissão'!E300+VLOOKUP(C113,CE!$B$55:$H$89,7,FALSE)*'Fatores de Emissão'!E301,"")</f>
        <v/>
      </c>
      <c r="I113" s="814" t="str">
        <f t="shared" si="2"/>
        <v/>
      </c>
      <c r="J113" s="1080" t="str">
        <f t="shared" si="3"/>
        <v/>
      </c>
    </row>
    <row r="114" spans="1:10" ht="45" hidden="1" customHeight="1" outlineLevel="2" x14ac:dyDescent="0.25">
      <c r="A114" s="811"/>
      <c r="B114" s="705"/>
      <c r="C114" s="706"/>
      <c r="D114" s="1079"/>
      <c r="E114" s="812" t="str">
        <f>IF(C114="","",VLOOKUP(C114,CE!$B$55:$D$101,3,FALSE))</f>
        <v/>
      </c>
      <c r="F114" s="1079"/>
      <c r="G114" s="708"/>
      <c r="H114" s="813" t="str">
        <f>IFERROR(VLOOKUP(C114,CE!$B$55:$H$89,5,FALSE)+VLOOKUP(C114,CE!$B$55:$H$89,6,FALSE)*'Fatores de Emissão'!E301+VLOOKUP(C114,CE!$B$55:$H$89,7,FALSE)*'Fatores de Emissão'!E302,"")</f>
        <v/>
      </c>
      <c r="I114" s="814" t="str">
        <f t="shared" si="2"/>
        <v/>
      </c>
      <c r="J114" s="1080" t="str">
        <f t="shared" si="3"/>
        <v/>
      </c>
    </row>
    <row r="115" spans="1:10" ht="45" hidden="1" customHeight="1" outlineLevel="2" x14ac:dyDescent="0.25">
      <c r="A115" s="811"/>
      <c r="B115" s="705"/>
      <c r="C115" s="706"/>
      <c r="D115" s="1079"/>
      <c r="E115" s="812" t="str">
        <f>IF(C115="","",VLOOKUP(C115,CE!$B$55:$D$101,3,FALSE))</f>
        <v/>
      </c>
      <c r="F115" s="1079"/>
      <c r="G115" s="708"/>
      <c r="H115" s="813" t="str">
        <f>IFERROR(VLOOKUP(C115,CE!$B$55:$H$89,5,FALSE)+VLOOKUP(C115,CE!$B$55:$H$89,6,FALSE)*'Fatores de Emissão'!E302+VLOOKUP(C115,CE!$B$55:$H$89,7,FALSE)*'Fatores de Emissão'!E303,"")</f>
        <v/>
      </c>
      <c r="I115" s="814" t="str">
        <f t="shared" si="2"/>
        <v/>
      </c>
      <c r="J115" s="1080" t="str">
        <f t="shared" si="3"/>
        <v/>
      </c>
    </row>
    <row r="116" spans="1:10" ht="45" hidden="1" customHeight="1" outlineLevel="2" x14ac:dyDescent="0.25">
      <c r="A116" s="811"/>
      <c r="B116" s="705"/>
      <c r="C116" s="706"/>
      <c r="D116" s="1079"/>
      <c r="E116" s="812" t="str">
        <f>IF(C116="","",VLOOKUP(C116,CE!$B$55:$D$101,3,FALSE))</f>
        <v/>
      </c>
      <c r="F116" s="1079"/>
      <c r="G116" s="708"/>
      <c r="H116" s="813" t="str">
        <f>IFERROR(VLOOKUP(C116,CE!$B$55:$H$89,5,FALSE)+VLOOKUP(C116,CE!$B$55:$H$89,6,FALSE)*'Fatores de Emissão'!E303+VLOOKUP(C116,CE!$B$55:$H$89,7,FALSE)*'Fatores de Emissão'!E304,"")</f>
        <v/>
      </c>
      <c r="I116" s="814" t="str">
        <f t="shared" si="2"/>
        <v/>
      </c>
      <c r="J116" s="1080" t="str">
        <f t="shared" si="3"/>
        <v/>
      </c>
    </row>
    <row r="117" spans="1:10" ht="45" hidden="1" customHeight="1" outlineLevel="2" x14ac:dyDescent="0.25">
      <c r="A117" s="811"/>
      <c r="B117" s="705"/>
      <c r="C117" s="706"/>
      <c r="D117" s="1079"/>
      <c r="E117" s="812" t="str">
        <f>IF(C117="","",VLOOKUP(C117,CE!$B$55:$D$101,3,FALSE))</f>
        <v/>
      </c>
      <c r="F117" s="1079"/>
      <c r="G117" s="708"/>
      <c r="H117" s="813" t="str">
        <f>IFERROR(VLOOKUP(C117,CE!$B$55:$H$89,5,FALSE)+VLOOKUP(C117,CE!$B$55:$H$89,6,FALSE)*'Fatores de Emissão'!E304+VLOOKUP(C117,CE!$B$55:$H$89,7,FALSE)*'Fatores de Emissão'!E305,"")</f>
        <v/>
      </c>
      <c r="I117" s="814" t="str">
        <f t="shared" si="2"/>
        <v/>
      </c>
      <c r="J117" s="1080" t="str">
        <f t="shared" si="3"/>
        <v/>
      </c>
    </row>
    <row r="118" spans="1:10" ht="45" hidden="1" customHeight="1" outlineLevel="2" x14ac:dyDescent="0.25">
      <c r="A118" s="811"/>
      <c r="B118" s="705"/>
      <c r="C118" s="706"/>
      <c r="D118" s="1079"/>
      <c r="E118" s="812" t="str">
        <f>IF(C118="","",VLOOKUP(C118,CE!$B$55:$D$101,3,FALSE))</f>
        <v/>
      </c>
      <c r="F118" s="1079"/>
      <c r="G118" s="708"/>
      <c r="H118" s="813" t="str">
        <f>IFERROR(VLOOKUP(C118,CE!$B$55:$H$89,5,FALSE)+VLOOKUP(C118,CE!$B$55:$H$89,6,FALSE)*'Fatores de Emissão'!E305+VLOOKUP(C118,CE!$B$55:$H$89,7,FALSE)*'Fatores de Emissão'!E306,"")</f>
        <v/>
      </c>
      <c r="I118" s="814" t="str">
        <f t="shared" si="2"/>
        <v/>
      </c>
      <c r="J118" s="1080" t="str">
        <f t="shared" si="3"/>
        <v/>
      </c>
    </row>
    <row r="119" spans="1:10" ht="45" hidden="1" customHeight="1" outlineLevel="2" x14ac:dyDescent="0.25">
      <c r="A119" s="811"/>
      <c r="B119" s="705"/>
      <c r="C119" s="706"/>
      <c r="D119" s="1079"/>
      <c r="E119" s="812" t="str">
        <f>IF(C119="","",VLOOKUP(C119,CE!$B$55:$D$101,3,FALSE))</f>
        <v/>
      </c>
      <c r="F119" s="1079"/>
      <c r="G119" s="708"/>
      <c r="H119" s="813" t="str">
        <f>IFERROR(VLOOKUP(C119,CE!$B$55:$H$89,5,FALSE)+VLOOKUP(C119,CE!$B$55:$H$89,6,FALSE)*'Fatores de Emissão'!E306+VLOOKUP(C119,CE!$B$55:$H$89,7,FALSE)*'Fatores de Emissão'!E307,"")</f>
        <v/>
      </c>
      <c r="I119" s="814" t="str">
        <f t="shared" si="2"/>
        <v/>
      </c>
      <c r="J119" s="1080" t="str">
        <f t="shared" si="3"/>
        <v/>
      </c>
    </row>
    <row r="120" spans="1:10" ht="45" hidden="1" customHeight="1" outlineLevel="2" x14ac:dyDescent="0.25">
      <c r="A120" s="811"/>
      <c r="B120" s="705"/>
      <c r="C120" s="706"/>
      <c r="D120" s="1079"/>
      <c r="E120" s="812" t="str">
        <f>IF(C120="","",VLOOKUP(C120,CE!$B$55:$D$101,3,FALSE))</f>
        <v/>
      </c>
      <c r="F120" s="1079"/>
      <c r="G120" s="708"/>
      <c r="H120" s="813" t="str">
        <f>IFERROR(VLOOKUP(C120,CE!$B$55:$H$89,5,FALSE)+VLOOKUP(C120,CE!$B$55:$H$89,6,FALSE)*'Fatores de Emissão'!E307+VLOOKUP(C120,CE!$B$55:$H$89,7,FALSE)*'Fatores de Emissão'!E308,"")</f>
        <v/>
      </c>
      <c r="I120" s="814" t="str">
        <f t="shared" si="2"/>
        <v/>
      </c>
      <c r="J120" s="1080" t="str">
        <f t="shared" si="3"/>
        <v/>
      </c>
    </row>
    <row r="121" spans="1:10" ht="45" hidden="1" customHeight="1" outlineLevel="2" x14ac:dyDescent="0.25">
      <c r="A121" s="811"/>
      <c r="B121" s="705"/>
      <c r="C121" s="706"/>
      <c r="D121" s="1079"/>
      <c r="E121" s="812" t="str">
        <f>IF(C121="","",VLOOKUP(C121,CE!$B$55:$D$101,3,FALSE))</f>
        <v/>
      </c>
      <c r="F121" s="1079"/>
      <c r="G121" s="708"/>
      <c r="H121" s="813" t="str">
        <f>IFERROR(VLOOKUP(C121,CE!$B$55:$H$89,5,FALSE)+VLOOKUP(C121,CE!$B$55:$H$89,6,FALSE)*'Fatores de Emissão'!E308+VLOOKUP(C121,CE!$B$55:$H$89,7,FALSE)*'Fatores de Emissão'!E309,"")</f>
        <v/>
      </c>
      <c r="I121" s="814" t="str">
        <f t="shared" si="2"/>
        <v/>
      </c>
      <c r="J121" s="1080" t="str">
        <f t="shared" si="3"/>
        <v/>
      </c>
    </row>
    <row r="122" spans="1:10" ht="45" hidden="1" customHeight="1" outlineLevel="2" x14ac:dyDescent="0.25">
      <c r="A122" s="811"/>
      <c r="B122" s="705"/>
      <c r="C122" s="706"/>
      <c r="D122" s="1079"/>
      <c r="E122" s="812" t="str">
        <f>IF(C122="","",VLOOKUP(C122,CE!$B$55:$D$101,3,FALSE))</f>
        <v/>
      </c>
      <c r="F122" s="1079"/>
      <c r="G122" s="708"/>
      <c r="H122" s="813" t="str">
        <f>IFERROR(VLOOKUP(C122,CE!$B$55:$H$89,5,FALSE)+VLOOKUP(C122,CE!$B$55:$H$89,6,FALSE)*'Fatores de Emissão'!E309+VLOOKUP(C122,CE!$B$55:$H$89,7,FALSE)*'Fatores de Emissão'!E310,"")</f>
        <v/>
      </c>
      <c r="I122" s="814" t="str">
        <f t="shared" si="2"/>
        <v/>
      </c>
      <c r="J122" s="1080" t="str">
        <f t="shared" si="3"/>
        <v/>
      </c>
    </row>
    <row r="123" spans="1:10" ht="45" hidden="1" customHeight="1" outlineLevel="2" x14ac:dyDescent="0.25">
      <c r="A123" s="811"/>
      <c r="B123" s="705"/>
      <c r="C123" s="706"/>
      <c r="D123" s="1079"/>
      <c r="E123" s="812" t="str">
        <f>IF(C123="","",VLOOKUP(C123,CE!$B$55:$D$101,3,FALSE))</f>
        <v/>
      </c>
      <c r="F123" s="1079"/>
      <c r="G123" s="708"/>
      <c r="H123" s="813" t="str">
        <f>IFERROR(VLOOKUP(C123,CE!$B$55:$H$89,5,FALSE)+VLOOKUP(C123,CE!$B$55:$H$89,6,FALSE)*'Fatores de Emissão'!E310+VLOOKUP(C123,CE!$B$55:$H$89,7,FALSE)*'Fatores de Emissão'!E311,"")</f>
        <v/>
      </c>
      <c r="I123" s="814" t="str">
        <f t="shared" si="2"/>
        <v/>
      </c>
      <c r="J123" s="1080" t="str">
        <f t="shared" si="3"/>
        <v/>
      </c>
    </row>
    <row r="124" spans="1:10" ht="45" hidden="1" customHeight="1" outlineLevel="2" x14ac:dyDescent="0.25">
      <c r="A124" s="811"/>
      <c r="B124" s="705"/>
      <c r="C124" s="706"/>
      <c r="D124" s="1079"/>
      <c r="E124" s="812" t="str">
        <f>IF(C124="","",VLOOKUP(C124,CE!$B$55:$D$101,3,FALSE))</f>
        <v/>
      </c>
      <c r="F124" s="1079"/>
      <c r="G124" s="708"/>
      <c r="H124" s="813" t="str">
        <f>IFERROR(VLOOKUP(C124,CE!$B$55:$H$89,5,FALSE)+VLOOKUP(C124,CE!$B$55:$H$89,6,FALSE)*'Fatores de Emissão'!E311+VLOOKUP(C124,CE!$B$55:$H$89,7,FALSE)*'Fatores de Emissão'!E312,"")</f>
        <v/>
      </c>
      <c r="I124" s="814" t="str">
        <f t="shared" si="2"/>
        <v/>
      </c>
      <c r="J124" s="1080" t="str">
        <f t="shared" si="3"/>
        <v/>
      </c>
    </row>
    <row r="125" spans="1:10" ht="45" hidden="1" customHeight="1" outlineLevel="2" x14ac:dyDescent="0.25">
      <c r="A125" s="811"/>
      <c r="B125" s="705"/>
      <c r="C125" s="706"/>
      <c r="D125" s="1079"/>
      <c r="E125" s="812" t="str">
        <f>IF(C125="","",VLOOKUP(C125,CE!$B$55:$D$101,3,FALSE))</f>
        <v/>
      </c>
      <c r="F125" s="1079"/>
      <c r="G125" s="708"/>
      <c r="H125" s="813" t="str">
        <f>IFERROR(VLOOKUP(C125,CE!$B$55:$H$89,5,FALSE)+VLOOKUP(C125,CE!$B$55:$H$89,6,FALSE)*'Fatores de Emissão'!E312+VLOOKUP(C125,CE!$B$55:$H$89,7,FALSE)*'Fatores de Emissão'!E313,"")</f>
        <v/>
      </c>
      <c r="I125" s="814" t="str">
        <f t="shared" si="2"/>
        <v/>
      </c>
      <c r="J125" s="1080" t="str">
        <f t="shared" si="3"/>
        <v/>
      </c>
    </row>
    <row r="126" spans="1:10" ht="45" hidden="1" customHeight="1" outlineLevel="2" x14ac:dyDescent="0.25">
      <c r="A126" s="811"/>
      <c r="B126" s="705"/>
      <c r="C126" s="706"/>
      <c r="D126" s="1079"/>
      <c r="E126" s="812" t="str">
        <f>IF(C126="","",VLOOKUP(C126,CE!$B$55:$D$101,3,FALSE))</f>
        <v/>
      </c>
      <c r="F126" s="1079"/>
      <c r="G126" s="708"/>
      <c r="H126" s="813" t="str">
        <f>IFERROR(VLOOKUP(C126,CE!$B$55:$H$89,5,FALSE)+VLOOKUP(C126,CE!$B$55:$H$89,6,FALSE)*'Fatores de Emissão'!E313+VLOOKUP(C126,CE!$B$55:$H$89,7,FALSE)*'Fatores de Emissão'!E314,"")</f>
        <v/>
      </c>
      <c r="I126" s="814" t="str">
        <f t="shared" si="2"/>
        <v/>
      </c>
      <c r="J126" s="1080" t="str">
        <f t="shared" si="3"/>
        <v/>
      </c>
    </row>
    <row r="127" spans="1:10" ht="45" hidden="1" customHeight="1" outlineLevel="2" x14ac:dyDescent="0.25">
      <c r="A127" s="811"/>
      <c r="B127" s="705"/>
      <c r="C127" s="706"/>
      <c r="D127" s="1079"/>
      <c r="E127" s="812" t="str">
        <f>IF(C127="","",VLOOKUP(C127,CE!$B$55:$D$101,3,FALSE))</f>
        <v/>
      </c>
      <c r="F127" s="1079"/>
      <c r="G127" s="708"/>
      <c r="H127" s="813" t="str">
        <f>IFERROR(VLOOKUP(C127,CE!$B$55:$H$89,5,FALSE)+VLOOKUP(C127,CE!$B$55:$H$89,6,FALSE)*'Fatores de Emissão'!E314+VLOOKUP(C127,CE!$B$55:$H$89,7,FALSE)*'Fatores de Emissão'!E315,"")</f>
        <v/>
      </c>
      <c r="I127" s="814" t="str">
        <f t="shared" si="2"/>
        <v/>
      </c>
      <c r="J127" s="1080" t="str">
        <f t="shared" si="3"/>
        <v/>
      </c>
    </row>
    <row r="128" spans="1:10" ht="45" hidden="1" customHeight="1" outlineLevel="2" x14ac:dyDescent="0.25">
      <c r="A128" s="811"/>
      <c r="B128" s="705"/>
      <c r="C128" s="706"/>
      <c r="D128" s="1079"/>
      <c r="E128" s="812" t="str">
        <f>IF(C128="","",VLOOKUP(C128,CE!$B$55:$D$101,3,FALSE))</f>
        <v/>
      </c>
      <c r="F128" s="1079"/>
      <c r="G128" s="708"/>
      <c r="H128" s="813" t="str">
        <f>IFERROR(VLOOKUP(C128,CE!$B$55:$H$89,5,FALSE)+VLOOKUP(C128,CE!$B$55:$H$89,6,FALSE)*'Fatores de Emissão'!E315+VLOOKUP(C128,CE!$B$55:$H$89,7,FALSE)*'Fatores de Emissão'!E316,"")</f>
        <v/>
      </c>
      <c r="I128" s="814" t="str">
        <f t="shared" si="2"/>
        <v/>
      </c>
      <c r="J128" s="1080" t="str">
        <f t="shared" si="3"/>
        <v/>
      </c>
    </row>
    <row r="129" spans="1:10" ht="45" hidden="1" customHeight="1" outlineLevel="2" x14ac:dyDescent="0.25">
      <c r="A129" s="811"/>
      <c r="B129" s="705"/>
      <c r="C129" s="706"/>
      <c r="D129" s="1079"/>
      <c r="E129" s="812" t="str">
        <f>IF(C129="","",VLOOKUP(C129,CE!$B$55:$D$101,3,FALSE))</f>
        <v/>
      </c>
      <c r="F129" s="1079"/>
      <c r="G129" s="708"/>
      <c r="H129" s="813" t="str">
        <f>IFERROR(VLOOKUP(C129,CE!$B$55:$H$89,5,FALSE)+VLOOKUP(C129,CE!$B$55:$H$89,6,FALSE)*'Fatores de Emissão'!E316+VLOOKUP(C129,CE!$B$55:$H$89,7,FALSE)*'Fatores de Emissão'!E317,"")</f>
        <v/>
      </c>
      <c r="I129" s="814" t="str">
        <f t="shared" si="2"/>
        <v/>
      </c>
      <c r="J129" s="1080" t="str">
        <f t="shared" si="3"/>
        <v/>
      </c>
    </row>
    <row r="130" spans="1:10" ht="45" hidden="1" customHeight="1" outlineLevel="2" x14ac:dyDescent="0.25">
      <c r="A130" s="811"/>
      <c r="B130" s="705"/>
      <c r="C130" s="706"/>
      <c r="D130" s="1079"/>
      <c r="E130" s="812" t="str">
        <f>IF(C130="","",VLOOKUP(C130,CE!$B$55:$D$101,3,FALSE))</f>
        <v/>
      </c>
      <c r="F130" s="1079"/>
      <c r="G130" s="708"/>
      <c r="H130" s="813" t="str">
        <f>IFERROR(VLOOKUP(C130,CE!$B$55:$H$89,5,FALSE)+VLOOKUP(C130,CE!$B$55:$H$89,6,FALSE)*'Fatores de Emissão'!E317+VLOOKUP(C130,CE!$B$55:$H$89,7,FALSE)*'Fatores de Emissão'!E318,"")</f>
        <v/>
      </c>
      <c r="I130" s="814" t="str">
        <f t="shared" si="2"/>
        <v/>
      </c>
      <c r="J130" s="1080" t="str">
        <f t="shared" si="3"/>
        <v/>
      </c>
    </row>
    <row r="131" spans="1:10" ht="45" hidden="1" customHeight="1" outlineLevel="2" x14ac:dyDescent="0.25">
      <c r="A131" s="811"/>
      <c r="B131" s="705"/>
      <c r="C131" s="706"/>
      <c r="D131" s="1079"/>
      <c r="E131" s="812" t="str">
        <f>IF(C131="","",VLOOKUP(C131,CE!$B$55:$D$101,3,FALSE))</f>
        <v/>
      </c>
      <c r="F131" s="1079"/>
      <c r="G131" s="708"/>
      <c r="H131" s="813" t="str">
        <f>IFERROR(VLOOKUP(C131,CE!$B$55:$H$89,5,FALSE)+VLOOKUP(C131,CE!$B$55:$H$89,6,FALSE)*'Fatores de Emissão'!E318+VLOOKUP(C131,CE!$B$55:$H$89,7,FALSE)*'Fatores de Emissão'!E319,"")</f>
        <v/>
      </c>
      <c r="I131" s="814" t="str">
        <f t="shared" si="2"/>
        <v/>
      </c>
      <c r="J131" s="1080" t="str">
        <f t="shared" si="3"/>
        <v/>
      </c>
    </row>
    <row r="132" spans="1:10" ht="45" hidden="1" customHeight="1" outlineLevel="2" x14ac:dyDescent="0.25">
      <c r="A132" s="811"/>
      <c r="B132" s="705"/>
      <c r="C132" s="706"/>
      <c r="D132" s="1079"/>
      <c r="E132" s="812" t="str">
        <f>IF(C132="","",VLOOKUP(C132,CE!$B$55:$D$101,3,FALSE))</f>
        <v/>
      </c>
      <c r="F132" s="1079"/>
      <c r="G132" s="708"/>
      <c r="H132" s="813" t="str">
        <f>IFERROR(VLOOKUP(C132,CE!$B$55:$H$89,5,FALSE)+VLOOKUP(C132,CE!$B$55:$H$89,6,FALSE)*'Fatores de Emissão'!E319+VLOOKUP(C132,CE!$B$55:$H$89,7,FALSE)*'Fatores de Emissão'!E320,"")</f>
        <v/>
      </c>
      <c r="I132" s="814" t="str">
        <f t="shared" si="2"/>
        <v/>
      </c>
      <c r="J132" s="1080" t="str">
        <f t="shared" si="3"/>
        <v/>
      </c>
    </row>
    <row r="133" spans="1:10" ht="45" hidden="1" customHeight="1" outlineLevel="2" x14ac:dyDescent="0.25">
      <c r="A133" s="811"/>
      <c r="B133" s="705"/>
      <c r="C133" s="706"/>
      <c r="D133" s="1079"/>
      <c r="E133" s="812" t="str">
        <f>IF(C133="","",VLOOKUP(C133,CE!$B$55:$D$101,3,FALSE))</f>
        <v/>
      </c>
      <c r="F133" s="1079"/>
      <c r="G133" s="708"/>
      <c r="H133" s="813" t="str">
        <f>IFERROR(VLOOKUP(C133,CE!$B$55:$H$89,5,FALSE)+VLOOKUP(C133,CE!$B$55:$H$89,6,FALSE)*'Fatores de Emissão'!E320+VLOOKUP(C133,CE!$B$55:$H$89,7,FALSE)*'Fatores de Emissão'!E321,"")</f>
        <v/>
      </c>
      <c r="I133" s="814" t="str">
        <f t="shared" si="2"/>
        <v/>
      </c>
      <c r="J133" s="1080" t="str">
        <f t="shared" si="3"/>
        <v/>
      </c>
    </row>
    <row r="134" spans="1:10" ht="45" hidden="1" customHeight="1" outlineLevel="2" x14ac:dyDescent="0.25">
      <c r="A134" s="811"/>
      <c r="B134" s="705"/>
      <c r="C134" s="706"/>
      <c r="D134" s="1079"/>
      <c r="E134" s="812" t="str">
        <f>IF(C134="","",VLOOKUP(C134,CE!$B$55:$D$101,3,FALSE))</f>
        <v/>
      </c>
      <c r="F134" s="1079"/>
      <c r="G134" s="708"/>
      <c r="H134" s="813" t="str">
        <f>IFERROR(VLOOKUP(C134,CE!$B$55:$H$89,5,FALSE)+VLOOKUP(C134,CE!$B$55:$H$89,6,FALSE)*'Fatores de Emissão'!E321+VLOOKUP(C134,CE!$B$55:$H$89,7,FALSE)*'Fatores de Emissão'!E322,"")</f>
        <v/>
      </c>
      <c r="I134" s="814" t="str">
        <f t="shared" si="2"/>
        <v/>
      </c>
      <c r="J134" s="1080" t="str">
        <f t="shared" si="3"/>
        <v/>
      </c>
    </row>
    <row r="135" spans="1:10" ht="45" hidden="1" customHeight="1" outlineLevel="2" x14ac:dyDescent="0.25">
      <c r="A135" s="811"/>
      <c r="B135" s="705"/>
      <c r="C135" s="706"/>
      <c r="D135" s="1079"/>
      <c r="E135" s="812" t="str">
        <f>IF(C135="","",VLOOKUP(C135,CE!$B$55:$D$101,3,FALSE))</f>
        <v/>
      </c>
      <c r="F135" s="1079"/>
      <c r="G135" s="708"/>
      <c r="H135" s="813" t="str">
        <f>IFERROR(VLOOKUP(C135,CE!$B$55:$H$89,5,FALSE)+VLOOKUP(C135,CE!$B$55:$H$89,6,FALSE)*'Fatores de Emissão'!E322+VLOOKUP(C135,CE!$B$55:$H$89,7,FALSE)*'Fatores de Emissão'!E323,"")</f>
        <v/>
      </c>
      <c r="I135" s="814" t="str">
        <f t="shared" ref="I135:I166" si="4">IFERROR(H135*D135,"")</f>
        <v/>
      </c>
      <c r="J135" s="1080" t="str">
        <f t="shared" ref="J135:J168" si="5">IF(D135="","",IFERROR(D135*1,"Erro, confira o valor do consumo médio annual esperado"))</f>
        <v/>
      </c>
    </row>
    <row r="136" spans="1:10" ht="45" hidden="1" customHeight="1" outlineLevel="2" x14ac:dyDescent="0.25">
      <c r="A136" s="811"/>
      <c r="B136" s="705"/>
      <c r="C136" s="706"/>
      <c r="D136" s="1079"/>
      <c r="E136" s="812" t="str">
        <f>IF(C136="","",VLOOKUP(C136,CE!$B$55:$D$101,3,FALSE))</f>
        <v/>
      </c>
      <c r="F136" s="1079"/>
      <c r="G136" s="708"/>
      <c r="H136" s="813" t="str">
        <f>IFERROR(VLOOKUP(C136,CE!$B$55:$H$89,5,FALSE)+VLOOKUP(C136,CE!$B$55:$H$89,6,FALSE)*'Fatores de Emissão'!E323+VLOOKUP(C136,CE!$B$55:$H$89,7,FALSE)*'Fatores de Emissão'!E324,"")</f>
        <v/>
      </c>
      <c r="I136" s="814" t="str">
        <f t="shared" si="4"/>
        <v/>
      </c>
      <c r="J136" s="1080" t="str">
        <f t="shared" si="5"/>
        <v/>
      </c>
    </row>
    <row r="137" spans="1:10" ht="45" hidden="1" customHeight="1" outlineLevel="2" x14ac:dyDescent="0.25">
      <c r="A137" s="811"/>
      <c r="B137" s="705"/>
      <c r="C137" s="706"/>
      <c r="D137" s="1079"/>
      <c r="E137" s="812" t="str">
        <f>IF(C137="","",VLOOKUP(C137,CE!$B$55:$D$101,3,FALSE))</f>
        <v/>
      </c>
      <c r="F137" s="1079"/>
      <c r="G137" s="708"/>
      <c r="H137" s="813" t="str">
        <f>IFERROR(VLOOKUP(C137,CE!$B$55:$H$89,5,FALSE)+VLOOKUP(C137,CE!$B$55:$H$89,6,FALSE)*'Fatores de Emissão'!E324+VLOOKUP(C137,CE!$B$55:$H$89,7,FALSE)*'Fatores de Emissão'!E325,"")</f>
        <v/>
      </c>
      <c r="I137" s="814" t="str">
        <f t="shared" si="4"/>
        <v/>
      </c>
      <c r="J137" s="1080" t="str">
        <f t="shared" si="5"/>
        <v/>
      </c>
    </row>
    <row r="138" spans="1:10" ht="45" hidden="1" customHeight="1" outlineLevel="2" x14ac:dyDescent="0.25">
      <c r="A138" s="811"/>
      <c r="B138" s="705"/>
      <c r="C138" s="706"/>
      <c r="D138" s="1079"/>
      <c r="E138" s="812" t="str">
        <f>IF(C138="","",VLOOKUP(C138,CE!$B$55:$D$101,3,FALSE))</f>
        <v/>
      </c>
      <c r="F138" s="1079"/>
      <c r="G138" s="708"/>
      <c r="H138" s="813" t="str">
        <f>IFERROR(VLOOKUP(C138,CE!$B$55:$H$89,5,FALSE)+VLOOKUP(C138,CE!$B$55:$H$89,6,FALSE)*'Fatores de Emissão'!E325+VLOOKUP(C138,CE!$B$55:$H$89,7,FALSE)*'Fatores de Emissão'!E326,"")</f>
        <v/>
      </c>
      <c r="I138" s="814" t="str">
        <f t="shared" si="4"/>
        <v/>
      </c>
      <c r="J138" s="1080" t="str">
        <f t="shared" si="5"/>
        <v/>
      </c>
    </row>
    <row r="139" spans="1:10" ht="45" hidden="1" customHeight="1" outlineLevel="2" x14ac:dyDescent="0.25">
      <c r="A139" s="811"/>
      <c r="B139" s="705"/>
      <c r="C139" s="706"/>
      <c r="D139" s="1079"/>
      <c r="E139" s="812" t="str">
        <f>IF(C139="","",VLOOKUP(C139,CE!$B$55:$D$101,3,FALSE))</f>
        <v/>
      </c>
      <c r="F139" s="1079"/>
      <c r="G139" s="708"/>
      <c r="H139" s="813" t="str">
        <f>IFERROR(VLOOKUP(C139,CE!$B$55:$H$89,5,FALSE)+VLOOKUP(C139,CE!$B$55:$H$89,6,FALSE)*'Fatores de Emissão'!E326+VLOOKUP(C139,CE!$B$55:$H$89,7,FALSE)*'Fatores de Emissão'!E327,"")</f>
        <v/>
      </c>
      <c r="I139" s="814" t="str">
        <f t="shared" si="4"/>
        <v/>
      </c>
      <c r="J139" s="1080" t="str">
        <f t="shared" si="5"/>
        <v/>
      </c>
    </row>
    <row r="140" spans="1:10" ht="45" hidden="1" customHeight="1" outlineLevel="2" x14ac:dyDescent="0.25">
      <c r="A140" s="811"/>
      <c r="B140" s="705"/>
      <c r="C140" s="706"/>
      <c r="D140" s="1079"/>
      <c r="E140" s="812" t="str">
        <f>IF(C140="","",VLOOKUP(C140,CE!$B$55:$D$101,3,FALSE))</f>
        <v/>
      </c>
      <c r="F140" s="1079"/>
      <c r="G140" s="708"/>
      <c r="H140" s="813" t="str">
        <f>IFERROR(VLOOKUP(C140,CE!$B$55:$H$89,5,FALSE)+VLOOKUP(C140,CE!$B$55:$H$89,6,FALSE)*'Fatores de Emissão'!E327+VLOOKUP(C140,CE!$B$55:$H$89,7,FALSE)*'Fatores de Emissão'!E328,"")</f>
        <v/>
      </c>
      <c r="I140" s="814" t="str">
        <f t="shared" si="4"/>
        <v/>
      </c>
      <c r="J140" s="1080" t="str">
        <f t="shared" si="5"/>
        <v/>
      </c>
    </row>
    <row r="141" spans="1:10" ht="45" hidden="1" customHeight="1" outlineLevel="2" x14ac:dyDescent="0.25">
      <c r="A141" s="811"/>
      <c r="B141" s="705"/>
      <c r="C141" s="706"/>
      <c r="D141" s="1079"/>
      <c r="E141" s="812" t="str">
        <f>IF(C141="","",VLOOKUP(C141,CE!$B$55:$D$101,3,FALSE))</f>
        <v/>
      </c>
      <c r="F141" s="1079"/>
      <c r="G141" s="708"/>
      <c r="H141" s="813" t="str">
        <f>IFERROR(VLOOKUP(C141,CE!$B$55:$H$89,5,FALSE)+VLOOKUP(C141,CE!$B$55:$H$89,6,FALSE)*'Fatores de Emissão'!E328+VLOOKUP(C141,CE!$B$55:$H$89,7,FALSE)*'Fatores de Emissão'!E329,"")</f>
        <v/>
      </c>
      <c r="I141" s="814" t="str">
        <f t="shared" si="4"/>
        <v/>
      </c>
      <c r="J141" s="1080" t="str">
        <f t="shared" si="5"/>
        <v/>
      </c>
    </row>
    <row r="142" spans="1:10" ht="45" hidden="1" customHeight="1" outlineLevel="2" x14ac:dyDescent="0.25">
      <c r="A142" s="811"/>
      <c r="B142" s="705"/>
      <c r="C142" s="706"/>
      <c r="D142" s="1079"/>
      <c r="E142" s="812" t="str">
        <f>IF(C142="","",VLOOKUP(C142,CE!$B$55:$D$101,3,FALSE))</f>
        <v/>
      </c>
      <c r="F142" s="1079"/>
      <c r="G142" s="708"/>
      <c r="H142" s="813" t="str">
        <f>IFERROR(VLOOKUP(C142,CE!$B$55:$H$89,5,FALSE)+VLOOKUP(C142,CE!$B$55:$H$89,6,FALSE)*'Fatores de Emissão'!E329+VLOOKUP(C142,CE!$B$55:$H$89,7,FALSE)*'Fatores de Emissão'!E330,"")</f>
        <v/>
      </c>
      <c r="I142" s="814" t="str">
        <f t="shared" si="4"/>
        <v/>
      </c>
      <c r="J142" s="1080" t="str">
        <f t="shared" si="5"/>
        <v/>
      </c>
    </row>
    <row r="143" spans="1:10" ht="45" hidden="1" customHeight="1" outlineLevel="2" x14ac:dyDescent="0.25">
      <c r="A143" s="811"/>
      <c r="B143" s="705"/>
      <c r="C143" s="706"/>
      <c r="D143" s="1079"/>
      <c r="E143" s="812" t="str">
        <f>IF(C143="","",VLOOKUP(C143,CE!$B$55:$D$101,3,FALSE))</f>
        <v/>
      </c>
      <c r="F143" s="1079"/>
      <c r="G143" s="708"/>
      <c r="H143" s="813" t="str">
        <f>IFERROR(VLOOKUP(C143,CE!$B$55:$H$89,5,FALSE)+VLOOKUP(C143,CE!$B$55:$H$89,6,FALSE)*'Fatores de Emissão'!E330+VLOOKUP(C143,CE!$B$55:$H$89,7,FALSE)*'Fatores de Emissão'!E331,"")</f>
        <v/>
      </c>
      <c r="I143" s="814" t="str">
        <f t="shared" si="4"/>
        <v/>
      </c>
      <c r="J143" s="1080" t="str">
        <f t="shared" si="5"/>
        <v/>
      </c>
    </row>
    <row r="144" spans="1:10" ht="45" hidden="1" customHeight="1" outlineLevel="2" x14ac:dyDescent="0.25">
      <c r="A144" s="811"/>
      <c r="B144" s="705"/>
      <c r="C144" s="706"/>
      <c r="D144" s="1079"/>
      <c r="E144" s="812" t="str">
        <f>IF(C144="","",VLOOKUP(C144,CE!$B$55:$D$101,3,FALSE))</f>
        <v/>
      </c>
      <c r="F144" s="1079"/>
      <c r="G144" s="708"/>
      <c r="H144" s="813" t="str">
        <f>IFERROR(VLOOKUP(C144,CE!$B$55:$H$89,5,FALSE)+VLOOKUP(C144,CE!$B$55:$H$89,6,FALSE)*'Fatores de Emissão'!E331+VLOOKUP(C144,CE!$B$55:$H$89,7,FALSE)*'Fatores de Emissão'!E332,"")</f>
        <v/>
      </c>
      <c r="I144" s="814" t="str">
        <f t="shared" si="4"/>
        <v/>
      </c>
      <c r="J144" s="1080" t="str">
        <f t="shared" si="5"/>
        <v/>
      </c>
    </row>
    <row r="145" spans="1:10" ht="45" hidden="1" customHeight="1" outlineLevel="2" x14ac:dyDescent="0.25">
      <c r="A145" s="811"/>
      <c r="B145" s="705"/>
      <c r="C145" s="706"/>
      <c r="D145" s="1079"/>
      <c r="E145" s="812" t="str">
        <f>IF(C145="","",VLOOKUP(C145,CE!$B$55:$D$101,3,FALSE))</f>
        <v/>
      </c>
      <c r="F145" s="1079"/>
      <c r="G145" s="708"/>
      <c r="H145" s="813" t="str">
        <f>IFERROR(VLOOKUP(C145,CE!$B$55:$H$89,5,FALSE)+VLOOKUP(C145,CE!$B$55:$H$89,6,FALSE)*'Fatores de Emissão'!E332+VLOOKUP(C145,CE!$B$55:$H$89,7,FALSE)*'Fatores de Emissão'!E333,"")</f>
        <v/>
      </c>
      <c r="I145" s="814" t="str">
        <f t="shared" si="4"/>
        <v/>
      </c>
      <c r="J145" s="1080" t="str">
        <f t="shared" si="5"/>
        <v/>
      </c>
    </row>
    <row r="146" spans="1:10" ht="45" hidden="1" customHeight="1" outlineLevel="2" x14ac:dyDescent="0.25">
      <c r="A146" s="811"/>
      <c r="B146" s="705"/>
      <c r="C146" s="706"/>
      <c r="D146" s="1079"/>
      <c r="E146" s="812" t="str">
        <f>IF(C146="","",VLOOKUP(C146,CE!$B$55:$D$101,3,FALSE))</f>
        <v/>
      </c>
      <c r="F146" s="1079"/>
      <c r="G146" s="708"/>
      <c r="H146" s="813" t="str">
        <f>IFERROR(VLOOKUP(C146,CE!$B$55:$H$89,5,FALSE)+VLOOKUP(C146,CE!$B$55:$H$89,6,FALSE)*'Fatores de Emissão'!E333+VLOOKUP(C146,CE!$B$55:$H$89,7,FALSE)*'Fatores de Emissão'!E334,"")</f>
        <v/>
      </c>
      <c r="I146" s="814" t="str">
        <f t="shared" si="4"/>
        <v/>
      </c>
      <c r="J146" s="1080" t="str">
        <f t="shared" si="5"/>
        <v/>
      </c>
    </row>
    <row r="147" spans="1:10" ht="45" hidden="1" customHeight="1" outlineLevel="2" x14ac:dyDescent="0.25">
      <c r="A147" s="811"/>
      <c r="B147" s="705"/>
      <c r="C147" s="706"/>
      <c r="D147" s="1079"/>
      <c r="E147" s="812" t="str">
        <f>IF(C147="","",VLOOKUP(C147,CE!$B$55:$D$101,3,FALSE))</f>
        <v/>
      </c>
      <c r="F147" s="1079"/>
      <c r="G147" s="708"/>
      <c r="H147" s="813" t="str">
        <f>IFERROR(VLOOKUP(C147,CE!$B$55:$H$89,5,FALSE)+VLOOKUP(C147,CE!$B$55:$H$89,6,FALSE)*'Fatores de Emissão'!E334+VLOOKUP(C147,CE!$B$55:$H$89,7,FALSE)*'Fatores de Emissão'!E335,"")</f>
        <v/>
      </c>
      <c r="I147" s="814" t="str">
        <f t="shared" si="4"/>
        <v/>
      </c>
      <c r="J147" s="1080" t="str">
        <f t="shared" si="5"/>
        <v/>
      </c>
    </row>
    <row r="148" spans="1:10" ht="45" hidden="1" customHeight="1" outlineLevel="2" x14ac:dyDescent="0.25">
      <c r="A148" s="811"/>
      <c r="B148" s="705"/>
      <c r="C148" s="706"/>
      <c r="D148" s="1079"/>
      <c r="E148" s="812" t="str">
        <f>IF(C148="","",VLOOKUP(C148,CE!$B$55:$D$101,3,FALSE))</f>
        <v/>
      </c>
      <c r="F148" s="1079"/>
      <c r="G148" s="708"/>
      <c r="H148" s="813" t="str">
        <f>IFERROR(VLOOKUP(C148,CE!$B$55:$H$89,5,FALSE)+VLOOKUP(C148,CE!$B$55:$H$89,6,FALSE)*'Fatores de Emissão'!E335+VLOOKUP(C148,CE!$B$55:$H$89,7,FALSE)*'Fatores de Emissão'!E336,"")</f>
        <v/>
      </c>
      <c r="I148" s="814" t="str">
        <f t="shared" si="4"/>
        <v/>
      </c>
      <c r="J148" s="1080" t="str">
        <f t="shared" si="5"/>
        <v/>
      </c>
    </row>
    <row r="149" spans="1:10" ht="45" hidden="1" customHeight="1" outlineLevel="2" x14ac:dyDescent="0.25">
      <c r="A149" s="811"/>
      <c r="B149" s="705"/>
      <c r="C149" s="706"/>
      <c r="D149" s="1079"/>
      <c r="E149" s="812" t="str">
        <f>IF(C149="","",VLOOKUP(C149,CE!$B$55:$D$101,3,FALSE))</f>
        <v/>
      </c>
      <c r="F149" s="1079"/>
      <c r="G149" s="708"/>
      <c r="H149" s="813" t="str">
        <f>IFERROR(VLOOKUP(C149,CE!$B$55:$H$89,5,FALSE)+VLOOKUP(C149,CE!$B$55:$H$89,6,FALSE)*'Fatores de Emissão'!E336+VLOOKUP(C149,CE!$B$55:$H$89,7,FALSE)*'Fatores de Emissão'!E337,"")</f>
        <v/>
      </c>
      <c r="I149" s="814" t="str">
        <f t="shared" si="4"/>
        <v/>
      </c>
      <c r="J149" s="1080" t="str">
        <f t="shared" si="5"/>
        <v/>
      </c>
    </row>
    <row r="150" spans="1:10" ht="45" hidden="1" customHeight="1" outlineLevel="2" x14ac:dyDescent="0.25">
      <c r="A150" s="811"/>
      <c r="B150" s="705"/>
      <c r="C150" s="706"/>
      <c r="D150" s="1079"/>
      <c r="E150" s="812" t="str">
        <f>IF(C150="","",VLOOKUP(C150,CE!$B$55:$D$101,3,FALSE))</f>
        <v/>
      </c>
      <c r="F150" s="1079"/>
      <c r="G150" s="708"/>
      <c r="H150" s="813" t="str">
        <f>IFERROR(VLOOKUP(C150,CE!$B$55:$H$89,5,FALSE)+VLOOKUP(C150,CE!$B$55:$H$89,6,FALSE)*'Fatores de Emissão'!E337+VLOOKUP(C150,CE!$B$55:$H$89,7,FALSE)*'Fatores de Emissão'!E338,"")</f>
        <v/>
      </c>
      <c r="I150" s="814" t="str">
        <f t="shared" si="4"/>
        <v/>
      </c>
      <c r="J150" s="1080" t="str">
        <f t="shared" si="5"/>
        <v/>
      </c>
    </row>
    <row r="151" spans="1:10" ht="45" hidden="1" customHeight="1" outlineLevel="2" x14ac:dyDescent="0.25">
      <c r="A151" s="811"/>
      <c r="B151" s="705"/>
      <c r="C151" s="706"/>
      <c r="D151" s="1079"/>
      <c r="E151" s="812" t="str">
        <f>IF(C151="","",VLOOKUP(C151,CE!$B$55:$D$101,3,FALSE))</f>
        <v/>
      </c>
      <c r="F151" s="1079"/>
      <c r="G151" s="708"/>
      <c r="H151" s="813" t="str">
        <f>IFERROR(VLOOKUP(C151,CE!$B$55:$H$89,5,FALSE)+VLOOKUP(C151,CE!$B$55:$H$89,6,FALSE)*'Fatores de Emissão'!E338+VLOOKUP(C151,CE!$B$55:$H$89,7,FALSE)*'Fatores de Emissão'!E339,"")</f>
        <v/>
      </c>
      <c r="I151" s="814" t="str">
        <f t="shared" si="4"/>
        <v/>
      </c>
      <c r="J151" s="1080" t="str">
        <f t="shared" si="5"/>
        <v/>
      </c>
    </row>
    <row r="152" spans="1:10" ht="45" hidden="1" customHeight="1" outlineLevel="2" x14ac:dyDescent="0.25">
      <c r="A152" s="811"/>
      <c r="B152" s="705"/>
      <c r="C152" s="706"/>
      <c r="D152" s="1079"/>
      <c r="E152" s="812" t="str">
        <f>IF(C152="","",VLOOKUP(C152,CE!$B$55:$D$101,3,FALSE))</f>
        <v/>
      </c>
      <c r="F152" s="1079"/>
      <c r="G152" s="708"/>
      <c r="H152" s="813" t="str">
        <f>IFERROR(VLOOKUP(C152,CE!$B$55:$H$89,5,FALSE)+VLOOKUP(C152,CE!$B$55:$H$89,6,FALSE)*'Fatores de Emissão'!E339+VLOOKUP(C152,CE!$B$55:$H$89,7,FALSE)*'Fatores de Emissão'!E340,"")</f>
        <v/>
      </c>
      <c r="I152" s="814" t="str">
        <f t="shared" si="4"/>
        <v/>
      </c>
      <c r="J152" s="1080" t="str">
        <f t="shared" si="5"/>
        <v/>
      </c>
    </row>
    <row r="153" spans="1:10" ht="45" hidden="1" customHeight="1" outlineLevel="2" x14ac:dyDescent="0.25">
      <c r="A153" s="811"/>
      <c r="B153" s="705"/>
      <c r="C153" s="706"/>
      <c r="D153" s="1079"/>
      <c r="E153" s="812" t="str">
        <f>IF(C153="","",VLOOKUP(C153,CE!$B$55:$D$101,3,FALSE))</f>
        <v/>
      </c>
      <c r="F153" s="1079"/>
      <c r="G153" s="708"/>
      <c r="H153" s="813" t="str">
        <f>IFERROR(VLOOKUP(C153,CE!$B$55:$H$89,5,FALSE)+VLOOKUP(C153,CE!$B$55:$H$89,6,FALSE)*'Fatores de Emissão'!E340+VLOOKUP(C153,CE!$B$55:$H$89,7,FALSE)*'Fatores de Emissão'!E341,"")</f>
        <v/>
      </c>
      <c r="I153" s="814" t="str">
        <f t="shared" si="4"/>
        <v/>
      </c>
      <c r="J153" s="1080" t="str">
        <f t="shared" si="5"/>
        <v/>
      </c>
    </row>
    <row r="154" spans="1:10" ht="45" hidden="1" customHeight="1" outlineLevel="2" x14ac:dyDescent="0.25">
      <c r="A154" s="811"/>
      <c r="B154" s="705"/>
      <c r="C154" s="706"/>
      <c r="D154" s="1079"/>
      <c r="E154" s="812" t="str">
        <f>IF(C154="","",VLOOKUP(C154,CE!$B$55:$D$101,3,FALSE))</f>
        <v/>
      </c>
      <c r="F154" s="1079"/>
      <c r="G154" s="708"/>
      <c r="H154" s="813" t="str">
        <f>IFERROR(VLOOKUP(C154,CE!$B$55:$H$89,5,FALSE)+VLOOKUP(C154,CE!$B$55:$H$89,6,FALSE)*'Fatores de Emissão'!E341+VLOOKUP(C154,CE!$B$55:$H$89,7,FALSE)*'Fatores de Emissão'!E342,"")</f>
        <v/>
      </c>
      <c r="I154" s="814" t="str">
        <f t="shared" si="4"/>
        <v/>
      </c>
      <c r="J154" s="1080" t="str">
        <f t="shared" si="5"/>
        <v/>
      </c>
    </row>
    <row r="155" spans="1:10" ht="45" hidden="1" customHeight="1" outlineLevel="2" x14ac:dyDescent="0.25">
      <c r="A155" s="811"/>
      <c r="B155" s="705"/>
      <c r="C155" s="706"/>
      <c r="D155" s="1079"/>
      <c r="E155" s="812" t="str">
        <f>IF(C155="","",VLOOKUP(C155,CE!$B$55:$D$101,3,FALSE))</f>
        <v/>
      </c>
      <c r="F155" s="1079"/>
      <c r="G155" s="708"/>
      <c r="H155" s="813" t="str">
        <f>IFERROR(VLOOKUP(C155,CE!$B$55:$H$89,5,FALSE)+VLOOKUP(C155,CE!$B$55:$H$89,6,FALSE)*'Fatores de Emissão'!E342+VLOOKUP(C155,CE!$B$55:$H$89,7,FALSE)*'Fatores de Emissão'!E343,"")</f>
        <v/>
      </c>
      <c r="I155" s="814" t="str">
        <f t="shared" si="4"/>
        <v/>
      </c>
      <c r="J155" s="1080" t="str">
        <f t="shared" si="5"/>
        <v/>
      </c>
    </row>
    <row r="156" spans="1:10" ht="45" hidden="1" customHeight="1" outlineLevel="2" x14ac:dyDescent="0.25">
      <c r="A156" s="811"/>
      <c r="B156" s="705"/>
      <c r="C156" s="706"/>
      <c r="D156" s="1079"/>
      <c r="E156" s="812" t="str">
        <f>IF(C156="","",VLOOKUP(C156,CE!$B$55:$D$101,3,FALSE))</f>
        <v/>
      </c>
      <c r="F156" s="1079"/>
      <c r="G156" s="708"/>
      <c r="H156" s="813" t="str">
        <f>IFERROR(VLOOKUP(C156,CE!$B$55:$H$89,5,FALSE)+VLOOKUP(C156,CE!$B$55:$H$89,6,FALSE)*'Fatores de Emissão'!E343+VLOOKUP(C156,CE!$B$55:$H$89,7,FALSE)*'Fatores de Emissão'!E344,"")</f>
        <v/>
      </c>
      <c r="I156" s="814" t="str">
        <f t="shared" si="4"/>
        <v/>
      </c>
      <c r="J156" s="1080" t="str">
        <f t="shared" si="5"/>
        <v/>
      </c>
    </row>
    <row r="157" spans="1:10" ht="45" hidden="1" customHeight="1" outlineLevel="2" x14ac:dyDescent="0.25">
      <c r="A157" s="811"/>
      <c r="B157" s="705"/>
      <c r="C157" s="706"/>
      <c r="D157" s="1079"/>
      <c r="E157" s="812" t="str">
        <f>IF(C157="","",VLOOKUP(C157,CE!$B$55:$D$101,3,FALSE))</f>
        <v/>
      </c>
      <c r="F157" s="1079"/>
      <c r="G157" s="708"/>
      <c r="H157" s="813" t="str">
        <f>IFERROR(VLOOKUP(C157,CE!$B$55:$H$89,5,FALSE)+VLOOKUP(C157,CE!$B$55:$H$89,6,FALSE)*'Fatores de Emissão'!E344+VLOOKUP(C157,CE!$B$55:$H$89,7,FALSE)*'Fatores de Emissão'!E345,"")</f>
        <v/>
      </c>
      <c r="I157" s="814" t="str">
        <f t="shared" si="4"/>
        <v/>
      </c>
      <c r="J157" s="1080" t="str">
        <f t="shared" si="5"/>
        <v/>
      </c>
    </row>
    <row r="158" spans="1:10" ht="45" hidden="1" customHeight="1" outlineLevel="2" x14ac:dyDescent="0.25">
      <c r="A158" s="811"/>
      <c r="B158" s="705"/>
      <c r="C158" s="706"/>
      <c r="D158" s="1079"/>
      <c r="E158" s="812" t="str">
        <f>IF(C158="","",VLOOKUP(C158,CE!$B$55:$D$101,3,FALSE))</f>
        <v/>
      </c>
      <c r="F158" s="1079"/>
      <c r="G158" s="708"/>
      <c r="H158" s="813" t="str">
        <f>IFERROR(VLOOKUP(C158,CE!$B$55:$H$89,5,FALSE)+VLOOKUP(C158,CE!$B$55:$H$89,6,FALSE)*'Fatores de Emissão'!E345+VLOOKUP(C158,CE!$B$55:$H$89,7,FALSE)*'Fatores de Emissão'!E346,"")</f>
        <v/>
      </c>
      <c r="I158" s="814" t="str">
        <f t="shared" si="4"/>
        <v/>
      </c>
      <c r="J158" s="1080" t="str">
        <f t="shared" si="5"/>
        <v/>
      </c>
    </row>
    <row r="159" spans="1:10" ht="45" hidden="1" customHeight="1" outlineLevel="2" x14ac:dyDescent="0.25">
      <c r="A159" s="811"/>
      <c r="B159" s="705"/>
      <c r="C159" s="706"/>
      <c r="D159" s="1079"/>
      <c r="E159" s="812" t="str">
        <f>IF(C159="","",VLOOKUP(C159,CE!$B$55:$D$101,3,FALSE))</f>
        <v/>
      </c>
      <c r="F159" s="1079"/>
      <c r="G159" s="708"/>
      <c r="H159" s="813" t="str">
        <f>IFERROR(VLOOKUP(C159,CE!$B$55:$H$89,5,FALSE)+VLOOKUP(C159,CE!$B$55:$H$89,6,FALSE)*'Fatores de Emissão'!E346+VLOOKUP(C159,CE!$B$55:$H$89,7,FALSE)*'Fatores de Emissão'!E347,"")</f>
        <v/>
      </c>
      <c r="I159" s="814" t="str">
        <f t="shared" si="4"/>
        <v/>
      </c>
      <c r="J159" s="1080" t="str">
        <f t="shared" si="5"/>
        <v/>
      </c>
    </row>
    <row r="160" spans="1:10" ht="45" hidden="1" customHeight="1" outlineLevel="2" x14ac:dyDescent="0.25">
      <c r="A160" s="811"/>
      <c r="B160" s="705"/>
      <c r="C160" s="706"/>
      <c r="D160" s="1079"/>
      <c r="E160" s="812" t="str">
        <f>IF(C160="","",VLOOKUP(C160,CE!$B$55:$D$101,3,FALSE))</f>
        <v/>
      </c>
      <c r="F160" s="1079"/>
      <c r="G160" s="708"/>
      <c r="H160" s="813" t="str">
        <f>IFERROR(VLOOKUP(C160,CE!$B$55:$H$89,5,FALSE)+VLOOKUP(C160,CE!$B$55:$H$89,6,FALSE)*'Fatores de Emissão'!E347+VLOOKUP(C160,CE!$B$55:$H$89,7,FALSE)*'Fatores de Emissão'!E348,"")</f>
        <v/>
      </c>
      <c r="I160" s="814" t="str">
        <f t="shared" si="4"/>
        <v/>
      </c>
      <c r="J160" s="1080" t="str">
        <f t="shared" si="5"/>
        <v/>
      </c>
    </row>
    <row r="161" spans="1:12" ht="45" hidden="1" customHeight="1" outlineLevel="2" x14ac:dyDescent="0.25">
      <c r="A161" s="811"/>
      <c r="B161" s="705"/>
      <c r="C161" s="706"/>
      <c r="D161" s="1079"/>
      <c r="E161" s="812" t="str">
        <f>IF(C161="","",VLOOKUP(C161,CE!$B$55:$D$101,3,FALSE))</f>
        <v/>
      </c>
      <c r="F161" s="1079"/>
      <c r="G161" s="708"/>
      <c r="H161" s="813" t="str">
        <f>IFERROR(VLOOKUP(C161,CE!$B$55:$H$89,5,FALSE)+VLOOKUP(C161,CE!$B$55:$H$89,6,FALSE)*'Fatores de Emissão'!E348+VLOOKUP(C161,CE!$B$55:$H$89,7,FALSE)*'Fatores de Emissão'!E349,"")</f>
        <v/>
      </c>
      <c r="I161" s="814" t="str">
        <f t="shared" si="4"/>
        <v/>
      </c>
      <c r="J161" s="1080" t="str">
        <f t="shared" si="5"/>
        <v/>
      </c>
    </row>
    <row r="162" spans="1:12" ht="45" hidden="1" customHeight="1" outlineLevel="2" x14ac:dyDescent="0.25">
      <c r="A162" s="811"/>
      <c r="B162" s="705"/>
      <c r="C162" s="706"/>
      <c r="D162" s="1079"/>
      <c r="E162" s="812" t="str">
        <f>IF(C162="","",VLOOKUP(C162,CE!$B$55:$D$101,3,FALSE))</f>
        <v/>
      </c>
      <c r="F162" s="1079"/>
      <c r="G162" s="708"/>
      <c r="H162" s="813" t="str">
        <f>IFERROR(VLOOKUP(C162,CE!$B$55:$H$89,5,FALSE)+VLOOKUP(C162,CE!$B$55:$H$89,6,FALSE)*'Fatores de Emissão'!E349+VLOOKUP(C162,CE!$B$55:$H$89,7,FALSE)*'Fatores de Emissão'!E350,"")</f>
        <v/>
      </c>
      <c r="I162" s="814" t="str">
        <f t="shared" si="4"/>
        <v/>
      </c>
      <c r="J162" s="1080" t="str">
        <f t="shared" si="5"/>
        <v/>
      </c>
    </row>
    <row r="163" spans="1:12" ht="45" hidden="1" customHeight="1" outlineLevel="2" x14ac:dyDescent="0.25">
      <c r="A163" s="811"/>
      <c r="B163" s="705"/>
      <c r="C163" s="706"/>
      <c r="D163" s="1079"/>
      <c r="E163" s="812" t="str">
        <f>IF(C163="","",VLOOKUP(C163,CE!$B$55:$D$101,3,FALSE))</f>
        <v/>
      </c>
      <c r="F163" s="1079"/>
      <c r="G163" s="708"/>
      <c r="H163" s="813" t="str">
        <f>IFERROR(VLOOKUP(C163,CE!$B$55:$H$89,5,FALSE)+VLOOKUP(C163,CE!$B$55:$H$89,6,FALSE)*'Fatores de Emissão'!E350+VLOOKUP(C163,CE!$B$55:$H$89,7,FALSE)*'Fatores de Emissão'!E351,"")</f>
        <v/>
      </c>
      <c r="I163" s="814" t="str">
        <f t="shared" si="4"/>
        <v/>
      </c>
      <c r="J163" s="1080" t="str">
        <f t="shared" si="5"/>
        <v/>
      </c>
    </row>
    <row r="164" spans="1:12" ht="45" hidden="1" customHeight="1" outlineLevel="2" x14ac:dyDescent="0.25">
      <c r="A164" s="811"/>
      <c r="B164" s="705"/>
      <c r="C164" s="706"/>
      <c r="D164" s="1079"/>
      <c r="E164" s="812" t="str">
        <f>IF(C164="","",VLOOKUP(C164,CE!$B$55:$D$101,3,FALSE))</f>
        <v/>
      </c>
      <c r="F164" s="1079"/>
      <c r="G164" s="708"/>
      <c r="H164" s="813" t="str">
        <f>IFERROR(VLOOKUP(C164,CE!$B$55:$H$89,5,FALSE)+VLOOKUP(C164,CE!$B$55:$H$89,6,FALSE)*'Fatores de Emissão'!E351+VLOOKUP(C164,CE!$B$55:$H$89,7,FALSE)*'Fatores de Emissão'!E352,"")</f>
        <v/>
      </c>
      <c r="I164" s="814" t="str">
        <f t="shared" si="4"/>
        <v/>
      </c>
      <c r="J164" s="1080" t="str">
        <f t="shared" si="5"/>
        <v/>
      </c>
    </row>
    <row r="165" spans="1:12" ht="45" hidden="1" customHeight="1" outlineLevel="2" x14ac:dyDescent="0.25">
      <c r="A165" s="811"/>
      <c r="B165" s="705"/>
      <c r="C165" s="706"/>
      <c r="D165" s="1079"/>
      <c r="E165" s="812" t="str">
        <f>IF(C165="","",VLOOKUP(C165,CE!$B$55:$D$101,3,FALSE))</f>
        <v/>
      </c>
      <c r="F165" s="1079"/>
      <c r="G165" s="708"/>
      <c r="H165" s="813" t="str">
        <f>IFERROR(VLOOKUP(C165,CE!$B$55:$H$89,5,FALSE)+VLOOKUP(C165,CE!$B$55:$H$89,6,FALSE)*'Fatores de Emissão'!E352+VLOOKUP(C165,CE!$B$55:$H$89,7,FALSE)*'Fatores de Emissão'!E353,"")</f>
        <v/>
      </c>
      <c r="I165" s="814" t="str">
        <f t="shared" si="4"/>
        <v/>
      </c>
      <c r="J165" s="1080" t="str">
        <f t="shared" si="5"/>
        <v/>
      </c>
    </row>
    <row r="166" spans="1:12" ht="45" hidden="1" customHeight="1" outlineLevel="2" x14ac:dyDescent="0.25">
      <c r="A166" s="811"/>
      <c r="B166" s="705"/>
      <c r="C166" s="706"/>
      <c r="D166" s="1079"/>
      <c r="E166" s="812" t="str">
        <f>IF(C166="","",VLOOKUP(C166,CE!$B$55:$D$101,3,FALSE))</f>
        <v/>
      </c>
      <c r="F166" s="1079"/>
      <c r="G166" s="708"/>
      <c r="H166" s="813" t="str">
        <f>IFERROR(VLOOKUP(C166,CE!$B$55:$H$89,5,FALSE)+VLOOKUP(C166,CE!$B$55:$H$89,6,FALSE)*'Fatores de Emissão'!E353+VLOOKUP(C166,CE!$B$55:$H$89,7,FALSE)*'Fatores de Emissão'!E354,"")</f>
        <v/>
      </c>
      <c r="I166" s="814" t="str">
        <f t="shared" si="4"/>
        <v/>
      </c>
      <c r="J166" s="1080" t="str">
        <f t="shared" si="5"/>
        <v/>
      </c>
    </row>
    <row r="167" spans="1:12" ht="45" hidden="1" customHeight="1" outlineLevel="2" x14ac:dyDescent="0.25">
      <c r="A167" s="811"/>
      <c r="B167" s="705"/>
      <c r="C167" s="706"/>
      <c r="D167" s="1079"/>
      <c r="E167" s="812" t="str">
        <f>IF(C167="","",VLOOKUP(C167,CE!$B$55:$D$101,3,FALSE))</f>
        <v/>
      </c>
      <c r="F167" s="1079"/>
      <c r="G167" s="708"/>
      <c r="H167" s="813" t="str">
        <f>IFERROR(VLOOKUP(C167,CE!$B$55:$H$89,5,FALSE)+VLOOKUP(C167,CE!$B$55:$H$89,6,FALSE)*'Fatores de Emissão'!E354+VLOOKUP(C167,CE!$B$55:$H$89,7,FALSE)*'Fatores de Emissão'!E355,"")</f>
        <v/>
      </c>
      <c r="I167" s="814" t="str">
        <f t="shared" ref="I167:I168" si="6">IFERROR(H167*D167,"")</f>
        <v/>
      </c>
      <c r="J167" s="1080" t="str">
        <f t="shared" si="5"/>
        <v/>
      </c>
    </row>
    <row r="168" spans="1:12" ht="45" hidden="1" customHeight="1" outlineLevel="2" x14ac:dyDescent="0.25">
      <c r="A168" s="811"/>
      <c r="B168" s="705"/>
      <c r="C168" s="706"/>
      <c r="D168" s="1079"/>
      <c r="E168" s="812" t="str">
        <f>IF(C168="","",VLOOKUP(C168,CE!$B$55:$D$101,3,FALSE))</f>
        <v/>
      </c>
      <c r="F168" s="1079"/>
      <c r="G168" s="708"/>
      <c r="H168" s="813" t="str">
        <f>IFERROR(VLOOKUP(C168,CE!$B$55:$H$89,5,FALSE)+VLOOKUP(C168,CE!$B$55:$H$89,6,FALSE)*'Fatores de Emissão'!E355+VLOOKUP(C168,CE!$B$55:$H$89,7,FALSE)*'Fatores de Emissão'!E356,"")</f>
        <v/>
      </c>
      <c r="I168" s="814" t="str">
        <f t="shared" si="6"/>
        <v/>
      </c>
      <c r="J168" s="1080" t="str">
        <f t="shared" si="5"/>
        <v/>
      </c>
    </row>
    <row r="169" spans="1:12" ht="45" customHeight="1" outlineLevel="1" collapsed="1" x14ac:dyDescent="0.25">
      <c r="A169" s="175"/>
      <c r="B169" s="175"/>
      <c r="C169" s="175"/>
      <c r="D169" s="175"/>
      <c r="E169" s="175"/>
      <c r="F169" s="175"/>
      <c r="G169" s="815"/>
      <c r="L169" s="368"/>
    </row>
    <row r="170" spans="1:12" ht="21" customHeight="1" outlineLevel="1" x14ac:dyDescent="0.25">
      <c r="L170" s="816"/>
    </row>
    <row r="171" spans="1:12" ht="21" customHeight="1" outlineLevel="1" x14ac:dyDescent="0.25">
      <c r="B171" s="1189" t="s">
        <v>1219</v>
      </c>
      <c r="C171" s="1189"/>
      <c r="D171" s="1189"/>
      <c r="E171" s="817"/>
      <c r="F171" s="818"/>
      <c r="G171" s="818"/>
      <c r="H171" s="819">
        <f>SUMIF(G71:G168, CE!F10,'Combustão Estacionária'!I71:I168)/1000</f>
        <v>0</v>
      </c>
      <c r="L171" s="816"/>
    </row>
    <row r="172" spans="1:12" ht="21" customHeight="1" outlineLevel="1" x14ac:dyDescent="0.25">
      <c r="B172" s="1189" t="s">
        <v>1221</v>
      </c>
      <c r="C172" s="1189"/>
      <c r="D172" s="1189"/>
      <c r="E172" s="817"/>
      <c r="F172" s="818"/>
      <c r="G172" s="818"/>
      <c r="H172" s="819">
        <f>SUMIF(G71:G168, CE!F11,'Combustão Estacionária'!I71:I168)/1000</f>
        <v>0</v>
      </c>
      <c r="L172" s="816"/>
    </row>
    <row r="173" spans="1:12" ht="21" customHeight="1" outlineLevel="1" x14ac:dyDescent="0.25">
      <c r="B173" s="1189" t="s">
        <v>1355</v>
      </c>
      <c r="C173" s="1189"/>
      <c r="D173" s="1189"/>
      <c r="E173" s="817"/>
      <c r="F173" s="818"/>
      <c r="G173" s="818"/>
      <c r="H173" s="819">
        <f>(SUMIFS(I71:I168,C71:C168,'Fatores de Emissão'!B57,'Combustão Estacionária'!G71:G168,CE!F10))/1000</f>
        <v>0</v>
      </c>
      <c r="I173" s="820"/>
      <c r="L173" s="816"/>
    </row>
    <row r="174" spans="1:12" ht="21" customHeight="1" outlineLevel="1" x14ac:dyDescent="0.25">
      <c r="B174" s="1189" t="s">
        <v>1356</v>
      </c>
      <c r="C174" s="1189"/>
      <c r="D174" s="1189"/>
      <c r="E174" s="817"/>
      <c r="F174" s="818"/>
      <c r="G174" s="818"/>
      <c r="H174" s="819">
        <f>SUMIF(C71:C168,'Fatores de Emissão'!B57,'Combustão Estacionária'!I71:I168)/1000-'Combustão Estacionária'!H173</f>
        <v>0</v>
      </c>
      <c r="I174" s="820"/>
      <c r="L174" s="816"/>
    </row>
    <row r="175" spans="1:12" ht="21" customHeight="1" outlineLevel="1" x14ac:dyDescent="0.25">
      <c r="L175" s="816"/>
    </row>
    <row r="176" spans="1:12" ht="21" customHeight="1" x14ac:dyDescent="0.25"/>
    <row r="177" spans="1:23" s="800" customFormat="1" ht="35.25" customHeight="1" x14ac:dyDescent="0.25">
      <c r="A177" s="798"/>
      <c r="B177" s="799" t="s">
        <v>1205</v>
      </c>
    </row>
    <row r="178" spans="1:23" ht="35.25" customHeight="1" outlineLevel="1" x14ac:dyDescent="0.25">
      <c r="B178" s="233" t="s">
        <v>1451</v>
      </c>
      <c r="L178" s="782"/>
    </row>
    <row r="179" spans="1:23" ht="35.25" customHeight="1" outlineLevel="1" x14ac:dyDescent="0.25">
      <c r="B179" s="765" t="s">
        <v>1344</v>
      </c>
      <c r="C179" s="172"/>
      <c r="D179" s="795"/>
      <c r="E179" s="795"/>
      <c r="F179" s="796"/>
      <c r="G179" s="801" t="str">
        <f>IF(D184&gt;0, IF($D$49="", "Tem de indicar o setor de atividade em cima", ""),"")</f>
        <v/>
      </c>
      <c r="L179" s="782"/>
    </row>
    <row r="180" spans="1:23" ht="35.25" customHeight="1" outlineLevel="1" x14ac:dyDescent="0.25">
      <c r="B180" s="1184" t="s">
        <v>582</v>
      </c>
      <c r="C180" s="1184" t="s">
        <v>25</v>
      </c>
      <c r="D180" s="1204" t="s">
        <v>494</v>
      </c>
      <c r="E180" s="1218"/>
      <c r="F180" s="1218"/>
      <c r="G180" s="1204" t="str">
        <f>G67</f>
        <v>Localização</v>
      </c>
      <c r="H180" s="746"/>
      <c r="I180" s="1204" t="s">
        <v>1691</v>
      </c>
      <c r="J180" s="1184" t="s">
        <v>1222</v>
      </c>
      <c r="K180" s="1184" t="s">
        <v>1223</v>
      </c>
      <c r="L180" s="1184" t="s">
        <v>1226</v>
      </c>
      <c r="M180" s="1184" t="s">
        <v>1227</v>
      </c>
      <c r="N180" s="1184" t="s">
        <v>556</v>
      </c>
      <c r="P180" s="168"/>
      <c r="Q180" s="897"/>
      <c r="R180" s="168"/>
      <c r="S180" s="1159"/>
      <c r="T180" s="168"/>
      <c r="U180" s="168"/>
      <c r="V180" s="168"/>
      <c r="W180" s="168"/>
    </row>
    <row r="181" spans="1:23" ht="35.25" customHeight="1" outlineLevel="1" x14ac:dyDescent="0.25">
      <c r="B181" s="1185"/>
      <c r="C181" s="1190"/>
      <c r="D181" s="746" t="s">
        <v>523</v>
      </c>
      <c r="E181" s="1224" t="s">
        <v>26</v>
      </c>
      <c r="F181" s="1218" t="s">
        <v>1696</v>
      </c>
      <c r="G181" s="1205"/>
      <c r="H181" s="745" t="s">
        <v>1225</v>
      </c>
      <c r="I181" s="1205"/>
      <c r="J181" s="1185"/>
      <c r="K181" s="1185"/>
      <c r="L181" s="1185"/>
      <c r="M181" s="1185"/>
      <c r="N181" s="1185"/>
      <c r="P181" s="168"/>
      <c r="Q181" s="168"/>
      <c r="R181" s="168"/>
      <c r="S181" s="1181"/>
      <c r="T181" s="1181"/>
      <c r="U181" s="1181"/>
      <c r="V181" s="1181"/>
      <c r="W181" s="168"/>
    </row>
    <row r="182" spans="1:23" ht="35.25" customHeight="1" outlineLevel="1" x14ac:dyDescent="0.25">
      <c r="B182" s="1186"/>
      <c r="C182" s="1191"/>
      <c r="D182" s="1076" t="str">
        <f>IF(COUNTIF(O184:O283,"Erro, confira o valor do consumo médio annual esperado")&gt;0,"Erro: confira of valores desta coluna","")</f>
        <v/>
      </c>
      <c r="E182" s="1224"/>
      <c r="F182" s="1218"/>
      <c r="G182" s="1206"/>
      <c r="H182" s="747" t="s">
        <v>1224</v>
      </c>
      <c r="I182" s="1206"/>
      <c r="J182" s="745" t="s">
        <v>1341</v>
      </c>
      <c r="K182" s="745" t="s">
        <v>1341</v>
      </c>
      <c r="L182" s="745" t="s">
        <v>1342</v>
      </c>
      <c r="M182" s="745" t="s">
        <v>1342</v>
      </c>
      <c r="N182" s="745" t="s">
        <v>1343</v>
      </c>
      <c r="P182" s="168"/>
      <c r="Q182" s="168"/>
      <c r="R182" s="168"/>
      <c r="S182" s="1159"/>
      <c r="T182" s="168"/>
      <c r="U182" s="168"/>
      <c r="V182" s="168"/>
      <c r="W182" s="168"/>
    </row>
    <row r="183" spans="1:23" ht="35.25" customHeight="1" outlineLevel="1" x14ac:dyDescent="0.25">
      <c r="A183" s="175" t="s">
        <v>36</v>
      </c>
      <c r="B183" s="821" t="s">
        <v>583</v>
      </c>
      <c r="C183" s="822" t="s">
        <v>1215</v>
      </c>
      <c r="D183" s="823">
        <v>1000</v>
      </c>
      <c r="E183" s="824" t="s">
        <v>634</v>
      </c>
      <c r="F183" s="823"/>
      <c r="G183" s="1091" t="s">
        <v>1210</v>
      </c>
      <c r="H183" s="336">
        <v>7.0000000000000001E-3</v>
      </c>
      <c r="I183" s="336"/>
      <c r="J183" s="336">
        <v>1.7714699999999998E-4</v>
      </c>
      <c r="K183" s="336">
        <v>1.9116000000000001E-3</v>
      </c>
      <c r="L183" s="823">
        <v>0.17714699999999997</v>
      </c>
      <c r="M183" s="823">
        <v>1.9116</v>
      </c>
      <c r="N183" s="336">
        <v>7.0000000000000001E-3</v>
      </c>
      <c r="P183" s="168"/>
      <c r="Q183" s="1183"/>
      <c r="R183" s="1183"/>
      <c r="S183" s="1183"/>
      <c r="T183" s="1183"/>
      <c r="U183" s="1183"/>
      <c r="V183" s="1183"/>
      <c r="W183" s="168"/>
    </row>
    <row r="184" spans="1:23" ht="42" customHeight="1" outlineLevel="1" x14ac:dyDescent="0.25">
      <c r="A184" s="811"/>
      <c r="B184" s="705"/>
      <c r="C184" s="706"/>
      <c r="D184" s="707"/>
      <c r="E184" s="812" t="str">
        <f>IF(C184="","",VLOOKUP(C184,CE!$B$55:$D$101,3,FALSE))</f>
        <v/>
      </c>
      <c r="F184" s="707"/>
      <c r="G184" s="708"/>
      <c r="H184" s="709"/>
      <c r="I184" s="709"/>
      <c r="J184" s="813" t="str">
        <f>IFERROR(IF($D$49='Fatores de Emissão'!$J$65,VLOOKUP('Combustão Estacionária'!C184,'Fatores de Emissão'!$B$66:$M$75,9,FALSE),IF($D$49='Fatores de Emissão'!$K$65,VLOOKUP('Combustão Estacionária'!C184,'Fatores de Emissão'!$B$66:$M$75,10,FALSE),IF($D$49='Fatores de Emissão'!$L$65,VLOOKUP('Combustão Estacionária'!C184,'Fatores de Emissão'!$B$66:$M$75,11,FALSE),IF($D$49='Fatores de Emissão'!$M$65,VLOOKUP('Combustão Estacionária'!C184,'Fatores de Emissão'!$B$66:$M$75,12,FALSE),"")))),"")</f>
        <v/>
      </c>
      <c r="K184" s="813" t="str">
        <f>IFERROR(VLOOKUP('Combustão Estacionária'!C184,'Fatores de Emissão'!$B$66:$M$75,8,FALSE), "")</f>
        <v/>
      </c>
      <c r="L184" s="814" t="str">
        <f t="shared" ref="L184:L215" si="7">IFERROR(J184*D184,"")</f>
        <v/>
      </c>
      <c r="M184" s="814" t="str">
        <f t="shared" ref="M184:M215" si="8">IFERROR(K184*D184,"")</f>
        <v/>
      </c>
      <c r="N184" s="685" t="str">
        <f t="shared" ref="N184:N215" si="9">IFERROR(IF(H184="","",H184*D184),"")</f>
        <v/>
      </c>
      <c r="O184" s="1080" t="str">
        <f t="shared" ref="O184:O215" si="10">IF(D184="","",IFERROR(D184*1,"Erro, confira o valor do consumo médio annual esperado"))</f>
        <v/>
      </c>
      <c r="P184" s="168"/>
      <c r="Q184" s="1183"/>
      <c r="R184" s="1183"/>
      <c r="S184" s="1183"/>
      <c r="T184" s="1183"/>
      <c r="U184" s="1183"/>
      <c r="V184" s="1183"/>
      <c r="W184" s="168"/>
    </row>
    <row r="185" spans="1:23" ht="42" customHeight="1" outlineLevel="1" x14ac:dyDescent="0.25">
      <c r="A185" s="811"/>
      <c r="B185" s="705"/>
      <c r="C185" s="706"/>
      <c r="D185" s="707"/>
      <c r="E185" s="812" t="str">
        <f>IF(C185="","",VLOOKUP(C185,CE!$B$55:$D$101,3,FALSE))</f>
        <v/>
      </c>
      <c r="F185" s="707"/>
      <c r="G185" s="708"/>
      <c r="H185" s="709"/>
      <c r="I185" s="709"/>
      <c r="J185" s="813" t="str">
        <f>IFERROR(IF($D$49='Fatores de Emissão'!$J$65,VLOOKUP('Combustão Estacionária'!C185,'Fatores de Emissão'!$B$66:$M$75,9,FALSE),IF($D$49='Fatores de Emissão'!$K$65,VLOOKUP('Combustão Estacionária'!C185,'Fatores de Emissão'!$B$66:$M$75,10,FALSE),IF($D$49='Fatores de Emissão'!$L$65,VLOOKUP('Combustão Estacionária'!C185,'Fatores de Emissão'!$B$66:$M$75,11,FALSE),IF($D$49='Fatores de Emissão'!$M$65,VLOOKUP('Combustão Estacionária'!C185,'Fatores de Emissão'!$B$66:$M$75,12,FALSE),"")))),"")</f>
        <v/>
      </c>
      <c r="K185" s="813" t="str">
        <f>IFERROR(VLOOKUP('Combustão Estacionária'!C185,'Fatores de Emissão'!$B$66:$M$75,8,FALSE), "")</f>
        <v/>
      </c>
      <c r="L185" s="814" t="str">
        <f t="shared" si="7"/>
        <v/>
      </c>
      <c r="M185" s="814" t="str">
        <f t="shared" si="8"/>
        <v/>
      </c>
      <c r="N185" s="685" t="str">
        <f t="shared" si="9"/>
        <v/>
      </c>
      <c r="O185" s="1080" t="str">
        <f t="shared" si="10"/>
        <v/>
      </c>
      <c r="P185" s="168"/>
      <c r="Q185" s="1183"/>
      <c r="R185" s="1183"/>
      <c r="S185" s="1183"/>
      <c r="T185" s="1183"/>
      <c r="U185" s="1183"/>
      <c r="V185" s="1183"/>
      <c r="W185" s="168"/>
    </row>
    <row r="186" spans="1:23" ht="42" customHeight="1" outlineLevel="1" x14ac:dyDescent="0.25">
      <c r="A186" s="811"/>
      <c r="B186" s="705"/>
      <c r="C186" s="706"/>
      <c r="D186" s="707"/>
      <c r="E186" s="812" t="str">
        <f>IF(C186="","",VLOOKUP(C186,CE!$B$55:$D$101,3,FALSE))</f>
        <v/>
      </c>
      <c r="F186" s="707"/>
      <c r="G186" s="708"/>
      <c r="H186" s="709"/>
      <c r="I186" s="709"/>
      <c r="J186" s="813" t="str">
        <f>IFERROR(IF($D$49='Fatores de Emissão'!$J$65,VLOOKUP('Combustão Estacionária'!C186,'Fatores de Emissão'!$B$66:$M$75,9,FALSE),IF($D$49='Fatores de Emissão'!$K$65,VLOOKUP('Combustão Estacionária'!C186,'Fatores de Emissão'!$B$66:$M$75,10,FALSE),IF($D$49='Fatores de Emissão'!$L$65,VLOOKUP('Combustão Estacionária'!C186,'Fatores de Emissão'!$B$66:$M$75,11,FALSE),IF($D$49='Fatores de Emissão'!$M$65,VLOOKUP('Combustão Estacionária'!C186,'Fatores de Emissão'!$B$66:$M$75,12,FALSE),"")))),"")</f>
        <v/>
      </c>
      <c r="K186" s="813" t="str">
        <f>IFERROR(VLOOKUP('Combustão Estacionária'!C186,'Fatores de Emissão'!$B$66:$M$75,8,FALSE), "")</f>
        <v/>
      </c>
      <c r="L186" s="814" t="str">
        <f t="shared" si="7"/>
        <v/>
      </c>
      <c r="M186" s="814" t="str">
        <f t="shared" si="8"/>
        <v/>
      </c>
      <c r="N186" s="685" t="str">
        <f t="shared" si="9"/>
        <v/>
      </c>
      <c r="O186" s="1080" t="str">
        <f t="shared" si="10"/>
        <v/>
      </c>
      <c r="P186" s="168"/>
      <c r="Q186" s="1183"/>
      <c r="R186" s="1183"/>
      <c r="S186" s="1183"/>
      <c r="T186" s="1183"/>
      <c r="U186" s="1183"/>
      <c r="V186" s="1183"/>
      <c r="W186" s="168"/>
    </row>
    <row r="187" spans="1:23" ht="42" customHeight="1" outlineLevel="1" x14ac:dyDescent="0.25">
      <c r="A187" s="811"/>
      <c r="B187" s="705"/>
      <c r="C187" s="706"/>
      <c r="D187" s="707"/>
      <c r="E187" s="812" t="str">
        <f>IF(C187="","",VLOOKUP(C187,CE!$B$55:$D$101,3,FALSE))</f>
        <v/>
      </c>
      <c r="F187" s="707"/>
      <c r="G187" s="708"/>
      <c r="H187" s="709"/>
      <c r="I187" s="709"/>
      <c r="J187" s="813" t="str">
        <f>IFERROR(IF($D$49='Fatores de Emissão'!$J$65,VLOOKUP('Combustão Estacionária'!C187,'Fatores de Emissão'!$B$66:$M$75,9,FALSE),IF($D$49='Fatores de Emissão'!$K$65,VLOOKUP('Combustão Estacionária'!C187,'Fatores de Emissão'!$B$66:$M$75,10,FALSE),IF($D$49='Fatores de Emissão'!$L$65,VLOOKUP('Combustão Estacionária'!C187,'Fatores de Emissão'!$B$66:$M$75,11,FALSE),IF($D$49='Fatores de Emissão'!$M$65,VLOOKUP('Combustão Estacionária'!C187,'Fatores de Emissão'!$B$66:$M$75,12,FALSE),"")))),"")</f>
        <v/>
      </c>
      <c r="K187" s="813" t="str">
        <f>IFERROR(VLOOKUP('Combustão Estacionária'!C187,'Fatores de Emissão'!$B$66:$M$75,8,FALSE), "")</f>
        <v/>
      </c>
      <c r="L187" s="814" t="str">
        <f t="shared" si="7"/>
        <v/>
      </c>
      <c r="M187" s="814" t="str">
        <f t="shared" si="8"/>
        <v/>
      </c>
      <c r="N187" s="685" t="str">
        <f t="shared" si="9"/>
        <v/>
      </c>
      <c r="O187" s="1080" t="str">
        <f t="shared" si="10"/>
        <v/>
      </c>
      <c r="P187" s="168"/>
      <c r="Q187" s="1183"/>
      <c r="R187" s="1183"/>
      <c r="S187" s="1183"/>
      <c r="T187" s="1183"/>
      <c r="U187" s="1183"/>
      <c r="V187" s="1183"/>
      <c r="W187" s="168"/>
    </row>
    <row r="188" spans="1:23" ht="42" customHeight="1" outlineLevel="1" x14ac:dyDescent="0.25">
      <c r="A188" s="811"/>
      <c r="B188" s="705"/>
      <c r="C188" s="706"/>
      <c r="D188" s="707"/>
      <c r="E188" s="812" t="str">
        <f>IF(C188="","",VLOOKUP(C188,CE!$B$55:$D$101,3,FALSE))</f>
        <v/>
      </c>
      <c r="F188" s="707"/>
      <c r="G188" s="708"/>
      <c r="H188" s="709"/>
      <c r="I188" s="709"/>
      <c r="J188" s="813" t="str">
        <f>IFERROR(IF($D$49='Fatores de Emissão'!$J$65,VLOOKUP('Combustão Estacionária'!C188,'Fatores de Emissão'!$B$66:$M$75,9,FALSE),IF($D$49='Fatores de Emissão'!$K$65,VLOOKUP('Combustão Estacionária'!C188,'Fatores de Emissão'!$B$66:$M$75,10,FALSE),IF($D$49='Fatores de Emissão'!$L$65,VLOOKUP('Combustão Estacionária'!C188,'Fatores de Emissão'!$B$66:$M$75,11,FALSE),IF($D$49='Fatores de Emissão'!$M$65,VLOOKUP('Combustão Estacionária'!C188,'Fatores de Emissão'!$B$66:$M$75,12,FALSE),"")))),"")</f>
        <v/>
      </c>
      <c r="K188" s="813" t="str">
        <f>IFERROR(VLOOKUP('Combustão Estacionária'!C188,'Fatores de Emissão'!$B$66:$M$75,8,FALSE), "")</f>
        <v/>
      </c>
      <c r="L188" s="814" t="str">
        <f t="shared" si="7"/>
        <v/>
      </c>
      <c r="M188" s="814" t="str">
        <f t="shared" si="8"/>
        <v/>
      </c>
      <c r="N188" s="685" t="str">
        <f t="shared" si="9"/>
        <v/>
      </c>
      <c r="O188" s="1080" t="str">
        <f t="shared" si="10"/>
        <v/>
      </c>
      <c r="P188" s="168"/>
      <c r="Q188" s="1183"/>
      <c r="R188" s="1183"/>
      <c r="S188" s="1183"/>
      <c r="T188" s="1183"/>
      <c r="U188" s="1183"/>
      <c r="V188" s="1183"/>
      <c r="W188" s="168"/>
    </row>
    <row r="189" spans="1:23" ht="42" customHeight="1" outlineLevel="1" x14ac:dyDescent="0.25">
      <c r="A189" s="825"/>
      <c r="B189" s="705"/>
      <c r="C189" s="706"/>
      <c r="D189" s="707"/>
      <c r="E189" s="812" t="str">
        <f>IF(C189="","",VLOOKUP(C189,CE!$B$55:$D$101,3,FALSE))</f>
        <v/>
      </c>
      <c r="F189" s="707"/>
      <c r="G189" s="710"/>
      <c r="H189" s="709"/>
      <c r="I189" s="709"/>
      <c r="J189" s="813" t="str">
        <f>IFERROR(IF($D$49='Fatores de Emissão'!$J$65,VLOOKUP('Combustão Estacionária'!C189,'Fatores de Emissão'!$B$66:$M$75,9,FALSE),IF($D$49='Fatores de Emissão'!$K$65,VLOOKUP('Combustão Estacionária'!C189,'Fatores de Emissão'!$B$66:$M$75,10,FALSE),IF($D$49='Fatores de Emissão'!$L$65,VLOOKUP('Combustão Estacionária'!C189,'Fatores de Emissão'!$B$66:$M$75,11,FALSE),IF($D$49='Fatores de Emissão'!$M$65,VLOOKUP('Combustão Estacionária'!C189,'Fatores de Emissão'!$B$66:$M$75,12,FALSE),"")))),"")</f>
        <v/>
      </c>
      <c r="K189" s="813" t="str">
        <f>IFERROR(VLOOKUP('Combustão Estacionária'!C189,'Fatores de Emissão'!$B$66:$M$75,8,FALSE), "")</f>
        <v/>
      </c>
      <c r="L189" s="814" t="str">
        <f t="shared" si="7"/>
        <v/>
      </c>
      <c r="M189" s="814" t="str">
        <f t="shared" si="8"/>
        <v/>
      </c>
      <c r="N189" s="685" t="str">
        <f t="shared" si="9"/>
        <v/>
      </c>
      <c r="O189" s="1080" t="str">
        <f t="shared" si="10"/>
        <v/>
      </c>
      <c r="P189" s="168"/>
      <c r="Q189" s="1183"/>
      <c r="R189" s="1183"/>
      <c r="S189" s="1183"/>
      <c r="T189" s="1183"/>
      <c r="U189" s="1183"/>
      <c r="V189" s="1183"/>
      <c r="W189" s="168"/>
    </row>
    <row r="190" spans="1:23" ht="42" customHeight="1" outlineLevel="1" x14ac:dyDescent="0.25">
      <c r="A190" s="811"/>
      <c r="B190" s="705"/>
      <c r="C190" s="706"/>
      <c r="D190" s="707"/>
      <c r="E190" s="812" t="str">
        <f>IF(C190="","",VLOOKUP(C190,CE!$B$55:$D$101,3,FALSE))</f>
        <v/>
      </c>
      <c r="F190" s="707"/>
      <c r="G190" s="708"/>
      <c r="H190" s="709"/>
      <c r="I190" s="709"/>
      <c r="J190" s="813" t="str">
        <f>IFERROR(IF($D$49='Fatores de Emissão'!$J$65,VLOOKUP('Combustão Estacionária'!C190,'Fatores de Emissão'!$B$66:$M$75,9,FALSE),IF($D$49='Fatores de Emissão'!$K$65,VLOOKUP('Combustão Estacionária'!C190,'Fatores de Emissão'!$B$66:$M$75,10,FALSE),IF($D$49='Fatores de Emissão'!$L$65,VLOOKUP('Combustão Estacionária'!C190,'Fatores de Emissão'!$B$66:$M$75,11,FALSE),IF($D$49='Fatores de Emissão'!$M$65,VLOOKUP('Combustão Estacionária'!C190,'Fatores de Emissão'!$B$66:$M$75,12,FALSE),"")))),"")</f>
        <v/>
      </c>
      <c r="K190" s="813" t="str">
        <f>IFERROR(VLOOKUP('Combustão Estacionária'!C190,'Fatores de Emissão'!$B$66:$M$75,8,FALSE), "")</f>
        <v/>
      </c>
      <c r="L190" s="814" t="str">
        <f t="shared" si="7"/>
        <v/>
      </c>
      <c r="M190" s="814" t="str">
        <f t="shared" si="8"/>
        <v/>
      </c>
      <c r="N190" s="685" t="str">
        <f t="shared" si="9"/>
        <v/>
      </c>
      <c r="O190" s="1080" t="str">
        <f t="shared" si="10"/>
        <v/>
      </c>
      <c r="P190" s="168"/>
      <c r="Q190" s="168"/>
      <c r="R190" s="168"/>
      <c r="S190" s="1159"/>
      <c r="T190" s="168"/>
      <c r="U190" s="168"/>
      <c r="V190" s="168"/>
      <c r="W190" s="168"/>
    </row>
    <row r="191" spans="1:23" ht="42" customHeight="1" outlineLevel="1" x14ac:dyDescent="0.25">
      <c r="A191" s="811"/>
      <c r="B191" s="705"/>
      <c r="C191" s="706"/>
      <c r="D191" s="707"/>
      <c r="E191" s="812" t="str">
        <f>IF(C191="","",VLOOKUP(C191,CE!$B$55:$D$101,3,FALSE))</f>
        <v/>
      </c>
      <c r="F191" s="707"/>
      <c r="G191" s="708"/>
      <c r="H191" s="709"/>
      <c r="I191" s="709"/>
      <c r="J191" s="813" t="str">
        <f>IFERROR(IF($D$49='Fatores de Emissão'!$J$65,VLOOKUP('Combustão Estacionária'!C191,'Fatores de Emissão'!$B$66:$M$75,9,FALSE),IF($D$49='Fatores de Emissão'!$K$65,VLOOKUP('Combustão Estacionária'!C191,'Fatores de Emissão'!$B$66:$M$75,10,FALSE),IF($D$49='Fatores de Emissão'!$L$65,VLOOKUP('Combustão Estacionária'!C191,'Fatores de Emissão'!$B$66:$M$75,11,FALSE),IF($D$49='Fatores de Emissão'!$M$65,VLOOKUP('Combustão Estacionária'!C191,'Fatores de Emissão'!$B$66:$M$75,12,FALSE),"")))),"")</f>
        <v/>
      </c>
      <c r="K191" s="813" t="str">
        <f>IFERROR(VLOOKUP('Combustão Estacionária'!C191,'Fatores de Emissão'!$B$66:$M$75,8,FALSE), "")</f>
        <v/>
      </c>
      <c r="L191" s="814" t="str">
        <f t="shared" si="7"/>
        <v/>
      </c>
      <c r="M191" s="814" t="str">
        <f t="shared" si="8"/>
        <v/>
      </c>
      <c r="N191" s="685" t="str">
        <f t="shared" si="9"/>
        <v/>
      </c>
      <c r="O191" s="1080" t="str">
        <f t="shared" si="10"/>
        <v/>
      </c>
      <c r="P191" s="1159"/>
      <c r="Q191" s="168"/>
      <c r="R191" s="168"/>
      <c r="S191" s="168"/>
      <c r="T191" s="168"/>
      <c r="U191" s="168"/>
      <c r="V191" s="168"/>
      <c r="W191" s="168"/>
    </row>
    <row r="192" spans="1:23" ht="42" customHeight="1" outlineLevel="1" x14ac:dyDescent="0.25">
      <c r="A192" s="811"/>
      <c r="B192" s="705"/>
      <c r="C192" s="706"/>
      <c r="D192" s="707"/>
      <c r="E192" s="812" t="str">
        <f>IF(C192="","",VLOOKUP(C192,CE!$B$55:$D$101,3,FALSE))</f>
        <v/>
      </c>
      <c r="F192" s="707"/>
      <c r="G192" s="708"/>
      <c r="H192" s="709"/>
      <c r="I192" s="709"/>
      <c r="J192" s="813" t="str">
        <f>IFERROR(IF($D$49='Fatores de Emissão'!$J$65,VLOOKUP('Combustão Estacionária'!C192,'Fatores de Emissão'!$B$66:$M$75,9,FALSE),IF($D$49='Fatores de Emissão'!$K$65,VLOOKUP('Combustão Estacionária'!C192,'Fatores de Emissão'!$B$66:$M$75,10,FALSE),IF($D$49='Fatores de Emissão'!$L$65,VLOOKUP('Combustão Estacionária'!C192,'Fatores de Emissão'!$B$66:$M$75,11,FALSE),IF($D$49='Fatores de Emissão'!$M$65,VLOOKUP('Combustão Estacionária'!C192,'Fatores de Emissão'!$B$66:$M$75,12,FALSE),"")))),"")</f>
        <v/>
      </c>
      <c r="K192" s="813" t="str">
        <f>IFERROR(VLOOKUP('Combustão Estacionária'!C192,'Fatores de Emissão'!$B$66:$M$75,8,FALSE), "")</f>
        <v/>
      </c>
      <c r="L192" s="814" t="str">
        <f t="shared" si="7"/>
        <v/>
      </c>
      <c r="M192" s="814" t="str">
        <f t="shared" si="8"/>
        <v/>
      </c>
      <c r="N192" s="685" t="str">
        <f t="shared" si="9"/>
        <v/>
      </c>
      <c r="O192" s="1080" t="str">
        <f t="shared" si="10"/>
        <v/>
      </c>
      <c r="P192" s="782"/>
    </row>
    <row r="193" spans="1:16" ht="42" customHeight="1" outlineLevel="1" x14ac:dyDescent="0.25">
      <c r="A193" s="811"/>
      <c r="B193" s="705"/>
      <c r="C193" s="706"/>
      <c r="D193" s="707"/>
      <c r="E193" s="812" t="str">
        <f>IF(C193="","",VLOOKUP(C193,CE!$B$55:$D$101,3,FALSE))</f>
        <v/>
      </c>
      <c r="F193" s="707"/>
      <c r="G193" s="708"/>
      <c r="H193" s="709"/>
      <c r="I193" s="709"/>
      <c r="J193" s="813" t="str">
        <f>IFERROR(IF($D$49='Fatores de Emissão'!$J$65,VLOOKUP('Combustão Estacionária'!C193,'Fatores de Emissão'!$B$66:$M$75,9,FALSE),IF($D$49='Fatores de Emissão'!$K$65,VLOOKUP('Combustão Estacionária'!C193,'Fatores de Emissão'!$B$66:$M$75,10,FALSE),IF($D$49='Fatores de Emissão'!$L$65,VLOOKUP('Combustão Estacionária'!C193,'Fatores de Emissão'!$B$66:$M$75,11,FALSE),IF($D$49='Fatores de Emissão'!$M$65,VLOOKUP('Combustão Estacionária'!C193,'Fatores de Emissão'!$B$66:$M$75,12,FALSE),"")))),"")</f>
        <v/>
      </c>
      <c r="K193" s="813" t="str">
        <f>IFERROR(VLOOKUP('Combustão Estacionária'!C193,'Fatores de Emissão'!$B$66:$M$75,8,FALSE), "")</f>
        <v/>
      </c>
      <c r="L193" s="814" t="str">
        <f t="shared" si="7"/>
        <v/>
      </c>
      <c r="M193" s="814" t="str">
        <f t="shared" si="8"/>
        <v/>
      </c>
      <c r="N193" s="685" t="str">
        <f t="shared" si="9"/>
        <v/>
      </c>
      <c r="O193" s="1080" t="str">
        <f t="shared" si="10"/>
        <v/>
      </c>
      <c r="P193" s="782"/>
    </row>
    <row r="194" spans="1:16" ht="42" customHeight="1" outlineLevel="1" x14ac:dyDescent="0.25">
      <c r="A194" s="811"/>
      <c r="B194" s="705"/>
      <c r="C194" s="706"/>
      <c r="D194" s="707"/>
      <c r="E194" s="812" t="str">
        <f>IF(C194="","",VLOOKUP(C194,CE!$B$55:$D$101,3,FALSE))</f>
        <v/>
      </c>
      <c r="F194" s="707"/>
      <c r="G194" s="708"/>
      <c r="H194" s="709"/>
      <c r="I194" s="709"/>
      <c r="J194" s="813" t="str">
        <f>IFERROR(IF($D$49='Fatores de Emissão'!$J$65,VLOOKUP('Combustão Estacionária'!C194,'Fatores de Emissão'!$B$66:$M$75,9,FALSE),IF($D$49='Fatores de Emissão'!$K$65,VLOOKUP('Combustão Estacionária'!C194,'Fatores de Emissão'!$B$66:$M$75,10,FALSE),IF($D$49='Fatores de Emissão'!$L$65,VLOOKUP('Combustão Estacionária'!C194,'Fatores de Emissão'!$B$66:$M$75,11,FALSE),IF($D$49='Fatores de Emissão'!$M$65,VLOOKUP('Combustão Estacionária'!C194,'Fatores de Emissão'!$B$66:$M$75,12,FALSE),"")))),"")</f>
        <v/>
      </c>
      <c r="K194" s="813" t="str">
        <f>IFERROR(VLOOKUP('Combustão Estacionária'!C194,'Fatores de Emissão'!$B$66:$M$75,8,FALSE), "")</f>
        <v/>
      </c>
      <c r="L194" s="814" t="str">
        <f t="shared" si="7"/>
        <v/>
      </c>
      <c r="M194" s="814" t="str">
        <f t="shared" si="8"/>
        <v/>
      </c>
      <c r="N194" s="685" t="str">
        <f t="shared" si="9"/>
        <v/>
      </c>
      <c r="O194" s="1080" t="str">
        <f t="shared" si="10"/>
        <v/>
      </c>
      <c r="P194" s="782"/>
    </row>
    <row r="195" spans="1:16" ht="42" hidden="1" customHeight="1" outlineLevel="2" x14ac:dyDescent="0.25">
      <c r="A195" s="811"/>
      <c r="B195" s="705"/>
      <c r="C195" s="706"/>
      <c r="D195" s="707"/>
      <c r="E195" s="812" t="str">
        <f>IF(C195="","",VLOOKUP(C195,CE!$B$55:$D$101,3,FALSE))</f>
        <v/>
      </c>
      <c r="F195" s="707"/>
      <c r="G195" s="708"/>
      <c r="H195" s="709"/>
      <c r="I195" s="709"/>
      <c r="J195" s="813" t="str">
        <f>IFERROR(IF($D$49='Fatores de Emissão'!$J$65,VLOOKUP('Combustão Estacionária'!C195,'Fatores de Emissão'!$B$66:$M$75,9,FALSE),IF($D$49='Fatores de Emissão'!$K$65,VLOOKUP('Combustão Estacionária'!C195,'Fatores de Emissão'!$B$66:$M$75,10,FALSE),IF($D$49='Fatores de Emissão'!$L$65,VLOOKUP('Combustão Estacionária'!C195,'Fatores de Emissão'!$B$66:$M$75,11,FALSE),IF($D$49='Fatores de Emissão'!$M$65,VLOOKUP('Combustão Estacionária'!C195,'Fatores de Emissão'!$B$66:$M$75,12,FALSE),"")))),"")</f>
        <v/>
      </c>
      <c r="K195" s="813" t="str">
        <f>IFERROR(VLOOKUP('Combustão Estacionária'!C195,'Fatores de Emissão'!$B$66:$M$75,8,FALSE), "")</f>
        <v/>
      </c>
      <c r="L195" s="814" t="str">
        <f t="shared" si="7"/>
        <v/>
      </c>
      <c r="M195" s="814" t="str">
        <f t="shared" si="8"/>
        <v/>
      </c>
      <c r="N195" s="685" t="str">
        <f t="shared" si="9"/>
        <v/>
      </c>
      <c r="O195" s="1080" t="str">
        <f t="shared" si="10"/>
        <v/>
      </c>
      <c r="P195" s="782"/>
    </row>
    <row r="196" spans="1:16" ht="42" hidden="1" customHeight="1" outlineLevel="2" x14ac:dyDescent="0.25">
      <c r="A196" s="811"/>
      <c r="B196" s="705"/>
      <c r="C196" s="706"/>
      <c r="D196" s="707"/>
      <c r="E196" s="812" t="str">
        <f>IF(C196="","",VLOOKUP(C196,CE!$B$55:$D$101,3,FALSE))</f>
        <v/>
      </c>
      <c r="F196" s="707"/>
      <c r="G196" s="708"/>
      <c r="H196" s="709"/>
      <c r="I196" s="709"/>
      <c r="J196" s="813" t="str">
        <f>IFERROR(IF($D$49='Fatores de Emissão'!$J$65,VLOOKUP('Combustão Estacionária'!C196,'Fatores de Emissão'!$B$66:$M$75,9,FALSE),IF($D$49='Fatores de Emissão'!$K$65,VLOOKUP('Combustão Estacionária'!C196,'Fatores de Emissão'!$B$66:$M$75,10,FALSE),IF($D$49='Fatores de Emissão'!$L$65,VLOOKUP('Combustão Estacionária'!C196,'Fatores de Emissão'!$B$66:$M$75,11,FALSE),IF($D$49='Fatores de Emissão'!$M$65,VLOOKUP('Combustão Estacionária'!C196,'Fatores de Emissão'!$B$66:$M$75,12,FALSE),"")))),"")</f>
        <v/>
      </c>
      <c r="K196" s="813" t="str">
        <f>IFERROR(VLOOKUP('Combustão Estacionária'!C196,'Fatores de Emissão'!$B$66:$M$75,8,FALSE), "")</f>
        <v/>
      </c>
      <c r="L196" s="814" t="str">
        <f t="shared" si="7"/>
        <v/>
      </c>
      <c r="M196" s="814" t="str">
        <f t="shared" si="8"/>
        <v/>
      </c>
      <c r="N196" s="685" t="str">
        <f t="shared" si="9"/>
        <v/>
      </c>
      <c r="O196" s="1080" t="str">
        <f t="shared" si="10"/>
        <v/>
      </c>
      <c r="P196" s="782"/>
    </row>
    <row r="197" spans="1:16" ht="42" hidden="1" customHeight="1" outlineLevel="2" x14ac:dyDescent="0.25">
      <c r="A197" s="811"/>
      <c r="B197" s="705"/>
      <c r="C197" s="706"/>
      <c r="D197" s="707"/>
      <c r="E197" s="812" t="str">
        <f>IF(C197="","",VLOOKUP(C197,CE!$B$55:$D$101,3,FALSE))</f>
        <v/>
      </c>
      <c r="F197" s="707"/>
      <c r="G197" s="708"/>
      <c r="H197" s="709"/>
      <c r="I197" s="709"/>
      <c r="J197" s="813" t="str">
        <f>IFERROR(IF($D$49='Fatores de Emissão'!$J$65,VLOOKUP('Combustão Estacionária'!C197,'Fatores de Emissão'!$B$66:$M$75,9,FALSE),IF($D$49='Fatores de Emissão'!$K$65,VLOOKUP('Combustão Estacionária'!C197,'Fatores de Emissão'!$B$66:$M$75,10,FALSE),IF($D$49='Fatores de Emissão'!$L$65,VLOOKUP('Combustão Estacionária'!C197,'Fatores de Emissão'!$B$66:$M$75,11,FALSE),IF($D$49='Fatores de Emissão'!$M$65,VLOOKUP('Combustão Estacionária'!C197,'Fatores de Emissão'!$B$66:$M$75,12,FALSE),"")))),"")</f>
        <v/>
      </c>
      <c r="K197" s="813" t="str">
        <f>IFERROR(VLOOKUP('Combustão Estacionária'!C197,'Fatores de Emissão'!$B$66:$M$75,8,FALSE), "")</f>
        <v/>
      </c>
      <c r="L197" s="814" t="str">
        <f t="shared" si="7"/>
        <v/>
      </c>
      <c r="M197" s="814" t="str">
        <f t="shared" si="8"/>
        <v/>
      </c>
      <c r="N197" s="685" t="str">
        <f t="shared" si="9"/>
        <v/>
      </c>
      <c r="O197" s="1080" t="str">
        <f t="shared" si="10"/>
        <v/>
      </c>
      <c r="P197" s="782"/>
    </row>
    <row r="198" spans="1:16" ht="42" hidden="1" customHeight="1" outlineLevel="2" x14ac:dyDescent="0.25">
      <c r="A198" s="811"/>
      <c r="B198" s="705"/>
      <c r="C198" s="706"/>
      <c r="D198" s="707"/>
      <c r="E198" s="812" t="str">
        <f>IF(C198="","",VLOOKUP(C198,CE!$B$55:$D$101,3,FALSE))</f>
        <v/>
      </c>
      <c r="F198" s="707"/>
      <c r="G198" s="708"/>
      <c r="H198" s="709"/>
      <c r="I198" s="709"/>
      <c r="J198" s="813" t="str">
        <f>IFERROR(IF($D$49='Fatores de Emissão'!$J$65,VLOOKUP('Combustão Estacionária'!C198,'Fatores de Emissão'!$B$66:$M$75,9,FALSE),IF($D$49='Fatores de Emissão'!$K$65,VLOOKUP('Combustão Estacionária'!C198,'Fatores de Emissão'!$B$66:$M$75,10,FALSE),IF($D$49='Fatores de Emissão'!$L$65,VLOOKUP('Combustão Estacionária'!C198,'Fatores de Emissão'!$B$66:$M$75,11,FALSE),IF($D$49='Fatores de Emissão'!$M$65,VLOOKUP('Combustão Estacionária'!C198,'Fatores de Emissão'!$B$66:$M$75,12,FALSE),"")))),"")</f>
        <v/>
      </c>
      <c r="K198" s="813" t="str">
        <f>IFERROR(VLOOKUP('Combustão Estacionária'!C198,'Fatores de Emissão'!$B$66:$M$75,8,FALSE), "")</f>
        <v/>
      </c>
      <c r="L198" s="814" t="str">
        <f t="shared" si="7"/>
        <v/>
      </c>
      <c r="M198" s="814" t="str">
        <f t="shared" si="8"/>
        <v/>
      </c>
      <c r="N198" s="685" t="str">
        <f t="shared" si="9"/>
        <v/>
      </c>
      <c r="O198" s="1080" t="str">
        <f t="shared" si="10"/>
        <v/>
      </c>
      <c r="P198" s="782"/>
    </row>
    <row r="199" spans="1:16" ht="42" hidden="1" customHeight="1" outlineLevel="2" x14ac:dyDescent="0.25">
      <c r="A199" s="811"/>
      <c r="B199" s="705"/>
      <c r="C199" s="706"/>
      <c r="D199" s="707"/>
      <c r="E199" s="812" t="str">
        <f>IF(C199="","",VLOOKUP(C199,CE!$B$55:$D$101,3,FALSE))</f>
        <v/>
      </c>
      <c r="F199" s="707"/>
      <c r="G199" s="708"/>
      <c r="H199" s="709"/>
      <c r="I199" s="709"/>
      <c r="J199" s="813" t="str">
        <f>IFERROR(IF($D$49='Fatores de Emissão'!$J$65,VLOOKUP('Combustão Estacionária'!C199,'Fatores de Emissão'!$B$66:$M$75,9,FALSE),IF($D$49='Fatores de Emissão'!$K$65,VLOOKUP('Combustão Estacionária'!C199,'Fatores de Emissão'!$B$66:$M$75,10,FALSE),IF($D$49='Fatores de Emissão'!$L$65,VLOOKUP('Combustão Estacionária'!C199,'Fatores de Emissão'!$B$66:$M$75,11,FALSE),IF($D$49='Fatores de Emissão'!$M$65,VLOOKUP('Combustão Estacionária'!C199,'Fatores de Emissão'!$B$66:$M$75,12,FALSE),"")))),"")</f>
        <v/>
      </c>
      <c r="K199" s="813" t="str">
        <f>IFERROR(VLOOKUP('Combustão Estacionária'!C199,'Fatores de Emissão'!$B$66:$M$75,8,FALSE), "")</f>
        <v/>
      </c>
      <c r="L199" s="814" t="str">
        <f t="shared" si="7"/>
        <v/>
      </c>
      <c r="M199" s="814" t="str">
        <f t="shared" si="8"/>
        <v/>
      </c>
      <c r="N199" s="685" t="str">
        <f t="shared" si="9"/>
        <v/>
      </c>
      <c r="O199" s="1080" t="str">
        <f t="shared" si="10"/>
        <v/>
      </c>
      <c r="P199" s="782"/>
    </row>
    <row r="200" spans="1:16" ht="42" hidden="1" customHeight="1" outlineLevel="2" x14ac:dyDescent="0.25">
      <c r="A200" s="811"/>
      <c r="B200" s="705"/>
      <c r="C200" s="706"/>
      <c r="D200" s="707"/>
      <c r="E200" s="812" t="str">
        <f>IF(C200="","",VLOOKUP(C200,CE!$B$55:$D$101,3,FALSE))</f>
        <v/>
      </c>
      <c r="F200" s="707"/>
      <c r="G200" s="708"/>
      <c r="H200" s="709"/>
      <c r="I200" s="709"/>
      <c r="J200" s="813" t="str">
        <f>IFERROR(IF($D$49='Fatores de Emissão'!$J$65,VLOOKUP('Combustão Estacionária'!C200,'Fatores de Emissão'!$B$66:$M$75,9,FALSE),IF($D$49='Fatores de Emissão'!$K$65,VLOOKUP('Combustão Estacionária'!C200,'Fatores de Emissão'!$B$66:$M$75,10,FALSE),IF($D$49='Fatores de Emissão'!$L$65,VLOOKUP('Combustão Estacionária'!C200,'Fatores de Emissão'!$B$66:$M$75,11,FALSE),IF($D$49='Fatores de Emissão'!$M$65,VLOOKUP('Combustão Estacionária'!C200,'Fatores de Emissão'!$B$66:$M$75,12,FALSE),"")))),"")</f>
        <v/>
      </c>
      <c r="K200" s="813" t="str">
        <f>IFERROR(VLOOKUP('Combustão Estacionária'!C200,'Fatores de Emissão'!$B$66:$M$75,8,FALSE), "")</f>
        <v/>
      </c>
      <c r="L200" s="814" t="str">
        <f t="shared" si="7"/>
        <v/>
      </c>
      <c r="M200" s="814" t="str">
        <f t="shared" si="8"/>
        <v/>
      </c>
      <c r="N200" s="685" t="str">
        <f t="shared" si="9"/>
        <v/>
      </c>
      <c r="O200" s="1080" t="str">
        <f t="shared" si="10"/>
        <v/>
      </c>
      <c r="P200" s="782"/>
    </row>
    <row r="201" spans="1:16" ht="42" hidden="1" customHeight="1" outlineLevel="2" x14ac:dyDescent="0.25">
      <c r="A201" s="811"/>
      <c r="B201" s="705"/>
      <c r="C201" s="706"/>
      <c r="D201" s="707"/>
      <c r="E201" s="812" t="str">
        <f>IF(C201="","",VLOOKUP(C201,CE!$B$55:$D$101,3,FALSE))</f>
        <v/>
      </c>
      <c r="F201" s="707"/>
      <c r="G201" s="708"/>
      <c r="H201" s="709"/>
      <c r="I201" s="709"/>
      <c r="J201" s="813" t="str">
        <f>IFERROR(IF($D$49='Fatores de Emissão'!$J$65,VLOOKUP('Combustão Estacionária'!C201,'Fatores de Emissão'!$B$66:$M$75,9,FALSE),IF($D$49='Fatores de Emissão'!$K$65,VLOOKUP('Combustão Estacionária'!C201,'Fatores de Emissão'!$B$66:$M$75,10,FALSE),IF($D$49='Fatores de Emissão'!$L$65,VLOOKUP('Combustão Estacionária'!C201,'Fatores de Emissão'!$B$66:$M$75,11,FALSE),IF($D$49='Fatores de Emissão'!$M$65,VLOOKUP('Combustão Estacionária'!C201,'Fatores de Emissão'!$B$66:$M$75,12,FALSE),"")))),"")</f>
        <v/>
      </c>
      <c r="K201" s="813" t="str">
        <f>IFERROR(VLOOKUP('Combustão Estacionária'!C201,'Fatores de Emissão'!$B$66:$M$75,8,FALSE), "")</f>
        <v/>
      </c>
      <c r="L201" s="814" t="str">
        <f t="shared" si="7"/>
        <v/>
      </c>
      <c r="M201" s="814" t="str">
        <f t="shared" si="8"/>
        <v/>
      </c>
      <c r="N201" s="685" t="str">
        <f t="shared" si="9"/>
        <v/>
      </c>
      <c r="O201" s="1080" t="str">
        <f t="shared" si="10"/>
        <v/>
      </c>
      <c r="P201" s="782"/>
    </row>
    <row r="202" spans="1:16" ht="42" hidden="1" customHeight="1" outlineLevel="2" x14ac:dyDescent="0.25">
      <c r="A202" s="811"/>
      <c r="B202" s="705"/>
      <c r="C202" s="706"/>
      <c r="D202" s="707"/>
      <c r="E202" s="812" t="str">
        <f>IF(C202="","",VLOOKUP(C202,CE!$B$55:$D$101,3,FALSE))</f>
        <v/>
      </c>
      <c r="F202" s="707"/>
      <c r="G202" s="708"/>
      <c r="H202" s="709"/>
      <c r="I202" s="709"/>
      <c r="J202" s="813" t="str">
        <f>IFERROR(IF($D$49='Fatores de Emissão'!$J$65,VLOOKUP('Combustão Estacionária'!C202,'Fatores de Emissão'!$B$66:$M$75,9,FALSE),IF($D$49='Fatores de Emissão'!$K$65,VLOOKUP('Combustão Estacionária'!C202,'Fatores de Emissão'!$B$66:$M$75,10,FALSE),IF($D$49='Fatores de Emissão'!$L$65,VLOOKUP('Combustão Estacionária'!C202,'Fatores de Emissão'!$B$66:$M$75,11,FALSE),IF($D$49='Fatores de Emissão'!$M$65,VLOOKUP('Combustão Estacionária'!C202,'Fatores de Emissão'!$B$66:$M$75,12,FALSE),"")))),"")</f>
        <v/>
      </c>
      <c r="K202" s="813" t="str">
        <f>IFERROR(VLOOKUP('Combustão Estacionária'!C202,'Fatores de Emissão'!$B$66:$M$75,8,FALSE), "")</f>
        <v/>
      </c>
      <c r="L202" s="814" t="str">
        <f t="shared" si="7"/>
        <v/>
      </c>
      <c r="M202" s="814" t="str">
        <f t="shared" si="8"/>
        <v/>
      </c>
      <c r="N202" s="685" t="str">
        <f t="shared" si="9"/>
        <v/>
      </c>
      <c r="O202" s="1080" t="str">
        <f t="shared" si="10"/>
        <v/>
      </c>
      <c r="P202" s="782"/>
    </row>
    <row r="203" spans="1:16" ht="42" hidden="1" customHeight="1" outlineLevel="2" x14ac:dyDescent="0.25">
      <c r="A203" s="811"/>
      <c r="B203" s="705"/>
      <c r="C203" s="706"/>
      <c r="D203" s="707"/>
      <c r="E203" s="812" t="str">
        <f>IF(C203="","",VLOOKUP(C203,CE!$B$55:$D$101,3,FALSE))</f>
        <v/>
      </c>
      <c r="F203" s="707"/>
      <c r="G203" s="708"/>
      <c r="H203" s="709"/>
      <c r="I203" s="709"/>
      <c r="J203" s="813" t="str">
        <f>IFERROR(IF($D$49='Fatores de Emissão'!$J$65,VLOOKUP('Combustão Estacionária'!C203,'Fatores de Emissão'!$B$66:$M$75,9,FALSE),IF($D$49='Fatores de Emissão'!$K$65,VLOOKUP('Combustão Estacionária'!C203,'Fatores de Emissão'!$B$66:$M$75,10,FALSE),IF($D$49='Fatores de Emissão'!$L$65,VLOOKUP('Combustão Estacionária'!C203,'Fatores de Emissão'!$B$66:$M$75,11,FALSE),IF($D$49='Fatores de Emissão'!$M$65,VLOOKUP('Combustão Estacionária'!C203,'Fatores de Emissão'!$B$66:$M$75,12,FALSE),"")))),"")</f>
        <v/>
      </c>
      <c r="K203" s="813" t="str">
        <f>IFERROR(VLOOKUP('Combustão Estacionária'!C203,'Fatores de Emissão'!$B$66:$M$75,8,FALSE), "")</f>
        <v/>
      </c>
      <c r="L203" s="814" t="str">
        <f t="shared" si="7"/>
        <v/>
      </c>
      <c r="M203" s="814" t="str">
        <f t="shared" si="8"/>
        <v/>
      </c>
      <c r="N203" s="685" t="str">
        <f t="shared" si="9"/>
        <v/>
      </c>
      <c r="O203" s="1080" t="str">
        <f t="shared" si="10"/>
        <v/>
      </c>
      <c r="P203" s="782"/>
    </row>
    <row r="204" spans="1:16" ht="42" hidden="1" customHeight="1" outlineLevel="2" x14ac:dyDescent="0.25">
      <c r="A204" s="811"/>
      <c r="B204" s="705"/>
      <c r="C204" s="706"/>
      <c r="D204" s="707"/>
      <c r="E204" s="812" t="str">
        <f>IF(C204="","",VLOOKUP(C204,CE!$B$55:$D$101,3,FALSE))</f>
        <v/>
      </c>
      <c r="F204" s="707"/>
      <c r="G204" s="708"/>
      <c r="H204" s="709"/>
      <c r="I204" s="709"/>
      <c r="J204" s="813" t="str">
        <f>IFERROR(IF($D$49='Fatores de Emissão'!$J$65,VLOOKUP('Combustão Estacionária'!C204,'Fatores de Emissão'!$B$66:$M$75,9,FALSE),IF($D$49='Fatores de Emissão'!$K$65,VLOOKUP('Combustão Estacionária'!C204,'Fatores de Emissão'!$B$66:$M$75,10,FALSE),IF($D$49='Fatores de Emissão'!$L$65,VLOOKUP('Combustão Estacionária'!C204,'Fatores de Emissão'!$B$66:$M$75,11,FALSE),IF($D$49='Fatores de Emissão'!$M$65,VLOOKUP('Combustão Estacionária'!C204,'Fatores de Emissão'!$B$66:$M$75,12,FALSE),"")))),"")</f>
        <v/>
      </c>
      <c r="K204" s="813" t="str">
        <f>IFERROR(VLOOKUP('Combustão Estacionária'!C204,'Fatores de Emissão'!$B$66:$M$75,8,FALSE), "")</f>
        <v/>
      </c>
      <c r="L204" s="814" t="str">
        <f t="shared" si="7"/>
        <v/>
      </c>
      <c r="M204" s="814" t="str">
        <f t="shared" si="8"/>
        <v/>
      </c>
      <c r="N204" s="685" t="str">
        <f t="shared" si="9"/>
        <v/>
      </c>
      <c r="O204" s="1080" t="str">
        <f t="shared" si="10"/>
        <v/>
      </c>
      <c r="P204" s="782"/>
    </row>
    <row r="205" spans="1:16" ht="42" hidden="1" customHeight="1" outlineLevel="2" x14ac:dyDescent="0.25">
      <c r="A205" s="811"/>
      <c r="B205" s="705"/>
      <c r="C205" s="706"/>
      <c r="D205" s="707"/>
      <c r="E205" s="812" t="str">
        <f>IF(C205="","",VLOOKUP(C205,CE!$B$55:$D$101,3,FALSE))</f>
        <v/>
      </c>
      <c r="F205" s="707"/>
      <c r="G205" s="708"/>
      <c r="H205" s="709"/>
      <c r="I205" s="709"/>
      <c r="J205" s="813" t="str">
        <f>IFERROR(IF($D$49='Fatores de Emissão'!$J$65,VLOOKUP('Combustão Estacionária'!C205,'Fatores de Emissão'!$B$66:$M$75,9,FALSE),IF($D$49='Fatores de Emissão'!$K$65,VLOOKUP('Combustão Estacionária'!C205,'Fatores de Emissão'!$B$66:$M$75,10,FALSE),IF($D$49='Fatores de Emissão'!$L$65,VLOOKUP('Combustão Estacionária'!C205,'Fatores de Emissão'!$B$66:$M$75,11,FALSE),IF($D$49='Fatores de Emissão'!$M$65,VLOOKUP('Combustão Estacionária'!C205,'Fatores de Emissão'!$B$66:$M$75,12,FALSE),"")))),"")</f>
        <v/>
      </c>
      <c r="K205" s="813" t="str">
        <f>IFERROR(VLOOKUP('Combustão Estacionária'!C205,'Fatores de Emissão'!$B$66:$M$75,8,FALSE), "")</f>
        <v/>
      </c>
      <c r="L205" s="814" t="str">
        <f t="shared" si="7"/>
        <v/>
      </c>
      <c r="M205" s="814" t="str">
        <f t="shared" si="8"/>
        <v/>
      </c>
      <c r="N205" s="685" t="str">
        <f t="shared" si="9"/>
        <v/>
      </c>
      <c r="O205" s="1080" t="str">
        <f t="shared" si="10"/>
        <v/>
      </c>
      <c r="P205" s="782"/>
    </row>
    <row r="206" spans="1:16" ht="42" hidden="1" customHeight="1" outlineLevel="2" x14ac:dyDescent="0.25">
      <c r="A206" s="811"/>
      <c r="B206" s="705"/>
      <c r="C206" s="706"/>
      <c r="D206" s="707"/>
      <c r="E206" s="812" t="str">
        <f>IF(C206="","",VLOOKUP(C206,CE!$B$55:$D$101,3,FALSE))</f>
        <v/>
      </c>
      <c r="F206" s="707"/>
      <c r="G206" s="708"/>
      <c r="H206" s="709"/>
      <c r="I206" s="709"/>
      <c r="J206" s="813" t="str">
        <f>IFERROR(IF($D$49='Fatores de Emissão'!$J$65,VLOOKUP('Combustão Estacionária'!C206,'Fatores de Emissão'!$B$66:$M$75,9,FALSE),IF($D$49='Fatores de Emissão'!$K$65,VLOOKUP('Combustão Estacionária'!C206,'Fatores de Emissão'!$B$66:$M$75,10,FALSE),IF($D$49='Fatores de Emissão'!$L$65,VLOOKUP('Combustão Estacionária'!C206,'Fatores de Emissão'!$B$66:$M$75,11,FALSE),IF($D$49='Fatores de Emissão'!$M$65,VLOOKUP('Combustão Estacionária'!C206,'Fatores de Emissão'!$B$66:$M$75,12,FALSE),"")))),"")</f>
        <v/>
      </c>
      <c r="K206" s="813" t="str">
        <f>IFERROR(VLOOKUP('Combustão Estacionária'!C206,'Fatores de Emissão'!$B$66:$M$75,8,FALSE), "")</f>
        <v/>
      </c>
      <c r="L206" s="814" t="str">
        <f t="shared" si="7"/>
        <v/>
      </c>
      <c r="M206" s="814" t="str">
        <f t="shared" si="8"/>
        <v/>
      </c>
      <c r="N206" s="685" t="str">
        <f t="shared" si="9"/>
        <v/>
      </c>
      <c r="O206" s="1080" t="str">
        <f t="shared" si="10"/>
        <v/>
      </c>
      <c r="P206" s="782"/>
    </row>
    <row r="207" spans="1:16" ht="42" hidden="1" customHeight="1" outlineLevel="2" x14ac:dyDescent="0.25">
      <c r="A207" s="811"/>
      <c r="B207" s="705"/>
      <c r="C207" s="706"/>
      <c r="D207" s="707"/>
      <c r="E207" s="812" t="str">
        <f>IF(C207="","",VLOOKUP(C207,CE!$B$55:$D$101,3,FALSE))</f>
        <v/>
      </c>
      <c r="F207" s="707"/>
      <c r="G207" s="708"/>
      <c r="H207" s="709"/>
      <c r="I207" s="709"/>
      <c r="J207" s="813" t="str">
        <f>IFERROR(IF($D$49='Fatores de Emissão'!$J$65,VLOOKUP('Combustão Estacionária'!C207,'Fatores de Emissão'!$B$66:$M$75,9,FALSE),IF($D$49='Fatores de Emissão'!$K$65,VLOOKUP('Combustão Estacionária'!C207,'Fatores de Emissão'!$B$66:$M$75,10,FALSE),IF($D$49='Fatores de Emissão'!$L$65,VLOOKUP('Combustão Estacionária'!C207,'Fatores de Emissão'!$B$66:$M$75,11,FALSE),IF($D$49='Fatores de Emissão'!$M$65,VLOOKUP('Combustão Estacionária'!C207,'Fatores de Emissão'!$B$66:$M$75,12,FALSE),"")))),"")</f>
        <v/>
      </c>
      <c r="K207" s="813" t="str">
        <f>IFERROR(VLOOKUP('Combustão Estacionária'!C207,'Fatores de Emissão'!$B$66:$M$75,8,FALSE), "")</f>
        <v/>
      </c>
      <c r="L207" s="814" t="str">
        <f t="shared" si="7"/>
        <v/>
      </c>
      <c r="M207" s="814" t="str">
        <f t="shared" si="8"/>
        <v/>
      </c>
      <c r="N207" s="685" t="str">
        <f t="shared" si="9"/>
        <v/>
      </c>
      <c r="O207" s="1080" t="str">
        <f t="shared" si="10"/>
        <v/>
      </c>
      <c r="P207" s="782"/>
    </row>
    <row r="208" spans="1:16" ht="42" hidden="1" customHeight="1" outlineLevel="2" x14ac:dyDescent="0.25">
      <c r="A208" s="811"/>
      <c r="B208" s="705"/>
      <c r="C208" s="706"/>
      <c r="D208" s="707"/>
      <c r="E208" s="812" t="str">
        <f>IF(C208="","",VLOOKUP(C208,CE!$B$55:$D$101,3,FALSE))</f>
        <v/>
      </c>
      <c r="F208" s="707"/>
      <c r="G208" s="708"/>
      <c r="H208" s="709"/>
      <c r="I208" s="709"/>
      <c r="J208" s="813" t="str">
        <f>IFERROR(IF($D$49='Fatores de Emissão'!$J$65,VLOOKUP('Combustão Estacionária'!C208,'Fatores de Emissão'!$B$66:$M$75,9,FALSE),IF($D$49='Fatores de Emissão'!$K$65,VLOOKUP('Combustão Estacionária'!C208,'Fatores de Emissão'!$B$66:$M$75,10,FALSE),IF($D$49='Fatores de Emissão'!$L$65,VLOOKUP('Combustão Estacionária'!C208,'Fatores de Emissão'!$B$66:$M$75,11,FALSE),IF($D$49='Fatores de Emissão'!$M$65,VLOOKUP('Combustão Estacionária'!C208,'Fatores de Emissão'!$B$66:$M$75,12,FALSE),"")))),"")</f>
        <v/>
      </c>
      <c r="K208" s="813" t="str">
        <f>IFERROR(VLOOKUP('Combustão Estacionária'!C208,'Fatores de Emissão'!$B$66:$M$75,8,FALSE), "")</f>
        <v/>
      </c>
      <c r="L208" s="814" t="str">
        <f t="shared" si="7"/>
        <v/>
      </c>
      <c r="M208" s="814" t="str">
        <f t="shared" si="8"/>
        <v/>
      </c>
      <c r="N208" s="685" t="str">
        <f t="shared" si="9"/>
        <v/>
      </c>
      <c r="O208" s="1080" t="str">
        <f t="shared" si="10"/>
        <v/>
      </c>
      <c r="P208" s="782"/>
    </row>
    <row r="209" spans="1:16" ht="42" hidden="1" customHeight="1" outlineLevel="2" x14ac:dyDescent="0.25">
      <c r="A209" s="811"/>
      <c r="B209" s="705"/>
      <c r="C209" s="706"/>
      <c r="D209" s="707"/>
      <c r="E209" s="812" t="str">
        <f>IF(C209="","",VLOOKUP(C209,CE!$B$55:$D$101,3,FALSE))</f>
        <v/>
      </c>
      <c r="F209" s="707"/>
      <c r="G209" s="708"/>
      <c r="H209" s="709"/>
      <c r="I209" s="709"/>
      <c r="J209" s="813" t="str">
        <f>IFERROR(IF($D$49='Fatores de Emissão'!$J$65,VLOOKUP('Combustão Estacionária'!C209,'Fatores de Emissão'!$B$66:$M$75,9,FALSE),IF($D$49='Fatores de Emissão'!$K$65,VLOOKUP('Combustão Estacionária'!C209,'Fatores de Emissão'!$B$66:$M$75,10,FALSE),IF($D$49='Fatores de Emissão'!$L$65,VLOOKUP('Combustão Estacionária'!C209,'Fatores de Emissão'!$B$66:$M$75,11,FALSE),IF($D$49='Fatores de Emissão'!$M$65,VLOOKUP('Combustão Estacionária'!C209,'Fatores de Emissão'!$B$66:$M$75,12,FALSE),"")))),"")</f>
        <v/>
      </c>
      <c r="K209" s="813" t="str">
        <f>IFERROR(VLOOKUP('Combustão Estacionária'!C209,'Fatores de Emissão'!$B$66:$M$75,8,FALSE), "")</f>
        <v/>
      </c>
      <c r="L209" s="814" t="str">
        <f t="shared" si="7"/>
        <v/>
      </c>
      <c r="M209" s="814" t="str">
        <f t="shared" si="8"/>
        <v/>
      </c>
      <c r="N209" s="685" t="str">
        <f t="shared" si="9"/>
        <v/>
      </c>
      <c r="O209" s="1080" t="str">
        <f t="shared" si="10"/>
        <v/>
      </c>
      <c r="P209" s="782"/>
    </row>
    <row r="210" spans="1:16" ht="42" hidden="1" customHeight="1" outlineLevel="2" x14ac:dyDescent="0.25">
      <c r="A210" s="811"/>
      <c r="B210" s="705"/>
      <c r="C210" s="706"/>
      <c r="D210" s="707"/>
      <c r="E210" s="812" t="str">
        <f>IF(C210="","",VLOOKUP(C210,CE!$B$55:$D$101,3,FALSE))</f>
        <v/>
      </c>
      <c r="F210" s="707"/>
      <c r="G210" s="708"/>
      <c r="H210" s="709"/>
      <c r="I210" s="709"/>
      <c r="J210" s="813" t="str">
        <f>IFERROR(IF($D$49='Fatores de Emissão'!$J$65,VLOOKUP('Combustão Estacionária'!C210,'Fatores de Emissão'!$B$66:$M$75,9,FALSE),IF($D$49='Fatores de Emissão'!$K$65,VLOOKUP('Combustão Estacionária'!C210,'Fatores de Emissão'!$B$66:$M$75,10,FALSE),IF($D$49='Fatores de Emissão'!$L$65,VLOOKUP('Combustão Estacionária'!C210,'Fatores de Emissão'!$B$66:$M$75,11,FALSE),IF($D$49='Fatores de Emissão'!$M$65,VLOOKUP('Combustão Estacionária'!C210,'Fatores de Emissão'!$B$66:$M$75,12,FALSE),"")))),"")</f>
        <v/>
      </c>
      <c r="K210" s="813" t="str">
        <f>IFERROR(VLOOKUP('Combustão Estacionária'!C210,'Fatores de Emissão'!$B$66:$M$75,8,FALSE), "")</f>
        <v/>
      </c>
      <c r="L210" s="814" t="str">
        <f t="shared" si="7"/>
        <v/>
      </c>
      <c r="M210" s="814" t="str">
        <f t="shared" si="8"/>
        <v/>
      </c>
      <c r="N210" s="685" t="str">
        <f t="shared" si="9"/>
        <v/>
      </c>
      <c r="O210" s="1080" t="str">
        <f t="shared" si="10"/>
        <v/>
      </c>
      <c r="P210" s="782"/>
    </row>
    <row r="211" spans="1:16" ht="42" hidden="1" customHeight="1" outlineLevel="2" x14ac:dyDescent="0.25">
      <c r="A211" s="811"/>
      <c r="B211" s="705"/>
      <c r="C211" s="706"/>
      <c r="D211" s="707"/>
      <c r="E211" s="812" t="str">
        <f>IF(C211="","",VLOOKUP(C211,CE!$B$55:$D$101,3,FALSE))</f>
        <v/>
      </c>
      <c r="F211" s="707"/>
      <c r="G211" s="708"/>
      <c r="H211" s="709"/>
      <c r="I211" s="709"/>
      <c r="J211" s="813" t="str">
        <f>IFERROR(IF($D$49='Fatores de Emissão'!$J$65,VLOOKUP('Combustão Estacionária'!C211,'Fatores de Emissão'!$B$66:$M$75,9,FALSE),IF($D$49='Fatores de Emissão'!$K$65,VLOOKUP('Combustão Estacionária'!C211,'Fatores de Emissão'!$B$66:$M$75,10,FALSE),IF($D$49='Fatores de Emissão'!$L$65,VLOOKUP('Combustão Estacionária'!C211,'Fatores de Emissão'!$B$66:$M$75,11,FALSE),IF($D$49='Fatores de Emissão'!$M$65,VLOOKUP('Combustão Estacionária'!C211,'Fatores de Emissão'!$B$66:$M$75,12,FALSE),"")))),"")</f>
        <v/>
      </c>
      <c r="K211" s="813" t="str">
        <f>IFERROR(VLOOKUP('Combustão Estacionária'!C211,'Fatores de Emissão'!$B$66:$M$75,8,FALSE), "")</f>
        <v/>
      </c>
      <c r="L211" s="814" t="str">
        <f t="shared" si="7"/>
        <v/>
      </c>
      <c r="M211" s="814" t="str">
        <f t="shared" si="8"/>
        <v/>
      </c>
      <c r="N211" s="685" t="str">
        <f t="shared" si="9"/>
        <v/>
      </c>
      <c r="O211" s="1080" t="str">
        <f t="shared" si="10"/>
        <v/>
      </c>
      <c r="P211" s="782"/>
    </row>
    <row r="212" spans="1:16" ht="42" hidden="1" customHeight="1" outlineLevel="2" x14ac:dyDescent="0.25">
      <c r="A212" s="811"/>
      <c r="B212" s="705"/>
      <c r="C212" s="706"/>
      <c r="D212" s="707"/>
      <c r="E212" s="812" t="str">
        <f>IF(C212="","",VLOOKUP(C212,CE!$B$55:$D$101,3,FALSE))</f>
        <v/>
      </c>
      <c r="F212" s="707"/>
      <c r="G212" s="708"/>
      <c r="H212" s="709"/>
      <c r="I212" s="709"/>
      <c r="J212" s="813" t="str">
        <f>IFERROR(IF($D$49='Fatores de Emissão'!$J$65,VLOOKUP('Combustão Estacionária'!C212,'Fatores de Emissão'!$B$66:$M$75,9,FALSE),IF($D$49='Fatores de Emissão'!$K$65,VLOOKUP('Combustão Estacionária'!C212,'Fatores de Emissão'!$B$66:$M$75,10,FALSE),IF($D$49='Fatores de Emissão'!$L$65,VLOOKUP('Combustão Estacionária'!C212,'Fatores de Emissão'!$B$66:$M$75,11,FALSE),IF($D$49='Fatores de Emissão'!$M$65,VLOOKUP('Combustão Estacionária'!C212,'Fatores de Emissão'!$B$66:$M$75,12,FALSE),"")))),"")</f>
        <v/>
      </c>
      <c r="K212" s="813" t="str">
        <f>IFERROR(VLOOKUP('Combustão Estacionária'!C212,'Fatores de Emissão'!$B$66:$M$75,8,FALSE), "")</f>
        <v/>
      </c>
      <c r="L212" s="814" t="str">
        <f t="shared" si="7"/>
        <v/>
      </c>
      <c r="M212" s="814" t="str">
        <f t="shared" si="8"/>
        <v/>
      </c>
      <c r="N212" s="685" t="str">
        <f t="shared" si="9"/>
        <v/>
      </c>
      <c r="O212" s="1080" t="str">
        <f t="shared" si="10"/>
        <v/>
      </c>
      <c r="P212" s="782"/>
    </row>
    <row r="213" spans="1:16" ht="42" hidden="1" customHeight="1" outlineLevel="2" x14ac:dyDescent="0.25">
      <c r="A213" s="811"/>
      <c r="B213" s="705"/>
      <c r="C213" s="706"/>
      <c r="D213" s="707"/>
      <c r="E213" s="812" t="str">
        <f>IF(C213="","",VLOOKUP(C213,CE!$B$55:$D$101,3,FALSE))</f>
        <v/>
      </c>
      <c r="F213" s="707"/>
      <c r="G213" s="708"/>
      <c r="H213" s="709"/>
      <c r="I213" s="709"/>
      <c r="J213" s="813" t="str">
        <f>IFERROR(IF($D$49='Fatores de Emissão'!$J$65,VLOOKUP('Combustão Estacionária'!C213,'Fatores de Emissão'!$B$66:$M$75,9,FALSE),IF($D$49='Fatores de Emissão'!$K$65,VLOOKUP('Combustão Estacionária'!C213,'Fatores de Emissão'!$B$66:$M$75,10,FALSE),IF($D$49='Fatores de Emissão'!$L$65,VLOOKUP('Combustão Estacionária'!C213,'Fatores de Emissão'!$B$66:$M$75,11,FALSE),IF($D$49='Fatores de Emissão'!$M$65,VLOOKUP('Combustão Estacionária'!C213,'Fatores de Emissão'!$B$66:$M$75,12,FALSE),"")))),"")</f>
        <v/>
      </c>
      <c r="K213" s="813" t="str">
        <f>IFERROR(VLOOKUP('Combustão Estacionária'!C213,'Fatores de Emissão'!$B$66:$M$75,8,FALSE), "")</f>
        <v/>
      </c>
      <c r="L213" s="814" t="str">
        <f t="shared" si="7"/>
        <v/>
      </c>
      <c r="M213" s="814" t="str">
        <f t="shared" si="8"/>
        <v/>
      </c>
      <c r="N213" s="685" t="str">
        <f t="shared" si="9"/>
        <v/>
      </c>
      <c r="O213" s="1080" t="str">
        <f t="shared" si="10"/>
        <v/>
      </c>
      <c r="P213" s="782"/>
    </row>
    <row r="214" spans="1:16" ht="42" hidden="1" customHeight="1" outlineLevel="2" x14ac:dyDescent="0.25">
      <c r="A214" s="811"/>
      <c r="B214" s="705"/>
      <c r="C214" s="706"/>
      <c r="D214" s="707"/>
      <c r="E214" s="812" t="str">
        <f>IF(C214="","",VLOOKUP(C214,CE!$B$55:$D$101,3,FALSE))</f>
        <v/>
      </c>
      <c r="F214" s="707"/>
      <c r="G214" s="708"/>
      <c r="H214" s="709"/>
      <c r="I214" s="709"/>
      <c r="J214" s="813" t="str">
        <f>IFERROR(IF($D$49='Fatores de Emissão'!$J$65,VLOOKUP('Combustão Estacionária'!C214,'Fatores de Emissão'!$B$66:$M$75,9,FALSE),IF($D$49='Fatores de Emissão'!$K$65,VLOOKUP('Combustão Estacionária'!C214,'Fatores de Emissão'!$B$66:$M$75,10,FALSE),IF($D$49='Fatores de Emissão'!$L$65,VLOOKUP('Combustão Estacionária'!C214,'Fatores de Emissão'!$B$66:$M$75,11,FALSE),IF($D$49='Fatores de Emissão'!$M$65,VLOOKUP('Combustão Estacionária'!C214,'Fatores de Emissão'!$B$66:$M$75,12,FALSE),"")))),"")</f>
        <v/>
      </c>
      <c r="K214" s="813" t="str">
        <f>IFERROR(VLOOKUP('Combustão Estacionária'!C214,'Fatores de Emissão'!$B$66:$M$75,8,FALSE), "")</f>
        <v/>
      </c>
      <c r="L214" s="814" t="str">
        <f t="shared" si="7"/>
        <v/>
      </c>
      <c r="M214" s="814" t="str">
        <f t="shared" si="8"/>
        <v/>
      </c>
      <c r="N214" s="685" t="str">
        <f t="shared" si="9"/>
        <v/>
      </c>
      <c r="O214" s="1080" t="str">
        <f t="shared" si="10"/>
        <v/>
      </c>
      <c r="P214" s="782"/>
    </row>
    <row r="215" spans="1:16" ht="42" hidden="1" customHeight="1" outlineLevel="2" x14ac:dyDescent="0.25">
      <c r="A215" s="811"/>
      <c r="B215" s="705"/>
      <c r="C215" s="706"/>
      <c r="D215" s="707"/>
      <c r="E215" s="812" t="str">
        <f>IF(C215="","",VLOOKUP(C215,CE!$B$55:$D$101,3,FALSE))</f>
        <v/>
      </c>
      <c r="F215" s="707"/>
      <c r="G215" s="708"/>
      <c r="H215" s="709"/>
      <c r="I215" s="709"/>
      <c r="J215" s="813" t="str">
        <f>IFERROR(IF($D$49='Fatores de Emissão'!$J$65,VLOOKUP('Combustão Estacionária'!C215,'Fatores de Emissão'!$B$66:$M$75,9,FALSE),IF($D$49='Fatores de Emissão'!$K$65,VLOOKUP('Combustão Estacionária'!C215,'Fatores de Emissão'!$B$66:$M$75,10,FALSE),IF($D$49='Fatores de Emissão'!$L$65,VLOOKUP('Combustão Estacionária'!C215,'Fatores de Emissão'!$B$66:$M$75,11,FALSE),IF($D$49='Fatores de Emissão'!$M$65,VLOOKUP('Combustão Estacionária'!C215,'Fatores de Emissão'!$B$66:$M$75,12,FALSE),"")))),"")</f>
        <v/>
      </c>
      <c r="K215" s="813" t="str">
        <f>IFERROR(VLOOKUP('Combustão Estacionária'!C215,'Fatores de Emissão'!$B$66:$M$75,8,FALSE), "")</f>
        <v/>
      </c>
      <c r="L215" s="814" t="str">
        <f t="shared" si="7"/>
        <v/>
      </c>
      <c r="M215" s="814" t="str">
        <f t="shared" si="8"/>
        <v/>
      </c>
      <c r="N215" s="685" t="str">
        <f t="shared" si="9"/>
        <v/>
      </c>
      <c r="O215" s="1080" t="str">
        <f t="shared" si="10"/>
        <v/>
      </c>
      <c r="P215" s="782"/>
    </row>
    <row r="216" spans="1:16" ht="42" hidden="1" customHeight="1" outlineLevel="2" x14ac:dyDescent="0.25">
      <c r="A216" s="811"/>
      <c r="B216" s="705"/>
      <c r="C216" s="706"/>
      <c r="D216" s="707"/>
      <c r="E216" s="812" t="str">
        <f>IF(C216="","",VLOOKUP(C216,CE!$B$55:$D$101,3,FALSE))</f>
        <v/>
      </c>
      <c r="F216" s="707"/>
      <c r="G216" s="708"/>
      <c r="H216" s="709"/>
      <c r="I216" s="709"/>
      <c r="J216" s="813" t="str">
        <f>IFERROR(IF($D$49='Fatores de Emissão'!$J$65,VLOOKUP('Combustão Estacionária'!C216,'Fatores de Emissão'!$B$66:$M$75,9,FALSE),IF($D$49='Fatores de Emissão'!$K$65,VLOOKUP('Combustão Estacionária'!C216,'Fatores de Emissão'!$B$66:$M$75,10,FALSE),IF($D$49='Fatores de Emissão'!$L$65,VLOOKUP('Combustão Estacionária'!C216,'Fatores de Emissão'!$B$66:$M$75,11,FALSE),IF($D$49='Fatores de Emissão'!$M$65,VLOOKUP('Combustão Estacionária'!C216,'Fatores de Emissão'!$B$66:$M$75,12,FALSE),"")))),"")</f>
        <v/>
      </c>
      <c r="K216" s="813" t="str">
        <f>IFERROR(VLOOKUP('Combustão Estacionária'!C216,'Fatores de Emissão'!$B$66:$M$75,8,FALSE), "")</f>
        <v/>
      </c>
      <c r="L216" s="814" t="str">
        <f t="shared" ref="L216:L247" si="11">IFERROR(J216*D216,"")</f>
        <v/>
      </c>
      <c r="M216" s="814" t="str">
        <f t="shared" ref="M216:M247" si="12">IFERROR(K216*D216,"")</f>
        <v/>
      </c>
      <c r="N216" s="685" t="str">
        <f t="shared" ref="N216:N247" si="13">IFERROR(IF(H216="","",H216*D216),"")</f>
        <v/>
      </c>
      <c r="O216" s="1080" t="str">
        <f t="shared" ref="O216:O247" si="14">IF(D216="","",IFERROR(D216*1,"Erro, confira o valor do consumo médio annual esperado"))</f>
        <v/>
      </c>
      <c r="P216" s="782"/>
    </row>
    <row r="217" spans="1:16" ht="42" hidden="1" customHeight="1" outlineLevel="2" x14ac:dyDescent="0.25">
      <c r="A217" s="811"/>
      <c r="B217" s="705"/>
      <c r="C217" s="706"/>
      <c r="D217" s="707"/>
      <c r="E217" s="812" t="str">
        <f>IF(C217="","",VLOOKUP(C217,CE!$B$55:$D$101,3,FALSE))</f>
        <v/>
      </c>
      <c r="F217" s="707"/>
      <c r="G217" s="708"/>
      <c r="H217" s="709"/>
      <c r="I217" s="709"/>
      <c r="J217" s="813" t="str">
        <f>IFERROR(IF($D$49='Fatores de Emissão'!$J$65,VLOOKUP('Combustão Estacionária'!C217,'Fatores de Emissão'!$B$66:$M$75,9,FALSE),IF($D$49='Fatores de Emissão'!$K$65,VLOOKUP('Combustão Estacionária'!C217,'Fatores de Emissão'!$B$66:$M$75,10,FALSE),IF($D$49='Fatores de Emissão'!$L$65,VLOOKUP('Combustão Estacionária'!C217,'Fatores de Emissão'!$B$66:$M$75,11,FALSE),IF($D$49='Fatores de Emissão'!$M$65,VLOOKUP('Combustão Estacionária'!C217,'Fatores de Emissão'!$B$66:$M$75,12,FALSE),"")))),"")</f>
        <v/>
      </c>
      <c r="K217" s="813" t="str">
        <f>IFERROR(VLOOKUP('Combustão Estacionária'!C217,'Fatores de Emissão'!$B$66:$M$75,8,FALSE), "")</f>
        <v/>
      </c>
      <c r="L217" s="814" t="str">
        <f t="shared" si="11"/>
        <v/>
      </c>
      <c r="M217" s="814" t="str">
        <f t="shared" si="12"/>
        <v/>
      </c>
      <c r="N217" s="685" t="str">
        <f t="shared" si="13"/>
        <v/>
      </c>
      <c r="O217" s="1080" t="str">
        <f t="shared" si="14"/>
        <v/>
      </c>
      <c r="P217" s="782"/>
    </row>
    <row r="218" spans="1:16" ht="42" hidden="1" customHeight="1" outlineLevel="2" x14ac:dyDescent="0.25">
      <c r="A218" s="811"/>
      <c r="B218" s="705"/>
      <c r="C218" s="706"/>
      <c r="D218" s="707"/>
      <c r="E218" s="812" t="str">
        <f>IF(C218="","",VLOOKUP(C218,CE!$B$55:$D$101,3,FALSE))</f>
        <v/>
      </c>
      <c r="F218" s="707"/>
      <c r="G218" s="708"/>
      <c r="H218" s="709"/>
      <c r="I218" s="709"/>
      <c r="J218" s="813" t="str">
        <f>IFERROR(IF($D$49='Fatores de Emissão'!$J$65,VLOOKUP('Combustão Estacionária'!C218,'Fatores de Emissão'!$B$66:$M$75,9,FALSE),IF($D$49='Fatores de Emissão'!$K$65,VLOOKUP('Combustão Estacionária'!C218,'Fatores de Emissão'!$B$66:$M$75,10,FALSE),IF($D$49='Fatores de Emissão'!$L$65,VLOOKUP('Combustão Estacionária'!C218,'Fatores de Emissão'!$B$66:$M$75,11,FALSE),IF($D$49='Fatores de Emissão'!$M$65,VLOOKUP('Combustão Estacionária'!C218,'Fatores de Emissão'!$B$66:$M$75,12,FALSE),"")))),"")</f>
        <v/>
      </c>
      <c r="K218" s="813" t="str">
        <f>IFERROR(VLOOKUP('Combustão Estacionária'!C218,'Fatores de Emissão'!$B$66:$M$75,8,FALSE), "")</f>
        <v/>
      </c>
      <c r="L218" s="814" t="str">
        <f t="shared" si="11"/>
        <v/>
      </c>
      <c r="M218" s="814" t="str">
        <f t="shared" si="12"/>
        <v/>
      </c>
      <c r="N218" s="685" t="str">
        <f t="shared" si="13"/>
        <v/>
      </c>
      <c r="O218" s="1080" t="str">
        <f t="shared" si="14"/>
        <v/>
      </c>
      <c r="P218" s="782"/>
    </row>
    <row r="219" spans="1:16" ht="42" hidden="1" customHeight="1" outlineLevel="2" x14ac:dyDescent="0.25">
      <c r="A219" s="811"/>
      <c r="B219" s="705"/>
      <c r="C219" s="706"/>
      <c r="D219" s="707"/>
      <c r="E219" s="812" t="str">
        <f>IF(C219="","",VLOOKUP(C219,CE!$B$55:$D$101,3,FALSE))</f>
        <v/>
      </c>
      <c r="F219" s="707"/>
      <c r="G219" s="708"/>
      <c r="H219" s="709"/>
      <c r="I219" s="709"/>
      <c r="J219" s="813" t="str">
        <f>IFERROR(IF($D$49='Fatores de Emissão'!$J$65,VLOOKUP('Combustão Estacionária'!C219,'Fatores de Emissão'!$B$66:$M$75,9,FALSE),IF($D$49='Fatores de Emissão'!$K$65,VLOOKUP('Combustão Estacionária'!C219,'Fatores de Emissão'!$B$66:$M$75,10,FALSE),IF($D$49='Fatores de Emissão'!$L$65,VLOOKUP('Combustão Estacionária'!C219,'Fatores de Emissão'!$B$66:$M$75,11,FALSE),IF($D$49='Fatores de Emissão'!$M$65,VLOOKUP('Combustão Estacionária'!C219,'Fatores de Emissão'!$B$66:$M$75,12,FALSE),"")))),"")</f>
        <v/>
      </c>
      <c r="K219" s="813" t="str">
        <f>IFERROR(VLOOKUP('Combustão Estacionária'!C219,'Fatores de Emissão'!$B$66:$M$75,8,FALSE), "")</f>
        <v/>
      </c>
      <c r="L219" s="814" t="str">
        <f t="shared" si="11"/>
        <v/>
      </c>
      <c r="M219" s="814" t="str">
        <f t="shared" si="12"/>
        <v/>
      </c>
      <c r="N219" s="685" t="str">
        <f t="shared" si="13"/>
        <v/>
      </c>
      <c r="O219" s="1080" t="str">
        <f t="shared" si="14"/>
        <v/>
      </c>
      <c r="P219" s="782"/>
    </row>
    <row r="220" spans="1:16" ht="42" hidden="1" customHeight="1" outlineLevel="2" x14ac:dyDescent="0.25">
      <c r="A220" s="811"/>
      <c r="B220" s="705"/>
      <c r="C220" s="706"/>
      <c r="D220" s="707"/>
      <c r="E220" s="812" t="str">
        <f>IF(C220="","",VLOOKUP(C220,CE!$B$55:$D$101,3,FALSE))</f>
        <v/>
      </c>
      <c r="F220" s="707"/>
      <c r="G220" s="708"/>
      <c r="H220" s="709"/>
      <c r="I220" s="709"/>
      <c r="J220" s="813" t="str">
        <f>IFERROR(IF($D$49='Fatores de Emissão'!$J$65,VLOOKUP('Combustão Estacionária'!C220,'Fatores de Emissão'!$B$66:$M$75,9,FALSE),IF($D$49='Fatores de Emissão'!$K$65,VLOOKUP('Combustão Estacionária'!C220,'Fatores de Emissão'!$B$66:$M$75,10,FALSE),IF($D$49='Fatores de Emissão'!$L$65,VLOOKUP('Combustão Estacionária'!C220,'Fatores de Emissão'!$B$66:$M$75,11,FALSE),IF($D$49='Fatores de Emissão'!$M$65,VLOOKUP('Combustão Estacionária'!C220,'Fatores de Emissão'!$B$66:$M$75,12,FALSE),"")))),"")</f>
        <v/>
      </c>
      <c r="K220" s="813" t="str">
        <f>IFERROR(VLOOKUP('Combustão Estacionária'!C220,'Fatores de Emissão'!$B$66:$M$75,8,FALSE), "")</f>
        <v/>
      </c>
      <c r="L220" s="814" t="str">
        <f t="shared" si="11"/>
        <v/>
      </c>
      <c r="M220" s="814" t="str">
        <f t="shared" si="12"/>
        <v/>
      </c>
      <c r="N220" s="685" t="str">
        <f t="shared" si="13"/>
        <v/>
      </c>
      <c r="O220" s="1080" t="str">
        <f t="shared" si="14"/>
        <v/>
      </c>
      <c r="P220" s="782"/>
    </row>
    <row r="221" spans="1:16" ht="42" hidden="1" customHeight="1" outlineLevel="2" x14ac:dyDescent="0.25">
      <c r="A221" s="811"/>
      <c r="B221" s="705"/>
      <c r="C221" s="706"/>
      <c r="D221" s="707"/>
      <c r="E221" s="812" t="str">
        <f>IF(C221="","",VLOOKUP(C221,CE!$B$55:$D$101,3,FALSE))</f>
        <v/>
      </c>
      <c r="F221" s="707"/>
      <c r="G221" s="708"/>
      <c r="H221" s="709"/>
      <c r="I221" s="709"/>
      <c r="J221" s="813" t="str">
        <f>IFERROR(IF($D$49='Fatores de Emissão'!$J$65,VLOOKUP('Combustão Estacionária'!C221,'Fatores de Emissão'!$B$66:$M$75,9,FALSE),IF($D$49='Fatores de Emissão'!$K$65,VLOOKUP('Combustão Estacionária'!C221,'Fatores de Emissão'!$B$66:$M$75,10,FALSE),IF($D$49='Fatores de Emissão'!$L$65,VLOOKUP('Combustão Estacionária'!C221,'Fatores de Emissão'!$B$66:$M$75,11,FALSE),IF($D$49='Fatores de Emissão'!$M$65,VLOOKUP('Combustão Estacionária'!C221,'Fatores de Emissão'!$B$66:$M$75,12,FALSE),"")))),"")</f>
        <v/>
      </c>
      <c r="K221" s="813" t="str">
        <f>IFERROR(VLOOKUP('Combustão Estacionária'!C221,'Fatores de Emissão'!$B$66:$M$75,8,FALSE), "")</f>
        <v/>
      </c>
      <c r="L221" s="814" t="str">
        <f t="shared" si="11"/>
        <v/>
      </c>
      <c r="M221" s="814" t="str">
        <f t="shared" si="12"/>
        <v/>
      </c>
      <c r="N221" s="685" t="str">
        <f t="shared" si="13"/>
        <v/>
      </c>
      <c r="O221" s="1080" t="str">
        <f t="shared" si="14"/>
        <v/>
      </c>
      <c r="P221" s="782"/>
    </row>
    <row r="222" spans="1:16" ht="42" hidden="1" customHeight="1" outlineLevel="2" x14ac:dyDescent="0.25">
      <c r="A222" s="811"/>
      <c r="B222" s="705"/>
      <c r="C222" s="706"/>
      <c r="D222" s="707"/>
      <c r="E222" s="812" t="str">
        <f>IF(C222="","",VLOOKUP(C222,CE!$B$55:$D$101,3,FALSE))</f>
        <v/>
      </c>
      <c r="F222" s="707"/>
      <c r="G222" s="708"/>
      <c r="H222" s="709"/>
      <c r="I222" s="709"/>
      <c r="J222" s="813" t="str">
        <f>IFERROR(IF($D$49='Fatores de Emissão'!$J$65,VLOOKUP('Combustão Estacionária'!C222,'Fatores de Emissão'!$B$66:$M$75,9,FALSE),IF($D$49='Fatores de Emissão'!$K$65,VLOOKUP('Combustão Estacionária'!C222,'Fatores de Emissão'!$B$66:$M$75,10,FALSE),IF($D$49='Fatores de Emissão'!$L$65,VLOOKUP('Combustão Estacionária'!C222,'Fatores de Emissão'!$B$66:$M$75,11,FALSE),IF($D$49='Fatores de Emissão'!$M$65,VLOOKUP('Combustão Estacionária'!C222,'Fatores de Emissão'!$B$66:$M$75,12,FALSE),"")))),"")</f>
        <v/>
      </c>
      <c r="K222" s="813" t="str">
        <f>IFERROR(VLOOKUP('Combustão Estacionária'!C222,'Fatores de Emissão'!$B$66:$M$75,8,FALSE), "")</f>
        <v/>
      </c>
      <c r="L222" s="814" t="str">
        <f t="shared" si="11"/>
        <v/>
      </c>
      <c r="M222" s="814" t="str">
        <f t="shared" si="12"/>
        <v/>
      </c>
      <c r="N222" s="685" t="str">
        <f t="shared" si="13"/>
        <v/>
      </c>
      <c r="O222" s="1080" t="str">
        <f t="shared" si="14"/>
        <v/>
      </c>
      <c r="P222" s="782"/>
    </row>
    <row r="223" spans="1:16" ht="42" hidden="1" customHeight="1" outlineLevel="2" x14ac:dyDescent="0.25">
      <c r="A223" s="811"/>
      <c r="B223" s="705"/>
      <c r="C223" s="706"/>
      <c r="D223" s="707"/>
      <c r="E223" s="812" t="str">
        <f>IF(C223="","",VLOOKUP(C223,CE!$B$55:$D$101,3,FALSE))</f>
        <v/>
      </c>
      <c r="F223" s="707"/>
      <c r="G223" s="708"/>
      <c r="H223" s="709"/>
      <c r="I223" s="709"/>
      <c r="J223" s="813" t="str">
        <f>IFERROR(IF($D$49='Fatores de Emissão'!$J$65,VLOOKUP('Combustão Estacionária'!C223,'Fatores de Emissão'!$B$66:$M$75,9,FALSE),IF($D$49='Fatores de Emissão'!$K$65,VLOOKUP('Combustão Estacionária'!C223,'Fatores de Emissão'!$B$66:$M$75,10,FALSE),IF($D$49='Fatores de Emissão'!$L$65,VLOOKUP('Combustão Estacionária'!C223,'Fatores de Emissão'!$B$66:$M$75,11,FALSE),IF($D$49='Fatores de Emissão'!$M$65,VLOOKUP('Combustão Estacionária'!C223,'Fatores de Emissão'!$B$66:$M$75,12,FALSE),"")))),"")</f>
        <v/>
      </c>
      <c r="K223" s="813" t="str">
        <f>IFERROR(VLOOKUP('Combustão Estacionária'!C223,'Fatores de Emissão'!$B$66:$M$75,8,FALSE), "")</f>
        <v/>
      </c>
      <c r="L223" s="814" t="str">
        <f t="shared" si="11"/>
        <v/>
      </c>
      <c r="M223" s="814" t="str">
        <f t="shared" si="12"/>
        <v/>
      </c>
      <c r="N223" s="685" t="str">
        <f t="shared" si="13"/>
        <v/>
      </c>
      <c r="O223" s="1080" t="str">
        <f t="shared" si="14"/>
        <v/>
      </c>
      <c r="P223" s="782"/>
    </row>
    <row r="224" spans="1:16" ht="42" hidden="1" customHeight="1" outlineLevel="2" x14ac:dyDescent="0.25">
      <c r="A224" s="811"/>
      <c r="B224" s="705"/>
      <c r="C224" s="706"/>
      <c r="D224" s="707"/>
      <c r="E224" s="812" t="str">
        <f>IF(C224="","",VLOOKUP(C224,CE!$B$55:$D$101,3,FALSE))</f>
        <v/>
      </c>
      <c r="F224" s="707"/>
      <c r="G224" s="708"/>
      <c r="H224" s="709"/>
      <c r="I224" s="709"/>
      <c r="J224" s="813" t="str">
        <f>IFERROR(IF($D$49='Fatores de Emissão'!$J$65,VLOOKUP('Combustão Estacionária'!C224,'Fatores de Emissão'!$B$66:$M$75,9,FALSE),IF($D$49='Fatores de Emissão'!$K$65,VLOOKUP('Combustão Estacionária'!C224,'Fatores de Emissão'!$B$66:$M$75,10,FALSE),IF($D$49='Fatores de Emissão'!$L$65,VLOOKUP('Combustão Estacionária'!C224,'Fatores de Emissão'!$B$66:$M$75,11,FALSE),IF($D$49='Fatores de Emissão'!$M$65,VLOOKUP('Combustão Estacionária'!C224,'Fatores de Emissão'!$B$66:$M$75,12,FALSE),"")))),"")</f>
        <v/>
      </c>
      <c r="K224" s="813" t="str">
        <f>IFERROR(VLOOKUP('Combustão Estacionária'!C224,'Fatores de Emissão'!$B$66:$M$75,8,FALSE), "")</f>
        <v/>
      </c>
      <c r="L224" s="814" t="str">
        <f t="shared" si="11"/>
        <v/>
      </c>
      <c r="M224" s="814" t="str">
        <f t="shared" si="12"/>
        <v/>
      </c>
      <c r="N224" s="685" t="str">
        <f t="shared" si="13"/>
        <v/>
      </c>
      <c r="O224" s="1080" t="str">
        <f t="shared" si="14"/>
        <v/>
      </c>
      <c r="P224" s="782"/>
    </row>
    <row r="225" spans="1:16" ht="42" hidden="1" customHeight="1" outlineLevel="2" x14ac:dyDescent="0.25">
      <c r="A225" s="811"/>
      <c r="B225" s="705"/>
      <c r="C225" s="706"/>
      <c r="D225" s="707"/>
      <c r="E225" s="812" t="str">
        <f>IF(C225="","",VLOOKUP(C225,CE!$B$55:$D$101,3,FALSE))</f>
        <v/>
      </c>
      <c r="F225" s="707"/>
      <c r="G225" s="708"/>
      <c r="H225" s="709"/>
      <c r="I225" s="709"/>
      <c r="J225" s="813" t="str">
        <f>IFERROR(IF($D$49='Fatores de Emissão'!$J$65,VLOOKUP('Combustão Estacionária'!C225,'Fatores de Emissão'!$B$66:$M$75,9,FALSE),IF($D$49='Fatores de Emissão'!$K$65,VLOOKUP('Combustão Estacionária'!C225,'Fatores de Emissão'!$B$66:$M$75,10,FALSE),IF($D$49='Fatores de Emissão'!$L$65,VLOOKUP('Combustão Estacionária'!C225,'Fatores de Emissão'!$B$66:$M$75,11,FALSE),IF($D$49='Fatores de Emissão'!$M$65,VLOOKUP('Combustão Estacionária'!C225,'Fatores de Emissão'!$B$66:$M$75,12,FALSE),"")))),"")</f>
        <v/>
      </c>
      <c r="K225" s="813" t="str">
        <f>IFERROR(VLOOKUP('Combustão Estacionária'!C225,'Fatores de Emissão'!$B$66:$M$75,8,FALSE), "")</f>
        <v/>
      </c>
      <c r="L225" s="814" t="str">
        <f t="shared" si="11"/>
        <v/>
      </c>
      <c r="M225" s="814" t="str">
        <f t="shared" si="12"/>
        <v/>
      </c>
      <c r="N225" s="685" t="str">
        <f t="shared" si="13"/>
        <v/>
      </c>
      <c r="O225" s="1080" t="str">
        <f t="shared" si="14"/>
        <v/>
      </c>
      <c r="P225" s="782"/>
    </row>
    <row r="226" spans="1:16" ht="42" hidden="1" customHeight="1" outlineLevel="2" x14ac:dyDescent="0.25">
      <c r="A226" s="811"/>
      <c r="B226" s="705"/>
      <c r="C226" s="706"/>
      <c r="D226" s="707"/>
      <c r="E226" s="812" t="str">
        <f>IF(C226="","",VLOOKUP(C226,CE!$B$55:$D$101,3,FALSE))</f>
        <v/>
      </c>
      <c r="F226" s="707"/>
      <c r="G226" s="708"/>
      <c r="H226" s="709"/>
      <c r="I226" s="709"/>
      <c r="J226" s="813" t="str">
        <f>IFERROR(IF($D$49='Fatores de Emissão'!$J$65,VLOOKUP('Combustão Estacionária'!C226,'Fatores de Emissão'!$B$66:$M$75,9,FALSE),IF($D$49='Fatores de Emissão'!$K$65,VLOOKUP('Combustão Estacionária'!C226,'Fatores de Emissão'!$B$66:$M$75,10,FALSE),IF($D$49='Fatores de Emissão'!$L$65,VLOOKUP('Combustão Estacionária'!C226,'Fatores de Emissão'!$B$66:$M$75,11,FALSE),IF($D$49='Fatores de Emissão'!$M$65,VLOOKUP('Combustão Estacionária'!C226,'Fatores de Emissão'!$B$66:$M$75,12,FALSE),"")))),"")</f>
        <v/>
      </c>
      <c r="K226" s="813" t="str">
        <f>IFERROR(VLOOKUP('Combustão Estacionária'!C226,'Fatores de Emissão'!$B$66:$M$75,8,FALSE), "")</f>
        <v/>
      </c>
      <c r="L226" s="814" t="str">
        <f t="shared" si="11"/>
        <v/>
      </c>
      <c r="M226" s="814" t="str">
        <f t="shared" si="12"/>
        <v/>
      </c>
      <c r="N226" s="685" t="str">
        <f t="shared" si="13"/>
        <v/>
      </c>
      <c r="O226" s="1080" t="str">
        <f t="shared" si="14"/>
        <v/>
      </c>
      <c r="P226" s="782"/>
    </row>
    <row r="227" spans="1:16" ht="42" hidden="1" customHeight="1" outlineLevel="2" x14ac:dyDescent="0.25">
      <c r="A227" s="811"/>
      <c r="B227" s="705"/>
      <c r="C227" s="706"/>
      <c r="D227" s="707"/>
      <c r="E227" s="812" t="str">
        <f>IF(C227="","",VLOOKUP(C227,CE!$B$55:$D$101,3,FALSE))</f>
        <v/>
      </c>
      <c r="F227" s="707"/>
      <c r="G227" s="708"/>
      <c r="H227" s="709"/>
      <c r="I227" s="709"/>
      <c r="J227" s="813" t="str">
        <f>IFERROR(IF($D$49='Fatores de Emissão'!$J$65,VLOOKUP('Combustão Estacionária'!C227,'Fatores de Emissão'!$B$66:$M$75,9,FALSE),IF($D$49='Fatores de Emissão'!$K$65,VLOOKUP('Combustão Estacionária'!C227,'Fatores de Emissão'!$B$66:$M$75,10,FALSE),IF($D$49='Fatores de Emissão'!$L$65,VLOOKUP('Combustão Estacionária'!C227,'Fatores de Emissão'!$B$66:$M$75,11,FALSE),IF($D$49='Fatores de Emissão'!$M$65,VLOOKUP('Combustão Estacionária'!C227,'Fatores de Emissão'!$B$66:$M$75,12,FALSE),"")))),"")</f>
        <v/>
      </c>
      <c r="K227" s="813" t="str">
        <f>IFERROR(VLOOKUP('Combustão Estacionária'!C227,'Fatores de Emissão'!$B$66:$M$75,8,FALSE), "")</f>
        <v/>
      </c>
      <c r="L227" s="814" t="str">
        <f t="shared" si="11"/>
        <v/>
      </c>
      <c r="M227" s="814" t="str">
        <f t="shared" si="12"/>
        <v/>
      </c>
      <c r="N227" s="685" t="str">
        <f t="shared" si="13"/>
        <v/>
      </c>
      <c r="O227" s="1080" t="str">
        <f t="shared" si="14"/>
        <v/>
      </c>
      <c r="P227" s="782"/>
    </row>
    <row r="228" spans="1:16" ht="42" hidden="1" customHeight="1" outlineLevel="2" x14ac:dyDescent="0.25">
      <c r="A228" s="811"/>
      <c r="B228" s="705"/>
      <c r="C228" s="706"/>
      <c r="D228" s="707"/>
      <c r="E228" s="812" t="str">
        <f>IF(C228="","",VLOOKUP(C228,CE!$B$55:$D$101,3,FALSE))</f>
        <v/>
      </c>
      <c r="F228" s="707"/>
      <c r="G228" s="708"/>
      <c r="H228" s="709"/>
      <c r="I228" s="709"/>
      <c r="J228" s="813" t="str">
        <f>IFERROR(IF($D$49='Fatores de Emissão'!$J$65,VLOOKUP('Combustão Estacionária'!C228,'Fatores de Emissão'!$B$66:$M$75,9,FALSE),IF($D$49='Fatores de Emissão'!$K$65,VLOOKUP('Combustão Estacionária'!C228,'Fatores de Emissão'!$B$66:$M$75,10,FALSE),IF($D$49='Fatores de Emissão'!$L$65,VLOOKUP('Combustão Estacionária'!C228,'Fatores de Emissão'!$B$66:$M$75,11,FALSE),IF($D$49='Fatores de Emissão'!$M$65,VLOOKUP('Combustão Estacionária'!C228,'Fatores de Emissão'!$B$66:$M$75,12,FALSE),"")))),"")</f>
        <v/>
      </c>
      <c r="K228" s="813" t="str">
        <f>IFERROR(VLOOKUP('Combustão Estacionária'!C228,'Fatores de Emissão'!$B$66:$M$75,8,FALSE), "")</f>
        <v/>
      </c>
      <c r="L228" s="814" t="str">
        <f t="shared" si="11"/>
        <v/>
      </c>
      <c r="M228" s="814" t="str">
        <f t="shared" si="12"/>
        <v/>
      </c>
      <c r="N228" s="685" t="str">
        <f t="shared" si="13"/>
        <v/>
      </c>
      <c r="O228" s="1080" t="str">
        <f t="shared" si="14"/>
        <v/>
      </c>
      <c r="P228" s="782"/>
    </row>
    <row r="229" spans="1:16" ht="42" hidden="1" customHeight="1" outlineLevel="2" x14ac:dyDescent="0.25">
      <c r="A229" s="811"/>
      <c r="B229" s="705"/>
      <c r="C229" s="706"/>
      <c r="D229" s="707"/>
      <c r="E229" s="812" t="str">
        <f>IF(C229="","",VLOOKUP(C229,CE!$B$55:$D$101,3,FALSE))</f>
        <v/>
      </c>
      <c r="F229" s="707"/>
      <c r="G229" s="708"/>
      <c r="H229" s="709"/>
      <c r="I229" s="709"/>
      <c r="J229" s="813" t="str">
        <f>IFERROR(IF($D$49='Fatores de Emissão'!$J$65,VLOOKUP('Combustão Estacionária'!C229,'Fatores de Emissão'!$B$66:$M$75,9,FALSE),IF($D$49='Fatores de Emissão'!$K$65,VLOOKUP('Combustão Estacionária'!C229,'Fatores de Emissão'!$B$66:$M$75,10,FALSE),IF($D$49='Fatores de Emissão'!$L$65,VLOOKUP('Combustão Estacionária'!C229,'Fatores de Emissão'!$B$66:$M$75,11,FALSE),IF($D$49='Fatores de Emissão'!$M$65,VLOOKUP('Combustão Estacionária'!C229,'Fatores de Emissão'!$B$66:$M$75,12,FALSE),"")))),"")</f>
        <v/>
      </c>
      <c r="K229" s="813" t="str">
        <f>IFERROR(VLOOKUP('Combustão Estacionária'!C229,'Fatores de Emissão'!$B$66:$M$75,8,FALSE), "")</f>
        <v/>
      </c>
      <c r="L229" s="814" t="str">
        <f t="shared" si="11"/>
        <v/>
      </c>
      <c r="M229" s="814" t="str">
        <f t="shared" si="12"/>
        <v/>
      </c>
      <c r="N229" s="685" t="str">
        <f t="shared" si="13"/>
        <v/>
      </c>
      <c r="O229" s="1080" t="str">
        <f t="shared" si="14"/>
        <v/>
      </c>
      <c r="P229" s="782"/>
    </row>
    <row r="230" spans="1:16" ht="42" hidden="1" customHeight="1" outlineLevel="2" x14ac:dyDescent="0.25">
      <c r="A230" s="811"/>
      <c r="B230" s="705"/>
      <c r="C230" s="706"/>
      <c r="D230" s="707"/>
      <c r="E230" s="812" t="str">
        <f>IF(C230="","",VLOOKUP(C230,CE!$B$55:$D$101,3,FALSE))</f>
        <v/>
      </c>
      <c r="F230" s="707"/>
      <c r="G230" s="708"/>
      <c r="H230" s="709"/>
      <c r="I230" s="709"/>
      <c r="J230" s="813" t="str">
        <f>IFERROR(IF($D$49='Fatores de Emissão'!$J$65,VLOOKUP('Combustão Estacionária'!C230,'Fatores de Emissão'!$B$66:$M$75,9,FALSE),IF($D$49='Fatores de Emissão'!$K$65,VLOOKUP('Combustão Estacionária'!C230,'Fatores de Emissão'!$B$66:$M$75,10,FALSE),IF($D$49='Fatores de Emissão'!$L$65,VLOOKUP('Combustão Estacionária'!C230,'Fatores de Emissão'!$B$66:$M$75,11,FALSE),IF($D$49='Fatores de Emissão'!$M$65,VLOOKUP('Combustão Estacionária'!C230,'Fatores de Emissão'!$B$66:$M$75,12,FALSE),"")))),"")</f>
        <v/>
      </c>
      <c r="K230" s="813" t="str">
        <f>IFERROR(VLOOKUP('Combustão Estacionária'!C230,'Fatores de Emissão'!$B$66:$M$75,8,FALSE), "")</f>
        <v/>
      </c>
      <c r="L230" s="814" t="str">
        <f t="shared" si="11"/>
        <v/>
      </c>
      <c r="M230" s="814" t="str">
        <f t="shared" si="12"/>
        <v/>
      </c>
      <c r="N230" s="685" t="str">
        <f t="shared" si="13"/>
        <v/>
      </c>
      <c r="O230" s="1080" t="str">
        <f t="shared" si="14"/>
        <v/>
      </c>
      <c r="P230" s="782"/>
    </row>
    <row r="231" spans="1:16" ht="42" hidden="1" customHeight="1" outlineLevel="2" x14ac:dyDescent="0.25">
      <c r="A231" s="811"/>
      <c r="B231" s="705"/>
      <c r="C231" s="706"/>
      <c r="D231" s="707"/>
      <c r="E231" s="812" t="str">
        <f>IF(C231="","",VLOOKUP(C231,CE!$B$55:$D$101,3,FALSE))</f>
        <v/>
      </c>
      <c r="F231" s="707"/>
      <c r="G231" s="708"/>
      <c r="H231" s="709"/>
      <c r="I231" s="709"/>
      <c r="J231" s="813" t="str">
        <f>IFERROR(IF($D$49='Fatores de Emissão'!$J$65,VLOOKUP('Combustão Estacionária'!C231,'Fatores de Emissão'!$B$66:$M$75,9,FALSE),IF($D$49='Fatores de Emissão'!$K$65,VLOOKUP('Combustão Estacionária'!C231,'Fatores de Emissão'!$B$66:$M$75,10,FALSE),IF($D$49='Fatores de Emissão'!$L$65,VLOOKUP('Combustão Estacionária'!C231,'Fatores de Emissão'!$B$66:$M$75,11,FALSE),IF($D$49='Fatores de Emissão'!$M$65,VLOOKUP('Combustão Estacionária'!C231,'Fatores de Emissão'!$B$66:$M$75,12,FALSE),"")))),"")</f>
        <v/>
      </c>
      <c r="K231" s="813" t="str">
        <f>IFERROR(VLOOKUP('Combustão Estacionária'!C231,'Fatores de Emissão'!$B$66:$M$75,8,FALSE), "")</f>
        <v/>
      </c>
      <c r="L231" s="814" t="str">
        <f t="shared" si="11"/>
        <v/>
      </c>
      <c r="M231" s="814" t="str">
        <f t="shared" si="12"/>
        <v/>
      </c>
      <c r="N231" s="685" t="str">
        <f t="shared" si="13"/>
        <v/>
      </c>
      <c r="O231" s="1080" t="str">
        <f t="shared" si="14"/>
        <v/>
      </c>
      <c r="P231" s="782"/>
    </row>
    <row r="232" spans="1:16" ht="42" hidden="1" customHeight="1" outlineLevel="2" x14ac:dyDescent="0.25">
      <c r="A232" s="811"/>
      <c r="B232" s="705"/>
      <c r="C232" s="706"/>
      <c r="D232" s="707"/>
      <c r="E232" s="812" t="str">
        <f>IF(C232="","",VLOOKUP(C232,CE!$B$55:$D$101,3,FALSE))</f>
        <v/>
      </c>
      <c r="F232" s="707"/>
      <c r="G232" s="708"/>
      <c r="H232" s="709"/>
      <c r="I232" s="709"/>
      <c r="J232" s="813" t="str">
        <f>IFERROR(IF($D$49='Fatores de Emissão'!$J$65,VLOOKUP('Combustão Estacionária'!C232,'Fatores de Emissão'!$B$66:$M$75,9,FALSE),IF($D$49='Fatores de Emissão'!$K$65,VLOOKUP('Combustão Estacionária'!C232,'Fatores de Emissão'!$B$66:$M$75,10,FALSE),IF($D$49='Fatores de Emissão'!$L$65,VLOOKUP('Combustão Estacionária'!C232,'Fatores de Emissão'!$B$66:$M$75,11,FALSE),IF($D$49='Fatores de Emissão'!$M$65,VLOOKUP('Combustão Estacionária'!C232,'Fatores de Emissão'!$B$66:$M$75,12,FALSE),"")))),"")</f>
        <v/>
      </c>
      <c r="K232" s="813" t="str">
        <f>IFERROR(VLOOKUP('Combustão Estacionária'!C232,'Fatores de Emissão'!$B$66:$M$75,8,FALSE), "")</f>
        <v/>
      </c>
      <c r="L232" s="814" t="str">
        <f t="shared" si="11"/>
        <v/>
      </c>
      <c r="M232" s="814" t="str">
        <f t="shared" si="12"/>
        <v/>
      </c>
      <c r="N232" s="685" t="str">
        <f t="shared" si="13"/>
        <v/>
      </c>
      <c r="O232" s="1080" t="str">
        <f t="shared" si="14"/>
        <v/>
      </c>
      <c r="P232" s="782"/>
    </row>
    <row r="233" spans="1:16" ht="42" hidden="1" customHeight="1" outlineLevel="2" x14ac:dyDescent="0.25">
      <c r="A233" s="811"/>
      <c r="B233" s="705"/>
      <c r="C233" s="706"/>
      <c r="D233" s="707"/>
      <c r="E233" s="812" t="str">
        <f>IF(C233="","",VLOOKUP(C233,CE!$B$55:$D$101,3,FALSE))</f>
        <v/>
      </c>
      <c r="F233" s="707"/>
      <c r="G233" s="708"/>
      <c r="H233" s="709"/>
      <c r="I233" s="709"/>
      <c r="J233" s="813" t="str">
        <f>IFERROR(IF($D$49='Fatores de Emissão'!$J$65,VLOOKUP('Combustão Estacionária'!C233,'Fatores de Emissão'!$B$66:$M$75,9,FALSE),IF($D$49='Fatores de Emissão'!$K$65,VLOOKUP('Combustão Estacionária'!C233,'Fatores de Emissão'!$B$66:$M$75,10,FALSE),IF($D$49='Fatores de Emissão'!$L$65,VLOOKUP('Combustão Estacionária'!C233,'Fatores de Emissão'!$B$66:$M$75,11,FALSE),IF($D$49='Fatores de Emissão'!$M$65,VLOOKUP('Combustão Estacionária'!C233,'Fatores de Emissão'!$B$66:$M$75,12,FALSE),"")))),"")</f>
        <v/>
      </c>
      <c r="K233" s="813" t="str">
        <f>IFERROR(VLOOKUP('Combustão Estacionária'!C233,'Fatores de Emissão'!$B$66:$M$75,8,FALSE), "")</f>
        <v/>
      </c>
      <c r="L233" s="814" t="str">
        <f t="shared" si="11"/>
        <v/>
      </c>
      <c r="M233" s="814" t="str">
        <f t="shared" si="12"/>
        <v/>
      </c>
      <c r="N233" s="685" t="str">
        <f t="shared" si="13"/>
        <v/>
      </c>
      <c r="O233" s="1080" t="str">
        <f t="shared" si="14"/>
        <v/>
      </c>
      <c r="P233" s="782"/>
    </row>
    <row r="234" spans="1:16" ht="42" hidden="1" customHeight="1" outlineLevel="2" x14ac:dyDescent="0.25">
      <c r="A234" s="811"/>
      <c r="B234" s="705"/>
      <c r="C234" s="706"/>
      <c r="D234" s="707"/>
      <c r="E234" s="812" t="str">
        <f>IF(C234="","",VLOOKUP(C234,CE!$B$55:$D$101,3,FALSE))</f>
        <v/>
      </c>
      <c r="F234" s="707"/>
      <c r="G234" s="708"/>
      <c r="H234" s="709"/>
      <c r="I234" s="709"/>
      <c r="J234" s="813" t="str">
        <f>IFERROR(IF($D$49='Fatores de Emissão'!$J$65,VLOOKUP('Combustão Estacionária'!C234,'Fatores de Emissão'!$B$66:$M$75,9,FALSE),IF($D$49='Fatores de Emissão'!$K$65,VLOOKUP('Combustão Estacionária'!C234,'Fatores de Emissão'!$B$66:$M$75,10,FALSE),IF($D$49='Fatores de Emissão'!$L$65,VLOOKUP('Combustão Estacionária'!C234,'Fatores de Emissão'!$B$66:$M$75,11,FALSE),IF($D$49='Fatores de Emissão'!$M$65,VLOOKUP('Combustão Estacionária'!C234,'Fatores de Emissão'!$B$66:$M$75,12,FALSE),"")))),"")</f>
        <v/>
      </c>
      <c r="K234" s="813" t="str">
        <f>IFERROR(VLOOKUP('Combustão Estacionária'!C234,'Fatores de Emissão'!$B$66:$M$75,8,FALSE), "")</f>
        <v/>
      </c>
      <c r="L234" s="814" t="str">
        <f t="shared" si="11"/>
        <v/>
      </c>
      <c r="M234" s="814" t="str">
        <f t="shared" si="12"/>
        <v/>
      </c>
      <c r="N234" s="685" t="str">
        <f t="shared" si="13"/>
        <v/>
      </c>
      <c r="O234" s="1080" t="str">
        <f t="shared" si="14"/>
        <v/>
      </c>
      <c r="P234" s="782"/>
    </row>
    <row r="235" spans="1:16" ht="42" hidden="1" customHeight="1" outlineLevel="2" x14ac:dyDescent="0.25">
      <c r="A235" s="811"/>
      <c r="B235" s="705"/>
      <c r="C235" s="706"/>
      <c r="D235" s="707"/>
      <c r="E235" s="812" t="str">
        <f>IF(C235="","",VLOOKUP(C235,CE!$B$55:$D$101,3,FALSE))</f>
        <v/>
      </c>
      <c r="F235" s="707"/>
      <c r="G235" s="708"/>
      <c r="H235" s="709"/>
      <c r="I235" s="709"/>
      <c r="J235" s="813" t="str">
        <f>IFERROR(IF($D$49='Fatores de Emissão'!$J$65,VLOOKUP('Combustão Estacionária'!C235,'Fatores de Emissão'!$B$66:$M$75,9,FALSE),IF($D$49='Fatores de Emissão'!$K$65,VLOOKUP('Combustão Estacionária'!C235,'Fatores de Emissão'!$B$66:$M$75,10,FALSE),IF($D$49='Fatores de Emissão'!$L$65,VLOOKUP('Combustão Estacionária'!C235,'Fatores de Emissão'!$B$66:$M$75,11,FALSE),IF($D$49='Fatores de Emissão'!$M$65,VLOOKUP('Combustão Estacionária'!C235,'Fatores de Emissão'!$B$66:$M$75,12,FALSE),"")))),"")</f>
        <v/>
      </c>
      <c r="K235" s="813" t="str">
        <f>IFERROR(VLOOKUP('Combustão Estacionária'!C235,'Fatores de Emissão'!$B$66:$M$75,8,FALSE), "")</f>
        <v/>
      </c>
      <c r="L235" s="814" t="str">
        <f t="shared" si="11"/>
        <v/>
      </c>
      <c r="M235" s="814" t="str">
        <f t="shared" si="12"/>
        <v/>
      </c>
      <c r="N235" s="685" t="str">
        <f t="shared" si="13"/>
        <v/>
      </c>
      <c r="O235" s="1080" t="str">
        <f t="shared" si="14"/>
        <v/>
      </c>
      <c r="P235" s="782"/>
    </row>
    <row r="236" spans="1:16" ht="42" hidden="1" customHeight="1" outlineLevel="2" x14ac:dyDescent="0.25">
      <c r="A236" s="811"/>
      <c r="B236" s="705"/>
      <c r="C236" s="706"/>
      <c r="D236" s="707"/>
      <c r="E236" s="812" t="str">
        <f>IF(C236="","",VLOOKUP(C236,CE!$B$55:$D$101,3,FALSE))</f>
        <v/>
      </c>
      <c r="F236" s="707"/>
      <c r="G236" s="708"/>
      <c r="H236" s="709"/>
      <c r="I236" s="709"/>
      <c r="J236" s="813" t="str">
        <f>IFERROR(IF($D$49='Fatores de Emissão'!$J$65,VLOOKUP('Combustão Estacionária'!C236,'Fatores de Emissão'!$B$66:$M$75,9,FALSE),IF($D$49='Fatores de Emissão'!$K$65,VLOOKUP('Combustão Estacionária'!C236,'Fatores de Emissão'!$B$66:$M$75,10,FALSE),IF($D$49='Fatores de Emissão'!$L$65,VLOOKUP('Combustão Estacionária'!C236,'Fatores de Emissão'!$B$66:$M$75,11,FALSE),IF($D$49='Fatores de Emissão'!$M$65,VLOOKUP('Combustão Estacionária'!C236,'Fatores de Emissão'!$B$66:$M$75,12,FALSE),"")))),"")</f>
        <v/>
      </c>
      <c r="K236" s="813" t="str">
        <f>IFERROR(VLOOKUP('Combustão Estacionária'!C236,'Fatores de Emissão'!$B$66:$M$75,8,FALSE), "")</f>
        <v/>
      </c>
      <c r="L236" s="814" t="str">
        <f t="shared" si="11"/>
        <v/>
      </c>
      <c r="M236" s="814" t="str">
        <f t="shared" si="12"/>
        <v/>
      </c>
      <c r="N236" s="685" t="str">
        <f t="shared" si="13"/>
        <v/>
      </c>
      <c r="O236" s="1080" t="str">
        <f t="shared" si="14"/>
        <v/>
      </c>
      <c r="P236" s="782"/>
    </row>
    <row r="237" spans="1:16" ht="42" hidden="1" customHeight="1" outlineLevel="2" x14ac:dyDescent="0.25">
      <c r="A237" s="811"/>
      <c r="B237" s="705"/>
      <c r="C237" s="706"/>
      <c r="D237" s="707"/>
      <c r="E237" s="812" t="str">
        <f>IF(C237="","",VLOOKUP(C237,CE!$B$55:$D$101,3,FALSE))</f>
        <v/>
      </c>
      <c r="F237" s="707"/>
      <c r="G237" s="708"/>
      <c r="H237" s="709"/>
      <c r="I237" s="709"/>
      <c r="J237" s="813" t="str">
        <f>IFERROR(IF($D$49='Fatores de Emissão'!$J$65,VLOOKUP('Combustão Estacionária'!C237,'Fatores de Emissão'!$B$66:$M$75,9,FALSE),IF($D$49='Fatores de Emissão'!$K$65,VLOOKUP('Combustão Estacionária'!C237,'Fatores de Emissão'!$B$66:$M$75,10,FALSE),IF($D$49='Fatores de Emissão'!$L$65,VLOOKUP('Combustão Estacionária'!C237,'Fatores de Emissão'!$B$66:$M$75,11,FALSE),IF($D$49='Fatores de Emissão'!$M$65,VLOOKUP('Combustão Estacionária'!C237,'Fatores de Emissão'!$B$66:$M$75,12,FALSE),"")))),"")</f>
        <v/>
      </c>
      <c r="K237" s="813" t="str">
        <f>IFERROR(VLOOKUP('Combustão Estacionária'!C237,'Fatores de Emissão'!$B$66:$M$75,8,FALSE), "")</f>
        <v/>
      </c>
      <c r="L237" s="814" t="str">
        <f t="shared" si="11"/>
        <v/>
      </c>
      <c r="M237" s="814" t="str">
        <f t="shared" si="12"/>
        <v/>
      </c>
      <c r="N237" s="685" t="str">
        <f t="shared" si="13"/>
        <v/>
      </c>
      <c r="O237" s="1080" t="str">
        <f t="shared" si="14"/>
        <v/>
      </c>
      <c r="P237" s="782"/>
    </row>
    <row r="238" spans="1:16" ht="42" hidden="1" customHeight="1" outlineLevel="2" x14ac:dyDescent="0.25">
      <c r="A238" s="811"/>
      <c r="B238" s="705"/>
      <c r="C238" s="706"/>
      <c r="D238" s="707"/>
      <c r="E238" s="812" t="str">
        <f>IF(C238="","",VLOOKUP(C238,CE!$B$55:$D$101,3,FALSE))</f>
        <v/>
      </c>
      <c r="F238" s="707"/>
      <c r="G238" s="708"/>
      <c r="H238" s="709"/>
      <c r="I238" s="709"/>
      <c r="J238" s="813" t="str">
        <f>IFERROR(IF($D$49='Fatores de Emissão'!$J$65,VLOOKUP('Combustão Estacionária'!C238,'Fatores de Emissão'!$B$66:$M$75,9,FALSE),IF($D$49='Fatores de Emissão'!$K$65,VLOOKUP('Combustão Estacionária'!C238,'Fatores de Emissão'!$B$66:$M$75,10,FALSE),IF($D$49='Fatores de Emissão'!$L$65,VLOOKUP('Combustão Estacionária'!C238,'Fatores de Emissão'!$B$66:$M$75,11,FALSE),IF($D$49='Fatores de Emissão'!$M$65,VLOOKUP('Combustão Estacionária'!C238,'Fatores de Emissão'!$B$66:$M$75,12,FALSE),"")))),"")</f>
        <v/>
      </c>
      <c r="K238" s="813" t="str">
        <f>IFERROR(VLOOKUP('Combustão Estacionária'!C238,'Fatores de Emissão'!$B$66:$M$75,8,FALSE), "")</f>
        <v/>
      </c>
      <c r="L238" s="814" t="str">
        <f t="shared" si="11"/>
        <v/>
      </c>
      <c r="M238" s="814" t="str">
        <f t="shared" si="12"/>
        <v/>
      </c>
      <c r="N238" s="685" t="str">
        <f t="shared" si="13"/>
        <v/>
      </c>
      <c r="O238" s="1080" t="str">
        <f t="shared" si="14"/>
        <v/>
      </c>
      <c r="P238" s="782"/>
    </row>
    <row r="239" spans="1:16" ht="42" hidden="1" customHeight="1" outlineLevel="2" x14ac:dyDescent="0.25">
      <c r="A239" s="811"/>
      <c r="B239" s="705"/>
      <c r="C239" s="706"/>
      <c r="D239" s="707"/>
      <c r="E239" s="812" t="str">
        <f>IF(C239="","",VLOOKUP(C239,CE!$B$55:$D$101,3,FALSE))</f>
        <v/>
      </c>
      <c r="F239" s="707"/>
      <c r="G239" s="708"/>
      <c r="H239" s="709"/>
      <c r="I239" s="709"/>
      <c r="J239" s="813" t="str">
        <f>IFERROR(IF($D$49='Fatores de Emissão'!$J$65,VLOOKUP('Combustão Estacionária'!C239,'Fatores de Emissão'!$B$66:$M$75,9,FALSE),IF($D$49='Fatores de Emissão'!$K$65,VLOOKUP('Combustão Estacionária'!C239,'Fatores de Emissão'!$B$66:$M$75,10,FALSE),IF($D$49='Fatores de Emissão'!$L$65,VLOOKUP('Combustão Estacionária'!C239,'Fatores de Emissão'!$B$66:$M$75,11,FALSE),IF($D$49='Fatores de Emissão'!$M$65,VLOOKUP('Combustão Estacionária'!C239,'Fatores de Emissão'!$B$66:$M$75,12,FALSE),"")))),"")</f>
        <v/>
      </c>
      <c r="K239" s="813" t="str">
        <f>IFERROR(VLOOKUP('Combustão Estacionária'!C239,'Fatores de Emissão'!$B$66:$M$75,8,FALSE), "")</f>
        <v/>
      </c>
      <c r="L239" s="814" t="str">
        <f t="shared" si="11"/>
        <v/>
      </c>
      <c r="M239" s="814" t="str">
        <f t="shared" si="12"/>
        <v/>
      </c>
      <c r="N239" s="685" t="str">
        <f t="shared" si="13"/>
        <v/>
      </c>
      <c r="O239" s="1080" t="str">
        <f t="shared" si="14"/>
        <v/>
      </c>
      <c r="P239" s="782"/>
    </row>
    <row r="240" spans="1:16" ht="42" hidden="1" customHeight="1" outlineLevel="2" x14ac:dyDescent="0.25">
      <c r="A240" s="811"/>
      <c r="B240" s="705"/>
      <c r="C240" s="706"/>
      <c r="D240" s="707"/>
      <c r="E240" s="812" t="str">
        <f>IF(C240="","",VLOOKUP(C240,CE!$B$55:$D$101,3,FALSE))</f>
        <v/>
      </c>
      <c r="F240" s="707"/>
      <c r="G240" s="708"/>
      <c r="H240" s="709"/>
      <c r="I240" s="709"/>
      <c r="J240" s="813" t="str">
        <f>IFERROR(IF($D$49='Fatores de Emissão'!$J$65,VLOOKUP('Combustão Estacionária'!C240,'Fatores de Emissão'!$B$66:$M$75,9,FALSE),IF($D$49='Fatores de Emissão'!$K$65,VLOOKUP('Combustão Estacionária'!C240,'Fatores de Emissão'!$B$66:$M$75,10,FALSE),IF($D$49='Fatores de Emissão'!$L$65,VLOOKUP('Combustão Estacionária'!C240,'Fatores de Emissão'!$B$66:$M$75,11,FALSE),IF($D$49='Fatores de Emissão'!$M$65,VLOOKUP('Combustão Estacionária'!C240,'Fatores de Emissão'!$B$66:$M$75,12,FALSE),"")))),"")</f>
        <v/>
      </c>
      <c r="K240" s="813" t="str">
        <f>IFERROR(VLOOKUP('Combustão Estacionária'!C240,'Fatores de Emissão'!$B$66:$M$75,8,FALSE), "")</f>
        <v/>
      </c>
      <c r="L240" s="814" t="str">
        <f t="shared" si="11"/>
        <v/>
      </c>
      <c r="M240" s="814" t="str">
        <f t="shared" si="12"/>
        <v/>
      </c>
      <c r="N240" s="685" t="str">
        <f t="shared" si="13"/>
        <v/>
      </c>
      <c r="O240" s="1080" t="str">
        <f t="shared" si="14"/>
        <v/>
      </c>
      <c r="P240" s="782"/>
    </row>
    <row r="241" spans="1:16" ht="42" hidden="1" customHeight="1" outlineLevel="2" x14ac:dyDescent="0.25">
      <c r="A241" s="811"/>
      <c r="B241" s="705"/>
      <c r="C241" s="706"/>
      <c r="D241" s="707"/>
      <c r="E241" s="812" t="str">
        <f>IF(C241="","",VLOOKUP(C241,CE!$B$55:$D$101,3,FALSE))</f>
        <v/>
      </c>
      <c r="F241" s="707"/>
      <c r="G241" s="708"/>
      <c r="H241" s="709"/>
      <c r="I241" s="709"/>
      <c r="J241" s="813" t="str">
        <f>IFERROR(IF($D$49='Fatores de Emissão'!$J$65,VLOOKUP('Combustão Estacionária'!C241,'Fatores de Emissão'!$B$66:$M$75,9,FALSE),IF($D$49='Fatores de Emissão'!$K$65,VLOOKUP('Combustão Estacionária'!C241,'Fatores de Emissão'!$B$66:$M$75,10,FALSE),IF($D$49='Fatores de Emissão'!$L$65,VLOOKUP('Combustão Estacionária'!C241,'Fatores de Emissão'!$B$66:$M$75,11,FALSE),IF($D$49='Fatores de Emissão'!$M$65,VLOOKUP('Combustão Estacionária'!C241,'Fatores de Emissão'!$B$66:$M$75,12,FALSE),"")))),"")</f>
        <v/>
      </c>
      <c r="K241" s="813" t="str">
        <f>IFERROR(VLOOKUP('Combustão Estacionária'!C241,'Fatores de Emissão'!$B$66:$M$75,8,FALSE), "")</f>
        <v/>
      </c>
      <c r="L241" s="814" t="str">
        <f t="shared" si="11"/>
        <v/>
      </c>
      <c r="M241" s="814" t="str">
        <f t="shared" si="12"/>
        <v/>
      </c>
      <c r="N241" s="685" t="str">
        <f t="shared" si="13"/>
        <v/>
      </c>
      <c r="O241" s="1080" t="str">
        <f t="shared" si="14"/>
        <v/>
      </c>
      <c r="P241" s="782"/>
    </row>
    <row r="242" spans="1:16" ht="42" hidden="1" customHeight="1" outlineLevel="2" x14ac:dyDescent="0.25">
      <c r="A242" s="811"/>
      <c r="B242" s="705"/>
      <c r="C242" s="706"/>
      <c r="D242" s="707"/>
      <c r="E242" s="812" t="str">
        <f>IF(C242="","",VLOOKUP(C242,CE!$B$55:$D$101,3,FALSE))</f>
        <v/>
      </c>
      <c r="F242" s="707"/>
      <c r="G242" s="708"/>
      <c r="H242" s="709"/>
      <c r="I242" s="709"/>
      <c r="J242" s="813" t="str">
        <f>IFERROR(IF($D$49='Fatores de Emissão'!$J$65,VLOOKUP('Combustão Estacionária'!C242,'Fatores de Emissão'!$B$66:$M$75,9,FALSE),IF($D$49='Fatores de Emissão'!$K$65,VLOOKUP('Combustão Estacionária'!C242,'Fatores de Emissão'!$B$66:$M$75,10,FALSE),IF($D$49='Fatores de Emissão'!$L$65,VLOOKUP('Combustão Estacionária'!C242,'Fatores de Emissão'!$B$66:$M$75,11,FALSE),IF($D$49='Fatores de Emissão'!$M$65,VLOOKUP('Combustão Estacionária'!C242,'Fatores de Emissão'!$B$66:$M$75,12,FALSE),"")))),"")</f>
        <v/>
      </c>
      <c r="K242" s="813" t="str">
        <f>IFERROR(VLOOKUP('Combustão Estacionária'!C242,'Fatores de Emissão'!$B$66:$M$75,8,FALSE), "")</f>
        <v/>
      </c>
      <c r="L242" s="814" t="str">
        <f t="shared" si="11"/>
        <v/>
      </c>
      <c r="M242" s="814" t="str">
        <f t="shared" si="12"/>
        <v/>
      </c>
      <c r="N242" s="685" t="str">
        <f t="shared" si="13"/>
        <v/>
      </c>
      <c r="O242" s="1080" t="str">
        <f t="shared" si="14"/>
        <v/>
      </c>
      <c r="P242" s="782"/>
    </row>
    <row r="243" spans="1:16" ht="42" hidden="1" customHeight="1" outlineLevel="2" x14ac:dyDescent="0.25">
      <c r="A243" s="811"/>
      <c r="B243" s="705"/>
      <c r="C243" s="706"/>
      <c r="D243" s="707"/>
      <c r="E243" s="812" t="str">
        <f>IF(C243="","",VLOOKUP(C243,CE!$B$55:$D$101,3,FALSE))</f>
        <v/>
      </c>
      <c r="F243" s="707"/>
      <c r="G243" s="708"/>
      <c r="H243" s="709"/>
      <c r="I243" s="709"/>
      <c r="J243" s="813" t="str">
        <f>IFERROR(IF($D$49='Fatores de Emissão'!$J$65,VLOOKUP('Combustão Estacionária'!C243,'Fatores de Emissão'!$B$66:$M$75,9,FALSE),IF($D$49='Fatores de Emissão'!$K$65,VLOOKUP('Combustão Estacionária'!C243,'Fatores de Emissão'!$B$66:$M$75,10,FALSE),IF($D$49='Fatores de Emissão'!$L$65,VLOOKUP('Combustão Estacionária'!C243,'Fatores de Emissão'!$B$66:$M$75,11,FALSE),IF($D$49='Fatores de Emissão'!$M$65,VLOOKUP('Combustão Estacionária'!C243,'Fatores de Emissão'!$B$66:$M$75,12,FALSE),"")))),"")</f>
        <v/>
      </c>
      <c r="K243" s="813" t="str">
        <f>IFERROR(VLOOKUP('Combustão Estacionária'!C243,'Fatores de Emissão'!$B$66:$M$75,8,FALSE), "")</f>
        <v/>
      </c>
      <c r="L243" s="814" t="str">
        <f t="shared" si="11"/>
        <v/>
      </c>
      <c r="M243" s="814" t="str">
        <f t="shared" si="12"/>
        <v/>
      </c>
      <c r="N243" s="685" t="str">
        <f t="shared" si="13"/>
        <v/>
      </c>
      <c r="O243" s="1080" t="str">
        <f t="shared" si="14"/>
        <v/>
      </c>
      <c r="P243" s="782"/>
    </row>
    <row r="244" spans="1:16" ht="42" hidden="1" customHeight="1" outlineLevel="2" x14ac:dyDescent="0.25">
      <c r="A244" s="811"/>
      <c r="B244" s="705"/>
      <c r="C244" s="706"/>
      <c r="D244" s="707"/>
      <c r="E244" s="812" t="str">
        <f>IF(C244="","",VLOOKUP(C244,CE!$B$55:$D$101,3,FALSE))</f>
        <v/>
      </c>
      <c r="F244" s="707"/>
      <c r="G244" s="708"/>
      <c r="H244" s="709"/>
      <c r="I244" s="709"/>
      <c r="J244" s="813" t="str">
        <f>IFERROR(IF($D$49='Fatores de Emissão'!$J$65,VLOOKUP('Combustão Estacionária'!C244,'Fatores de Emissão'!$B$66:$M$75,9,FALSE),IF($D$49='Fatores de Emissão'!$K$65,VLOOKUP('Combustão Estacionária'!C244,'Fatores de Emissão'!$B$66:$M$75,10,FALSE),IF($D$49='Fatores de Emissão'!$L$65,VLOOKUP('Combustão Estacionária'!C244,'Fatores de Emissão'!$B$66:$M$75,11,FALSE),IF($D$49='Fatores de Emissão'!$M$65,VLOOKUP('Combustão Estacionária'!C244,'Fatores de Emissão'!$B$66:$M$75,12,FALSE),"")))),"")</f>
        <v/>
      </c>
      <c r="K244" s="813" t="str">
        <f>IFERROR(VLOOKUP('Combustão Estacionária'!C244,'Fatores de Emissão'!$B$66:$M$75,8,FALSE), "")</f>
        <v/>
      </c>
      <c r="L244" s="814" t="str">
        <f t="shared" si="11"/>
        <v/>
      </c>
      <c r="M244" s="814" t="str">
        <f t="shared" si="12"/>
        <v/>
      </c>
      <c r="N244" s="685" t="str">
        <f t="shared" si="13"/>
        <v/>
      </c>
      <c r="O244" s="1080" t="str">
        <f t="shared" si="14"/>
        <v/>
      </c>
      <c r="P244" s="782"/>
    </row>
    <row r="245" spans="1:16" ht="42" hidden="1" customHeight="1" outlineLevel="2" x14ac:dyDescent="0.25">
      <c r="A245" s="811"/>
      <c r="B245" s="705"/>
      <c r="C245" s="706"/>
      <c r="D245" s="707"/>
      <c r="E245" s="812" t="str">
        <f>IF(C245="","",VLOOKUP(C245,CE!$B$55:$D$101,3,FALSE))</f>
        <v/>
      </c>
      <c r="F245" s="707"/>
      <c r="G245" s="708"/>
      <c r="H245" s="709"/>
      <c r="I245" s="709"/>
      <c r="J245" s="813" t="str">
        <f>IFERROR(IF($D$49='Fatores de Emissão'!$J$65,VLOOKUP('Combustão Estacionária'!C245,'Fatores de Emissão'!$B$66:$M$75,9,FALSE),IF($D$49='Fatores de Emissão'!$K$65,VLOOKUP('Combustão Estacionária'!C245,'Fatores de Emissão'!$B$66:$M$75,10,FALSE),IF($D$49='Fatores de Emissão'!$L$65,VLOOKUP('Combustão Estacionária'!C245,'Fatores de Emissão'!$B$66:$M$75,11,FALSE),IF($D$49='Fatores de Emissão'!$M$65,VLOOKUP('Combustão Estacionária'!C245,'Fatores de Emissão'!$B$66:$M$75,12,FALSE),"")))),"")</f>
        <v/>
      </c>
      <c r="K245" s="813" t="str">
        <f>IFERROR(VLOOKUP('Combustão Estacionária'!C245,'Fatores de Emissão'!$B$66:$M$75,8,FALSE), "")</f>
        <v/>
      </c>
      <c r="L245" s="814" t="str">
        <f t="shared" si="11"/>
        <v/>
      </c>
      <c r="M245" s="814" t="str">
        <f t="shared" si="12"/>
        <v/>
      </c>
      <c r="N245" s="685" t="str">
        <f t="shared" si="13"/>
        <v/>
      </c>
      <c r="O245" s="1080" t="str">
        <f t="shared" si="14"/>
        <v/>
      </c>
      <c r="P245" s="782"/>
    </row>
    <row r="246" spans="1:16" ht="42" hidden="1" customHeight="1" outlineLevel="2" x14ac:dyDescent="0.25">
      <c r="A246" s="811"/>
      <c r="B246" s="705"/>
      <c r="C246" s="706"/>
      <c r="D246" s="707"/>
      <c r="E246" s="812" t="str">
        <f>IF(C246="","",VLOOKUP(C246,CE!$B$55:$D$101,3,FALSE))</f>
        <v/>
      </c>
      <c r="F246" s="707"/>
      <c r="G246" s="708"/>
      <c r="H246" s="709"/>
      <c r="I246" s="709"/>
      <c r="J246" s="813" t="str">
        <f>IFERROR(IF($D$49='Fatores de Emissão'!$J$65,VLOOKUP('Combustão Estacionária'!C246,'Fatores de Emissão'!$B$66:$M$75,9,FALSE),IF($D$49='Fatores de Emissão'!$K$65,VLOOKUP('Combustão Estacionária'!C246,'Fatores de Emissão'!$B$66:$M$75,10,FALSE),IF($D$49='Fatores de Emissão'!$L$65,VLOOKUP('Combustão Estacionária'!C246,'Fatores de Emissão'!$B$66:$M$75,11,FALSE),IF($D$49='Fatores de Emissão'!$M$65,VLOOKUP('Combustão Estacionária'!C246,'Fatores de Emissão'!$B$66:$M$75,12,FALSE),"")))),"")</f>
        <v/>
      </c>
      <c r="K246" s="813" t="str">
        <f>IFERROR(VLOOKUP('Combustão Estacionária'!C246,'Fatores de Emissão'!$B$66:$M$75,8,FALSE), "")</f>
        <v/>
      </c>
      <c r="L246" s="814" t="str">
        <f t="shared" si="11"/>
        <v/>
      </c>
      <c r="M246" s="814" t="str">
        <f t="shared" si="12"/>
        <v/>
      </c>
      <c r="N246" s="685" t="str">
        <f t="shared" si="13"/>
        <v/>
      </c>
      <c r="O246" s="1080" t="str">
        <f t="shared" si="14"/>
        <v/>
      </c>
      <c r="P246" s="782"/>
    </row>
    <row r="247" spans="1:16" ht="42" hidden="1" customHeight="1" outlineLevel="2" x14ac:dyDescent="0.25">
      <c r="A247" s="811"/>
      <c r="B247" s="705"/>
      <c r="C247" s="706"/>
      <c r="D247" s="707"/>
      <c r="E247" s="812" t="str">
        <f>IF(C247="","",VLOOKUP(C247,CE!$B$55:$D$101,3,FALSE))</f>
        <v/>
      </c>
      <c r="F247" s="707"/>
      <c r="G247" s="708"/>
      <c r="H247" s="709"/>
      <c r="I247" s="709"/>
      <c r="J247" s="813" t="str">
        <f>IFERROR(IF($D$49='Fatores de Emissão'!$J$65,VLOOKUP('Combustão Estacionária'!C247,'Fatores de Emissão'!$B$66:$M$75,9,FALSE),IF($D$49='Fatores de Emissão'!$K$65,VLOOKUP('Combustão Estacionária'!C247,'Fatores de Emissão'!$B$66:$M$75,10,FALSE),IF($D$49='Fatores de Emissão'!$L$65,VLOOKUP('Combustão Estacionária'!C247,'Fatores de Emissão'!$B$66:$M$75,11,FALSE),IF($D$49='Fatores de Emissão'!$M$65,VLOOKUP('Combustão Estacionária'!C247,'Fatores de Emissão'!$B$66:$M$75,12,FALSE),"")))),"")</f>
        <v/>
      </c>
      <c r="K247" s="813" t="str">
        <f>IFERROR(VLOOKUP('Combustão Estacionária'!C247,'Fatores de Emissão'!$B$66:$M$75,8,FALSE), "")</f>
        <v/>
      </c>
      <c r="L247" s="814" t="str">
        <f t="shared" si="11"/>
        <v/>
      </c>
      <c r="M247" s="814" t="str">
        <f t="shared" si="12"/>
        <v/>
      </c>
      <c r="N247" s="685" t="str">
        <f t="shared" si="13"/>
        <v/>
      </c>
      <c r="O247" s="1080" t="str">
        <f t="shared" si="14"/>
        <v/>
      </c>
      <c r="P247" s="782"/>
    </row>
    <row r="248" spans="1:16" ht="42" hidden="1" customHeight="1" outlineLevel="2" x14ac:dyDescent="0.25">
      <c r="A248" s="811"/>
      <c r="B248" s="705"/>
      <c r="C248" s="706"/>
      <c r="D248" s="707"/>
      <c r="E248" s="812" t="str">
        <f>IF(C248="","",VLOOKUP(C248,CE!$B$55:$D$101,3,FALSE))</f>
        <v/>
      </c>
      <c r="F248" s="707"/>
      <c r="G248" s="708"/>
      <c r="H248" s="709"/>
      <c r="I248" s="709"/>
      <c r="J248" s="813" t="str">
        <f>IFERROR(IF($D$49='Fatores de Emissão'!$J$65,VLOOKUP('Combustão Estacionária'!C248,'Fatores de Emissão'!$B$66:$M$75,9,FALSE),IF($D$49='Fatores de Emissão'!$K$65,VLOOKUP('Combustão Estacionária'!C248,'Fatores de Emissão'!$B$66:$M$75,10,FALSE),IF($D$49='Fatores de Emissão'!$L$65,VLOOKUP('Combustão Estacionária'!C248,'Fatores de Emissão'!$B$66:$M$75,11,FALSE),IF($D$49='Fatores de Emissão'!$M$65,VLOOKUP('Combustão Estacionária'!C248,'Fatores de Emissão'!$B$66:$M$75,12,FALSE),"")))),"")</f>
        <v/>
      </c>
      <c r="K248" s="813" t="str">
        <f>IFERROR(VLOOKUP('Combustão Estacionária'!C248,'Fatores de Emissão'!$B$66:$M$75,8,FALSE), "")</f>
        <v/>
      </c>
      <c r="L248" s="814" t="str">
        <f t="shared" ref="L248:L283" si="15">IFERROR(J248*D248,"")</f>
        <v/>
      </c>
      <c r="M248" s="814" t="str">
        <f t="shared" ref="M248:M283" si="16">IFERROR(K248*D248,"")</f>
        <v/>
      </c>
      <c r="N248" s="685" t="str">
        <f t="shared" ref="N248:N283" si="17">IFERROR(IF(H248="","",H248*D248),"")</f>
        <v/>
      </c>
      <c r="O248" s="1080" t="str">
        <f t="shared" ref="O248:O283" si="18">IF(D248="","",IFERROR(D248*1,"Erro, confira o valor do consumo médio annual esperado"))</f>
        <v/>
      </c>
      <c r="P248" s="782"/>
    </row>
    <row r="249" spans="1:16" ht="42" hidden="1" customHeight="1" outlineLevel="2" x14ac:dyDescent="0.25">
      <c r="A249" s="811"/>
      <c r="B249" s="705"/>
      <c r="C249" s="706"/>
      <c r="D249" s="707"/>
      <c r="E249" s="812" t="str">
        <f>IF(C249="","",VLOOKUP(C249,CE!$B$55:$D$101,3,FALSE))</f>
        <v/>
      </c>
      <c r="F249" s="707"/>
      <c r="G249" s="708"/>
      <c r="H249" s="709"/>
      <c r="I249" s="709"/>
      <c r="J249" s="813" t="str">
        <f>IFERROR(IF($D$49='Fatores de Emissão'!$J$65,VLOOKUP('Combustão Estacionária'!C249,'Fatores de Emissão'!$B$66:$M$75,9,FALSE),IF($D$49='Fatores de Emissão'!$K$65,VLOOKUP('Combustão Estacionária'!C249,'Fatores de Emissão'!$B$66:$M$75,10,FALSE),IF($D$49='Fatores de Emissão'!$L$65,VLOOKUP('Combustão Estacionária'!C249,'Fatores de Emissão'!$B$66:$M$75,11,FALSE),IF($D$49='Fatores de Emissão'!$M$65,VLOOKUP('Combustão Estacionária'!C249,'Fatores de Emissão'!$B$66:$M$75,12,FALSE),"")))),"")</f>
        <v/>
      </c>
      <c r="K249" s="813" t="str">
        <f>IFERROR(VLOOKUP('Combustão Estacionária'!C249,'Fatores de Emissão'!$B$66:$M$75,8,FALSE), "")</f>
        <v/>
      </c>
      <c r="L249" s="814" t="str">
        <f t="shared" si="15"/>
        <v/>
      </c>
      <c r="M249" s="814" t="str">
        <f t="shared" si="16"/>
        <v/>
      </c>
      <c r="N249" s="685" t="str">
        <f t="shared" si="17"/>
        <v/>
      </c>
      <c r="O249" s="1080" t="str">
        <f t="shared" si="18"/>
        <v/>
      </c>
      <c r="P249" s="782"/>
    </row>
    <row r="250" spans="1:16" ht="42" hidden="1" customHeight="1" outlineLevel="2" x14ac:dyDescent="0.25">
      <c r="A250" s="811"/>
      <c r="B250" s="705"/>
      <c r="C250" s="706"/>
      <c r="D250" s="707"/>
      <c r="E250" s="812" t="str">
        <f>IF(C250="","",VLOOKUP(C250,CE!$B$55:$D$101,3,FALSE))</f>
        <v/>
      </c>
      <c r="F250" s="707"/>
      <c r="G250" s="708"/>
      <c r="H250" s="709"/>
      <c r="I250" s="709"/>
      <c r="J250" s="813" t="str">
        <f>IFERROR(IF($D$49='Fatores de Emissão'!$J$65,VLOOKUP('Combustão Estacionária'!C250,'Fatores de Emissão'!$B$66:$M$75,9,FALSE),IF($D$49='Fatores de Emissão'!$K$65,VLOOKUP('Combustão Estacionária'!C250,'Fatores de Emissão'!$B$66:$M$75,10,FALSE),IF($D$49='Fatores de Emissão'!$L$65,VLOOKUP('Combustão Estacionária'!C250,'Fatores de Emissão'!$B$66:$M$75,11,FALSE),IF($D$49='Fatores de Emissão'!$M$65,VLOOKUP('Combustão Estacionária'!C250,'Fatores de Emissão'!$B$66:$M$75,12,FALSE),"")))),"")</f>
        <v/>
      </c>
      <c r="K250" s="813" t="str">
        <f>IFERROR(VLOOKUP('Combustão Estacionária'!C250,'Fatores de Emissão'!$B$66:$M$75,8,FALSE), "")</f>
        <v/>
      </c>
      <c r="L250" s="814" t="str">
        <f t="shared" si="15"/>
        <v/>
      </c>
      <c r="M250" s="814" t="str">
        <f t="shared" si="16"/>
        <v/>
      </c>
      <c r="N250" s="685" t="str">
        <f t="shared" si="17"/>
        <v/>
      </c>
      <c r="O250" s="1080" t="str">
        <f t="shared" si="18"/>
        <v/>
      </c>
      <c r="P250" s="782"/>
    </row>
    <row r="251" spans="1:16" ht="42" hidden="1" customHeight="1" outlineLevel="2" x14ac:dyDescent="0.25">
      <c r="A251" s="811"/>
      <c r="B251" s="705"/>
      <c r="C251" s="706"/>
      <c r="D251" s="707"/>
      <c r="E251" s="812" t="str">
        <f>IF(C251="","",VLOOKUP(C251,CE!$B$55:$D$101,3,FALSE))</f>
        <v/>
      </c>
      <c r="F251" s="707"/>
      <c r="G251" s="708"/>
      <c r="H251" s="709"/>
      <c r="I251" s="709"/>
      <c r="J251" s="813" t="str">
        <f>IFERROR(IF($D$49='Fatores de Emissão'!$J$65,VLOOKUP('Combustão Estacionária'!C251,'Fatores de Emissão'!$B$66:$M$75,9,FALSE),IF($D$49='Fatores de Emissão'!$K$65,VLOOKUP('Combustão Estacionária'!C251,'Fatores de Emissão'!$B$66:$M$75,10,FALSE),IF($D$49='Fatores de Emissão'!$L$65,VLOOKUP('Combustão Estacionária'!C251,'Fatores de Emissão'!$B$66:$M$75,11,FALSE),IF($D$49='Fatores de Emissão'!$M$65,VLOOKUP('Combustão Estacionária'!C251,'Fatores de Emissão'!$B$66:$M$75,12,FALSE),"")))),"")</f>
        <v/>
      </c>
      <c r="K251" s="813" t="str">
        <f>IFERROR(VLOOKUP('Combustão Estacionária'!C251,'Fatores de Emissão'!$B$66:$M$75,8,FALSE), "")</f>
        <v/>
      </c>
      <c r="L251" s="814" t="str">
        <f t="shared" si="15"/>
        <v/>
      </c>
      <c r="M251" s="814" t="str">
        <f t="shared" si="16"/>
        <v/>
      </c>
      <c r="N251" s="685" t="str">
        <f t="shared" si="17"/>
        <v/>
      </c>
      <c r="O251" s="1080" t="str">
        <f t="shared" si="18"/>
        <v/>
      </c>
      <c r="P251" s="782"/>
    </row>
    <row r="252" spans="1:16" ht="42" hidden="1" customHeight="1" outlineLevel="2" x14ac:dyDescent="0.25">
      <c r="A252" s="811"/>
      <c r="B252" s="705"/>
      <c r="C252" s="706"/>
      <c r="D252" s="707"/>
      <c r="E252" s="812" t="str">
        <f>IF(C252="","",VLOOKUP(C252,CE!$B$55:$D$101,3,FALSE))</f>
        <v/>
      </c>
      <c r="F252" s="707"/>
      <c r="G252" s="708"/>
      <c r="H252" s="709"/>
      <c r="I252" s="709"/>
      <c r="J252" s="813" t="str">
        <f>IFERROR(IF($D$49='Fatores de Emissão'!$J$65,VLOOKUP('Combustão Estacionária'!C252,'Fatores de Emissão'!$B$66:$M$75,9,FALSE),IF($D$49='Fatores de Emissão'!$K$65,VLOOKUP('Combustão Estacionária'!C252,'Fatores de Emissão'!$B$66:$M$75,10,FALSE),IF($D$49='Fatores de Emissão'!$L$65,VLOOKUP('Combustão Estacionária'!C252,'Fatores de Emissão'!$B$66:$M$75,11,FALSE),IF($D$49='Fatores de Emissão'!$M$65,VLOOKUP('Combustão Estacionária'!C252,'Fatores de Emissão'!$B$66:$M$75,12,FALSE),"")))),"")</f>
        <v/>
      </c>
      <c r="K252" s="813" t="str">
        <f>IFERROR(VLOOKUP('Combustão Estacionária'!C252,'Fatores de Emissão'!$B$66:$M$75,8,FALSE), "")</f>
        <v/>
      </c>
      <c r="L252" s="814" t="str">
        <f t="shared" si="15"/>
        <v/>
      </c>
      <c r="M252" s="814" t="str">
        <f t="shared" si="16"/>
        <v/>
      </c>
      <c r="N252" s="685" t="str">
        <f t="shared" si="17"/>
        <v/>
      </c>
      <c r="O252" s="1080" t="str">
        <f t="shared" si="18"/>
        <v/>
      </c>
      <c r="P252" s="782"/>
    </row>
    <row r="253" spans="1:16" ht="42" hidden="1" customHeight="1" outlineLevel="2" x14ac:dyDescent="0.25">
      <c r="A253" s="811"/>
      <c r="B253" s="705"/>
      <c r="C253" s="706"/>
      <c r="D253" s="707"/>
      <c r="E253" s="812" t="str">
        <f>IF(C253="","",VLOOKUP(C253,CE!$B$55:$D$101,3,FALSE))</f>
        <v/>
      </c>
      <c r="F253" s="707"/>
      <c r="G253" s="708"/>
      <c r="H253" s="709"/>
      <c r="I253" s="709"/>
      <c r="J253" s="813" t="str">
        <f>IFERROR(IF($D$49='Fatores de Emissão'!$J$65,VLOOKUP('Combustão Estacionária'!C253,'Fatores de Emissão'!$B$66:$M$75,9,FALSE),IF($D$49='Fatores de Emissão'!$K$65,VLOOKUP('Combustão Estacionária'!C253,'Fatores de Emissão'!$B$66:$M$75,10,FALSE),IF($D$49='Fatores de Emissão'!$L$65,VLOOKUP('Combustão Estacionária'!C253,'Fatores de Emissão'!$B$66:$M$75,11,FALSE),IF($D$49='Fatores de Emissão'!$M$65,VLOOKUP('Combustão Estacionária'!C253,'Fatores de Emissão'!$B$66:$M$75,12,FALSE),"")))),"")</f>
        <v/>
      </c>
      <c r="K253" s="813" t="str">
        <f>IFERROR(VLOOKUP('Combustão Estacionária'!C253,'Fatores de Emissão'!$B$66:$M$75,8,FALSE), "")</f>
        <v/>
      </c>
      <c r="L253" s="814" t="str">
        <f t="shared" si="15"/>
        <v/>
      </c>
      <c r="M253" s="814" t="str">
        <f t="shared" si="16"/>
        <v/>
      </c>
      <c r="N253" s="685" t="str">
        <f t="shared" si="17"/>
        <v/>
      </c>
      <c r="O253" s="1080" t="str">
        <f t="shared" si="18"/>
        <v/>
      </c>
      <c r="P253" s="782"/>
    </row>
    <row r="254" spans="1:16" ht="42" hidden="1" customHeight="1" outlineLevel="2" x14ac:dyDescent="0.25">
      <c r="A254" s="811"/>
      <c r="B254" s="705"/>
      <c r="C254" s="706"/>
      <c r="D254" s="707"/>
      <c r="E254" s="812" t="str">
        <f>IF(C254="","",VLOOKUP(C254,CE!$B$55:$D$101,3,FALSE))</f>
        <v/>
      </c>
      <c r="F254" s="707"/>
      <c r="G254" s="708"/>
      <c r="H254" s="709"/>
      <c r="I254" s="709"/>
      <c r="J254" s="813" t="str">
        <f>IFERROR(IF($D$49='Fatores de Emissão'!$J$65,VLOOKUP('Combustão Estacionária'!C254,'Fatores de Emissão'!$B$66:$M$75,9,FALSE),IF($D$49='Fatores de Emissão'!$K$65,VLOOKUP('Combustão Estacionária'!C254,'Fatores de Emissão'!$B$66:$M$75,10,FALSE),IF($D$49='Fatores de Emissão'!$L$65,VLOOKUP('Combustão Estacionária'!C254,'Fatores de Emissão'!$B$66:$M$75,11,FALSE),IF($D$49='Fatores de Emissão'!$M$65,VLOOKUP('Combustão Estacionária'!C254,'Fatores de Emissão'!$B$66:$M$75,12,FALSE),"")))),"")</f>
        <v/>
      </c>
      <c r="K254" s="813" t="str">
        <f>IFERROR(VLOOKUP('Combustão Estacionária'!C254,'Fatores de Emissão'!$B$66:$M$75,8,FALSE), "")</f>
        <v/>
      </c>
      <c r="L254" s="814" t="str">
        <f t="shared" si="15"/>
        <v/>
      </c>
      <c r="M254" s="814" t="str">
        <f t="shared" si="16"/>
        <v/>
      </c>
      <c r="N254" s="685" t="str">
        <f t="shared" si="17"/>
        <v/>
      </c>
      <c r="O254" s="1080" t="str">
        <f t="shared" si="18"/>
        <v/>
      </c>
      <c r="P254" s="782"/>
    </row>
    <row r="255" spans="1:16" ht="42" hidden="1" customHeight="1" outlineLevel="2" x14ac:dyDescent="0.25">
      <c r="A255" s="811"/>
      <c r="B255" s="705"/>
      <c r="C255" s="706"/>
      <c r="D255" s="707"/>
      <c r="E255" s="812" t="str">
        <f>IF(C255="","",VLOOKUP(C255,CE!$B$55:$D$101,3,FALSE))</f>
        <v/>
      </c>
      <c r="F255" s="707"/>
      <c r="G255" s="708"/>
      <c r="H255" s="709"/>
      <c r="I255" s="709"/>
      <c r="J255" s="813" t="str">
        <f>IFERROR(IF($D$49='Fatores de Emissão'!$J$65,VLOOKUP('Combustão Estacionária'!C255,'Fatores de Emissão'!$B$66:$M$75,9,FALSE),IF($D$49='Fatores de Emissão'!$K$65,VLOOKUP('Combustão Estacionária'!C255,'Fatores de Emissão'!$B$66:$M$75,10,FALSE),IF($D$49='Fatores de Emissão'!$L$65,VLOOKUP('Combustão Estacionária'!C255,'Fatores de Emissão'!$B$66:$M$75,11,FALSE),IF($D$49='Fatores de Emissão'!$M$65,VLOOKUP('Combustão Estacionária'!C255,'Fatores de Emissão'!$B$66:$M$75,12,FALSE),"")))),"")</f>
        <v/>
      </c>
      <c r="K255" s="813" t="str">
        <f>IFERROR(VLOOKUP('Combustão Estacionária'!C255,'Fatores de Emissão'!$B$66:$M$75,8,FALSE), "")</f>
        <v/>
      </c>
      <c r="L255" s="814" t="str">
        <f t="shared" si="15"/>
        <v/>
      </c>
      <c r="M255" s="814" t="str">
        <f t="shared" si="16"/>
        <v/>
      </c>
      <c r="N255" s="685" t="str">
        <f t="shared" si="17"/>
        <v/>
      </c>
      <c r="O255" s="1080" t="str">
        <f t="shared" si="18"/>
        <v/>
      </c>
      <c r="P255" s="782"/>
    </row>
    <row r="256" spans="1:16" ht="42" hidden="1" customHeight="1" outlineLevel="2" x14ac:dyDescent="0.25">
      <c r="A256" s="811"/>
      <c r="B256" s="705"/>
      <c r="C256" s="706"/>
      <c r="D256" s="707"/>
      <c r="E256" s="812" t="str">
        <f>IF(C256="","",VLOOKUP(C256,CE!$B$55:$D$101,3,FALSE))</f>
        <v/>
      </c>
      <c r="F256" s="707"/>
      <c r="G256" s="708"/>
      <c r="H256" s="709"/>
      <c r="I256" s="709"/>
      <c r="J256" s="813" t="str">
        <f>IFERROR(IF($D$49='Fatores de Emissão'!$J$65,VLOOKUP('Combustão Estacionária'!C256,'Fatores de Emissão'!$B$66:$M$75,9,FALSE),IF($D$49='Fatores de Emissão'!$K$65,VLOOKUP('Combustão Estacionária'!C256,'Fatores de Emissão'!$B$66:$M$75,10,FALSE),IF($D$49='Fatores de Emissão'!$L$65,VLOOKUP('Combustão Estacionária'!C256,'Fatores de Emissão'!$B$66:$M$75,11,FALSE),IF($D$49='Fatores de Emissão'!$M$65,VLOOKUP('Combustão Estacionária'!C256,'Fatores de Emissão'!$B$66:$M$75,12,FALSE),"")))),"")</f>
        <v/>
      </c>
      <c r="K256" s="813" t="str">
        <f>IFERROR(VLOOKUP('Combustão Estacionária'!C256,'Fatores de Emissão'!$B$66:$M$75,8,FALSE), "")</f>
        <v/>
      </c>
      <c r="L256" s="814" t="str">
        <f t="shared" si="15"/>
        <v/>
      </c>
      <c r="M256" s="814" t="str">
        <f t="shared" si="16"/>
        <v/>
      </c>
      <c r="N256" s="685" t="str">
        <f t="shared" si="17"/>
        <v/>
      </c>
      <c r="O256" s="1080" t="str">
        <f t="shared" si="18"/>
        <v/>
      </c>
      <c r="P256" s="782"/>
    </row>
    <row r="257" spans="1:16" ht="42" hidden="1" customHeight="1" outlineLevel="2" x14ac:dyDescent="0.25">
      <c r="A257" s="811"/>
      <c r="B257" s="705"/>
      <c r="C257" s="706"/>
      <c r="D257" s="707"/>
      <c r="E257" s="812" t="str">
        <f>IF(C257="","",VLOOKUP(C257,CE!$B$55:$D$101,3,FALSE))</f>
        <v/>
      </c>
      <c r="F257" s="707"/>
      <c r="G257" s="708"/>
      <c r="H257" s="709"/>
      <c r="I257" s="709"/>
      <c r="J257" s="813" t="str">
        <f>IFERROR(IF($D$49='Fatores de Emissão'!$J$65,VLOOKUP('Combustão Estacionária'!C257,'Fatores de Emissão'!$B$66:$M$75,9,FALSE),IF($D$49='Fatores de Emissão'!$K$65,VLOOKUP('Combustão Estacionária'!C257,'Fatores de Emissão'!$B$66:$M$75,10,FALSE),IF($D$49='Fatores de Emissão'!$L$65,VLOOKUP('Combustão Estacionária'!C257,'Fatores de Emissão'!$B$66:$M$75,11,FALSE),IF($D$49='Fatores de Emissão'!$M$65,VLOOKUP('Combustão Estacionária'!C257,'Fatores de Emissão'!$B$66:$M$75,12,FALSE),"")))),"")</f>
        <v/>
      </c>
      <c r="K257" s="813" t="str">
        <f>IFERROR(VLOOKUP('Combustão Estacionária'!C257,'Fatores de Emissão'!$B$66:$M$75,8,FALSE), "")</f>
        <v/>
      </c>
      <c r="L257" s="814" t="str">
        <f t="shared" si="15"/>
        <v/>
      </c>
      <c r="M257" s="814" t="str">
        <f t="shared" si="16"/>
        <v/>
      </c>
      <c r="N257" s="685" t="str">
        <f t="shared" si="17"/>
        <v/>
      </c>
      <c r="O257" s="1080" t="str">
        <f t="shared" si="18"/>
        <v/>
      </c>
      <c r="P257" s="782"/>
    </row>
    <row r="258" spans="1:16" ht="42" hidden="1" customHeight="1" outlineLevel="2" x14ac:dyDescent="0.25">
      <c r="A258" s="811"/>
      <c r="B258" s="705"/>
      <c r="C258" s="706"/>
      <c r="D258" s="707"/>
      <c r="E258" s="812" t="str">
        <f>IF(C258="","",VLOOKUP(C258,CE!$B$55:$D$101,3,FALSE))</f>
        <v/>
      </c>
      <c r="F258" s="707"/>
      <c r="G258" s="708"/>
      <c r="H258" s="709"/>
      <c r="I258" s="709"/>
      <c r="J258" s="813" t="str">
        <f>IFERROR(IF($D$49='Fatores de Emissão'!$J$65,VLOOKUP('Combustão Estacionária'!C258,'Fatores de Emissão'!$B$66:$M$75,9,FALSE),IF($D$49='Fatores de Emissão'!$K$65,VLOOKUP('Combustão Estacionária'!C258,'Fatores de Emissão'!$B$66:$M$75,10,FALSE),IF($D$49='Fatores de Emissão'!$L$65,VLOOKUP('Combustão Estacionária'!C258,'Fatores de Emissão'!$B$66:$M$75,11,FALSE),IF($D$49='Fatores de Emissão'!$M$65,VLOOKUP('Combustão Estacionária'!C258,'Fatores de Emissão'!$B$66:$M$75,12,FALSE),"")))),"")</f>
        <v/>
      </c>
      <c r="K258" s="813" t="str">
        <f>IFERROR(VLOOKUP('Combustão Estacionária'!C258,'Fatores de Emissão'!$B$66:$M$75,8,FALSE), "")</f>
        <v/>
      </c>
      <c r="L258" s="814" t="str">
        <f t="shared" si="15"/>
        <v/>
      </c>
      <c r="M258" s="814" t="str">
        <f t="shared" si="16"/>
        <v/>
      </c>
      <c r="N258" s="685" t="str">
        <f t="shared" si="17"/>
        <v/>
      </c>
      <c r="O258" s="1080" t="str">
        <f t="shared" si="18"/>
        <v/>
      </c>
      <c r="P258" s="782"/>
    </row>
    <row r="259" spans="1:16" ht="42" hidden="1" customHeight="1" outlineLevel="2" x14ac:dyDescent="0.25">
      <c r="A259" s="811"/>
      <c r="B259" s="705"/>
      <c r="C259" s="706"/>
      <c r="D259" s="707"/>
      <c r="E259" s="812" t="str">
        <f>IF(C259="","",VLOOKUP(C259,CE!$B$55:$D$101,3,FALSE))</f>
        <v/>
      </c>
      <c r="F259" s="707"/>
      <c r="G259" s="708"/>
      <c r="H259" s="709"/>
      <c r="I259" s="709"/>
      <c r="J259" s="813" t="str">
        <f>IFERROR(IF($D$49='Fatores de Emissão'!$J$65,VLOOKUP('Combustão Estacionária'!C259,'Fatores de Emissão'!$B$66:$M$75,9,FALSE),IF($D$49='Fatores de Emissão'!$K$65,VLOOKUP('Combustão Estacionária'!C259,'Fatores de Emissão'!$B$66:$M$75,10,FALSE),IF($D$49='Fatores de Emissão'!$L$65,VLOOKUP('Combustão Estacionária'!C259,'Fatores de Emissão'!$B$66:$M$75,11,FALSE),IF($D$49='Fatores de Emissão'!$M$65,VLOOKUP('Combustão Estacionária'!C259,'Fatores de Emissão'!$B$66:$M$75,12,FALSE),"")))),"")</f>
        <v/>
      </c>
      <c r="K259" s="813" t="str">
        <f>IFERROR(VLOOKUP('Combustão Estacionária'!C259,'Fatores de Emissão'!$B$66:$M$75,8,FALSE), "")</f>
        <v/>
      </c>
      <c r="L259" s="814" t="str">
        <f t="shared" si="15"/>
        <v/>
      </c>
      <c r="M259" s="814" t="str">
        <f t="shared" si="16"/>
        <v/>
      </c>
      <c r="N259" s="685" t="str">
        <f t="shared" si="17"/>
        <v/>
      </c>
      <c r="O259" s="1080" t="str">
        <f t="shared" si="18"/>
        <v/>
      </c>
      <c r="P259" s="782"/>
    </row>
    <row r="260" spans="1:16" ht="42" hidden="1" customHeight="1" outlineLevel="2" x14ac:dyDescent="0.25">
      <c r="A260" s="811"/>
      <c r="B260" s="705"/>
      <c r="C260" s="706"/>
      <c r="D260" s="707"/>
      <c r="E260" s="812" t="str">
        <f>IF(C260="","",VLOOKUP(C260,CE!$B$55:$D$101,3,FALSE))</f>
        <v/>
      </c>
      <c r="F260" s="707"/>
      <c r="G260" s="708"/>
      <c r="H260" s="709"/>
      <c r="I260" s="709"/>
      <c r="J260" s="813" t="str">
        <f>IFERROR(IF($D$49='Fatores de Emissão'!$J$65,VLOOKUP('Combustão Estacionária'!C260,'Fatores de Emissão'!$B$66:$M$75,9,FALSE),IF($D$49='Fatores de Emissão'!$K$65,VLOOKUP('Combustão Estacionária'!C260,'Fatores de Emissão'!$B$66:$M$75,10,FALSE),IF($D$49='Fatores de Emissão'!$L$65,VLOOKUP('Combustão Estacionária'!C260,'Fatores de Emissão'!$B$66:$M$75,11,FALSE),IF($D$49='Fatores de Emissão'!$M$65,VLOOKUP('Combustão Estacionária'!C260,'Fatores de Emissão'!$B$66:$M$75,12,FALSE),"")))),"")</f>
        <v/>
      </c>
      <c r="K260" s="813" t="str">
        <f>IFERROR(VLOOKUP('Combustão Estacionária'!C260,'Fatores de Emissão'!$B$66:$M$75,8,FALSE), "")</f>
        <v/>
      </c>
      <c r="L260" s="814" t="str">
        <f t="shared" si="15"/>
        <v/>
      </c>
      <c r="M260" s="814" t="str">
        <f t="shared" si="16"/>
        <v/>
      </c>
      <c r="N260" s="685" t="str">
        <f t="shared" si="17"/>
        <v/>
      </c>
      <c r="O260" s="1080" t="str">
        <f t="shared" si="18"/>
        <v/>
      </c>
      <c r="P260" s="782"/>
    </row>
    <row r="261" spans="1:16" ht="42" hidden="1" customHeight="1" outlineLevel="2" x14ac:dyDescent="0.25">
      <c r="A261" s="811"/>
      <c r="B261" s="705"/>
      <c r="C261" s="706"/>
      <c r="D261" s="707"/>
      <c r="E261" s="812" t="str">
        <f>IF(C261="","",VLOOKUP(C261,CE!$B$55:$D$101,3,FALSE))</f>
        <v/>
      </c>
      <c r="F261" s="707"/>
      <c r="G261" s="708"/>
      <c r="H261" s="709"/>
      <c r="I261" s="709"/>
      <c r="J261" s="813" t="str">
        <f>IFERROR(IF($D$49='Fatores de Emissão'!$J$65,VLOOKUP('Combustão Estacionária'!C261,'Fatores de Emissão'!$B$66:$M$75,9,FALSE),IF($D$49='Fatores de Emissão'!$K$65,VLOOKUP('Combustão Estacionária'!C261,'Fatores de Emissão'!$B$66:$M$75,10,FALSE),IF($D$49='Fatores de Emissão'!$L$65,VLOOKUP('Combustão Estacionária'!C261,'Fatores de Emissão'!$B$66:$M$75,11,FALSE),IF($D$49='Fatores de Emissão'!$M$65,VLOOKUP('Combustão Estacionária'!C261,'Fatores de Emissão'!$B$66:$M$75,12,FALSE),"")))),"")</f>
        <v/>
      </c>
      <c r="K261" s="813" t="str">
        <f>IFERROR(VLOOKUP('Combustão Estacionária'!C261,'Fatores de Emissão'!$B$66:$M$75,8,FALSE), "")</f>
        <v/>
      </c>
      <c r="L261" s="814" t="str">
        <f t="shared" si="15"/>
        <v/>
      </c>
      <c r="M261" s="814" t="str">
        <f t="shared" si="16"/>
        <v/>
      </c>
      <c r="N261" s="685" t="str">
        <f t="shared" si="17"/>
        <v/>
      </c>
      <c r="O261" s="1080" t="str">
        <f t="shared" si="18"/>
        <v/>
      </c>
      <c r="P261" s="782"/>
    </row>
    <row r="262" spans="1:16" ht="42" hidden="1" customHeight="1" outlineLevel="2" x14ac:dyDescent="0.25">
      <c r="A262" s="811"/>
      <c r="B262" s="705"/>
      <c r="C262" s="706"/>
      <c r="D262" s="707"/>
      <c r="E262" s="812" t="str">
        <f>IF(C262="","",VLOOKUP(C262,CE!$B$55:$D$101,3,FALSE))</f>
        <v/>
      </c>
      <c r="F262" s="707"/>
      <c r="G262" s="708"/>
      <c r="H262" s="709"/>
      <c r="I262" s="709"/>
      <c r="J262" s="813" t="str">
        <f>IFERROR(IF($D$49='Fatores de Emissão'!$J$65,VLOOKUP('Combustão Estacionária'!C262,'Fatores de Emissão'!$B$66:$M$75,9,FALSE),IF($D$49='Fatores de Emissão'!$K$65,VLOOKUP('Combustão Estacionária'!C262,'Fatores de Emissão'!$B$66:$M$75,10,FALSE),IF($D$49='Fatores de Emissão'!$L$65,VLOOKUP('Combustão Estacionária'!C262,'Fatores de Emissão'!$B$66:$M$75,11,FALSE),IF($D$49='Fatores de Emissão'!$M$65,VLOOKUP('Combustão Estacionária'!C262,'Fatores de Emissão'!$B$66:$M$75,12,FALSE),"")))),"")</f>
        <v/>
      </c>
      <c r="K262" s="813" t="str">
        <f>IFERROR(VLOOKUP('Combustão Estacionária'!C262,'Fatores de Emissão'!$B$66:$M$75,8,FALSE), "")</f>
        <v/>
      </c>
      <c r="L262" s="814" t="str">
        <f t="shared" si="15"/>
        <v/>
      </c>
      <c r="M262" s="814" t="str">
        <f t="shared" si="16"/>
        <v/>
      </c>
      <c r="N262" s="685" t="str">
        <f t="shared" si="17"/>
        <v/>
      </c>
      <c r="O262" s="1080" t="str">
        <f t="shared" si="18"/>
        <v/>
      </c>
      <c r="P262" s="782"/>
    </row>
    <row r="263" spans="1:16" ht="42" hidden="1" customHeight="1" outlineLevel="2" x14ac:dyDescent="0.25">
      <c r="A263" s="811"/>
      <c r="B263" s="705"/>
      <c r="C263" s="706"/>
      <c r="D263" s="707"/>
      <c r="E263" s="812" t="str">
        <f>IF(C263="","",VLOOKUP(C263,CE!$B$55:$D$101,3,FALSE))</f>
        <v/>
      </c>
      <c r="F263" s="707"/>
      <c r="G263" s="708"/>
      <c r="H263" s="709"/>
      <c r="I263" s="709"/>
      <c r="J263" s="813" t="str">
        <f>IFERROR(IF($D$49='Fatores de Emissão'!$J$65,VLOOKUP('Combustão Estacionária'!C263,'Fatores de Emissão'!$B$66:$M$75,9,FALSE),IF($D$49='Fatores de Emissão'!$K$65,VLOOKUP('Combustão Estacionária'!C263,'Fatores de Emissão'!$B$66:$M$75,10,FALSE),IF($D$49='Fatores de Emissão'!$L$65,VLOOKUP('Combustão Estacionária'!C263,'Fatores de Emissão'!$B$66:$M$75,11,FALSE),IF($D$49='Fatores de Emissão'!$M$65,VLOOKUP('Combustão Estacionária'!C263,'Fatores de Emissão'!$B$66:$M$75,12,FALSE),"")))),"")</f>
        <v/>
      </c>
      <c r="K263" s="813" t="str">
        <f>IFERROR(VLOOKUP('Combustão Estacionária'!C263,'Fatores de Emissão'!$B$66:$M$75,8,FALSE), "")</f>
        <v/>
      </c>
      <c r="L263" s="814" t="str">
        <f t="shared" si="15"/>
        <v/>
      </c>
      <c r="M263" s="814" t="str">
        <f t="shared" si="16"/>
        <v/>
      </c>
      <c r="N263" s="685" t="str">
        <f t="shared" si="17"/>
        <v/>
      </c>
      <c r="O263" s="1080" t="str">
        <f t="shared" si="18"/>
        <v/>
      </c>
      <c r="P263" s="782"/>
    </row>
    <row r="264" spans="1:16" ht="42" hidden="1" customHeight="1" outlineLevel="2" x14ac:dyDescent="0.25">
      <c r="A264" s="811"/>
      <c r="B264" s="705"/>
      <c r="C264" s="706"/>
      <c r="D264" s="707"/>
      <c r="E264" s="812" t="str">
        <f>IF(C264="","",VLOOKUP(C264,CE!$B$55:$D$101,3,FALSE))</f>
        <v/>
      </c>
      <c r="F264" s="707"/>
      <c r="G264" s="708"/>
      <c r="H264" s="709"/>
      <c r="I264" s="709"/>
      <c r="J264" s="813" t="str">
        <f>IFERROR(IF($D$49='Fatores de Emissão'!$J$65,VLOOKUP('Combustão Estacionária'!C264,'Fatores de Emissão'!$B$66:$M$75,9,FALSE),IF($D$49='Fatores de Emissão'!$K$65,VLOOKUP('Combustão Estacionária'!C264,'Fatores de Emissão'!$B$66:$M$75,10,FALSE),IF($D$49='Fatores de Emissão'!$L$65,VLOOKUP('Combustão Estacionária'!C264,'Fatores de Emissão'!$B$66:$M$75,11,FALSE),IF($D$49='Fatores de Emissão'!$M$65,VLOOKUP('Combustão Estacionária'!C264,'Fatores de Emissão'!$B$66:$M$75,12,FALSE),"")))),"")</f>
        <v/>
      </c>
      <c r="K264" s="813" t="str">
        <f>IFERROR(VLOOKUP('Combustão Estacionária'!C264,'Fatores de Emissão'!$B$66:$M$75,8,FALSE), "")</f>
        <v/>
      </c>
      <c r="L264" s="814" t="str">
        <f t="shared" si="15"/>
        <v/>
      </c>
      <c r="M264" s="814" t="str">
        <f t="shared" si="16"/>
        <v/>
      </c>
      <c r="N264" s="685" t="str">
        <f t="shared" si="17"/>
        <v/>
      </c>
      <c r="O264" s="1080" t="str">
        <f t="shared" si="18"/>
        <v/>
      </c>
      <c r="P264" s="782"/>
    </row>
    <row r="265" spans="1:16" ht="42" hidden="1" customHeight="1" outlineLevel="2" x14ac:dyDescent="0.25">
      <c r="A265" s="811"/>
      <c r="B265" s="705"/>
      <c r="C265" s="706"/>
      <c r="D265" s="707"/>
      <c r="E265" s="812" t="str">
        <f>IF(C265="","",VLOOKUP(C265,CE!$B$55:$D$101,3,FALSE))</f>
        <v/>
      </c>
      <c r="F265" s="707"/>
      <c r="G265" s="708"/>
      <c r="H265" s="709"/>
      <c r="I265" s="709"/>
      <c r="J265" s="813" t="str">
        <f>IFERROR(IF($D$49='Fatores de Emissão'!$J$65,VLOOKUP('Combustão Estacionária'!C265,'Fatores de Emissão'!$B$66:$M$75,9,FALSE),IF($D$49='Fatores de Emissão'!$K$65,VLOOKUP('Combustão Estacionária'!C265,'Fatores de Emissão'!$B$66:$M$75,10,FALSE),IF($D$49='Fatores de Emissão'!$L$65,VLOOKUP('Combustão Estacionária'!C265,'Fatores de Emissão'!$B$66:$M$75,11,FALSE),IF($D$49='Fatores de Emissão'!$M$65,VLOOKUP('Combustão Estacionária'!C265,'Fatores de Emissão'!$B$66:$M$75,12,FALSE),"")))),"")</f>
        <v/>
      </c>
      <c r="K265" s="813" t="str">
        <f>IFERROR(VLOOKUP('Combustão Estacionária'!C265,'Fatores de Emissão'!$B$66:$M$75,8,FALSE), "")</f>
        <v/>
      </c>
      <c r="L265" s="814" t="str">
        <f t="shared" si="15"/>
        <v/>
      </c>
      <c r="M265" s="814" t="str">
        <f t="shared" si="16"/>
        <v/>
      </c>
      <c r="N265" s="685" t="str">
        <f t="shared" si="17"/>
        <v/>
      </c>
      <c r="O265" s="1080" t="str">
        <f t="shared" si="18"/>
        <v/>
      </c>
      <c r="P265" s="782"/>
    </row>
    <row r="266" spans="1:16" ht="42" hidden="1" customHeight="1" outlineLevel="2" x14ac:dyDescent="0.25">
      <c r="A266" s="811"/>
      <c r="B266" s="705"/>
      <c r="C266" s="706"/>
      <c r="D266" s="707"/>
      <c r="E266" s="812" t="str">
        <f>IF(C266="","",VLOOKUP(C266,CE!$B$55:$D$101,3,FALSE))</f>
        <v/>
      </c>
      <c r="F266" s="707"/>
      <c r="G266" s="708"/>
      <c r="H266" s="709"/>
      <c r="I266" s="709"/>
      <c r="J266" s="813" t="str">
        <f>IFERROR(IF($D$49='Fatores de Emissão'!$J$65,VLOOKUP('Combustão Estacionária'!C266,'Fatores de Emissão'!$B$66:$M$75,9,FALSE),IF($D$49='Fatores de Emissão'!$K$65,VLOOKUP('Combustão Estacionária'!C266,'Fatores de Emissão'!$B$66:$M$75,10,FALSE),IF($D$49='Fatores de Emissão'!$L$65,VLOOKUP('Combustão Estacionária'!C266,'Fatores de Emissão'!$B$66:$M$75,11,FALSE),IF($D$49='Fatores de Emissão'!$M$65,VLOOKUP('Combustão Estacionária'!C266,'Fatores de Emissão'!$B$66:$M$75,12,FALSE),"")))),"")</f>
        <v/>
      </c>
      <c r="K266" s="813" t="str">
        <f>IFERROR(VLOOKUP('Combustão Estacionária'!C266,'Fatores de Emissão'!$B$66:$M$75,8,FALSE), "")</f>
        <v/>
      </c>
      <c r="L266" s="814" t="str">
        <f t="shared" si="15"/>
        <v/>
      </c>
      <c r="M266" s="814" t="str">
        <f t="shared" si="16"/>
        <v/>
      </c>
      <c r="N266" s="685" t="str">
        <f t="shared" si="17"/>
        <v/>
      </c>
      <c r="O266" s="1080" t="str">
        <f t="shared" si="18"/>
        <v/>
      </c>
      <c r="P266" s="782"/>
    </row>
    <row r="267" spans="1:16" ht="42" hidden="1" customHeight="1" outlineLevel="2" x14ac:dyDescent="0.25">
      <c r="A267" s="811"/>
      <c r="B267" s="705"/>
      <c r="C267" s="706"/>
      <c r="D267" s="707"/>
      <c r="E267" s="812" t="str">
        <f>IF(C267="","",VLOOKUP(C267,CE!$B$55:$D$101,3,FALSE))</f>
        <v/>
      </c>
      <c r="F267" s="707"/>
      <c r="G267" s="708"/>
      <c r="H267" s="709"/>
      <c r="I267" s="709"/>
      <c r="J267" s="813" t="str">
        <f>IFERROR(IF($D$49='Fatores de Emissão'!$J$65,VLOOKUP('Combustão Estacionária'!C267,'Fatores de Emissão'!$B$66:$M$75,9,FALSE),IF($D$49='Fatores de Emissão'!$K$65,VLOOKUP('Combustão Estacionária'!C267,'Fatores de Emissão'!$B$66:$M$75,10,FALSE),IF($D$49='Fatores de Emissão'!$L$65,VLOOKUP('Combustão Estacionária'!C267,'Fatores de Emissão'!$B$66:$M$75,11,FALSE),IF($D$49='Fatores de Emissão'!$M$65,VLOOKUP('Combustão Estacionária'!C267,'Fatores de Emissão'!$B$66:$M$75,12,FALSE),"")))),"")</f>
        <v/>
      </c>
      <c r="K267" s="813" t="str">
        <f>IFERROR(VLOOKUP('Combustão Estacionária'!C267,'Fatores de Emissão'!$B$66:$M$75,8,FALSE), "")</f>
        <v/>
      </c>
      <c r="L267" s="814" t="str">
        <f t="shared" si="15"/>
        <v/>
      </c>
      <c r="M267" s="814" t="str">
        <f t="shared" si="16"/>
        <v/>
      </c>
      <c r="N267" s="685" t="str">
        <f t="shared" si="17"/>
        <v/>
      </c>
      <c r="O267" s="1080" t="str">
        <f t="shared" si="18"/>
        <v/>
      </c>
      <c r="P267" s="782"/>
    </row>
    <row r="268" spans="1:16" ht="42" hidden="1" customHeight="1" outlineLevel="2" x14ac:dyDescent="0.25">
      <c r="A268" s="811"/>
      <c r="B268" s="705"/>
      <c r="C268" s="706"/>
      <c r="D268" s="707"/>
      <c r="E268" s="812" t="str">
        <f>IF(C268="","",VLOOKUP(C268,CE!$B$55:$D$101,3,FALSE))</f>
        <v/>
      </c>
      <c r="F268" s="707"/>
      <c r="G268" s="708"/>
      <c r="H268" s="709"/>
      <c r="I268" s="709"/>
      <c r="J268" s="813" t="str">
        <f>IFERROR(IF($D$49='Fatores de Emissão'!$J$65,VLOOKUP('Combustão Estacionária'!C268,'Fatores de Emissão'!$B$66:$M$75,9,FALSE),IF($D$49='Fatores de Emissão'!$K$65,VLOOKUP('Combustão Estacionária'!C268,'Fatores de Emissão'!$B$66:$M$75,10,FALSE),IF($D$49='Fatores de Emissão'!$L$65,VLOOKUP('Combustão Estacionária'!C268,'Fatores de Emissão'!$B$66:$M$75,11,FALSE),IF($D$49='Fatores de Emissão'!$M$65,VLOOKUP('Combustão Estacionária'!C268,'Fatores de Emissão'!$B$66:$M$75,12,FALSE),"")))),"")</f>
        <v/>
      </c>
      <c r="K268" s="813" t="str">
        <f>IFERROR(VLOOKUP('Combustão Estacionária'!C268,'Fatores de Emissão'!$B$66:$M$75,8,FALSE), "")</f>
        <v/>
      </c>
      <c r="L268" s="814" t="str">
        <f t="shared" si="15"/>
        <v/>
      </c>
      <c r="M268" s="814" t="str">
        <f t="shared" si="16"/>
        <v/>
      </c>
      <c r="N268" s="685" t="str">
        <f t="shared" si="17"/>
        <v/>
      </c>
      <c r="O268" s="1080" t="str">
        <f t="shared" si="18"/>
        <v/>
      </c>
      <c r="P268" s="782"/>
    </row>
    <row r="269" spans="1:16" ht="42" hidden="1" customHeight="1" outlineLevel="2" x14ac:dyDescent="0.25">
      <c r="A269" s="811"/>
      <c r="B269" s="705"/>
      <c r="C269" s="706"/>
      <c r="D269" s="707"/>
      <c r="E269" s="812" t="str">
        <f>IF(C269="","",VLOOKUP(C269,CE!$B$55:$D$101,3,FALSE))</f>
        <v/>
      </c>
      <c r="F269" s="707"/>
      <c r="G269" s="708"/>
      <c r="H269" s="709"/>
      <c r="I269" s="709"/>
      <c r="J269" s="813" t="str">
        <f>IFERROR(IF($D$49='Fatores de Emissão'!$J$65,VLOOKUP('Combustão Estacionária'!C269,'Fatores de Emissão'!$B$66:$M$75,9,FALSE),IF($D$49='Fatores de Emissão'!$K$65,VLOOKUP('Combustão Estacionária'!C269,'Fatores de Emissão'!$B$66:$M$75,10,FALSE),IF($D$49='Fatores de Emissão'!$L$65,VLOOKUP('Combustão Estacionária'!C269,'Fatores de Emissão'!$B$66:$M$75,11,FALSE),IF($D$49='Fatores de Emissão'!$M$65,VLOOKUP('Combustão Estacionária'!C269,'Fatores de Emissão'!$B$66:$M$75,12,FALSE),"")))),"")</f>
        <v/>
      </c>
      <c r="K269" s="813" t="str">
        <f>IFERROR(VLOOKUP('Combustão Estacionária'!C269,'Fatores de Emissão'!$B$66:$M$75,8,FALSE), "")</f>
        <v/>
      </c>
      <c r="L269" s="814" t="str">
        <f t="shared" si="15"/>
        <v/>
      </c>
      <c r="M269" s="814" t="str">
        <f t="shared" si="16"/>
        <v/>
      </c>
      <c r="N269" s="685" t="str">
        <f t="shared" si="17"/>
        <v/>
      </c>
      <c r="O269" s="1080" t="str">
        <f t="shared" si="18"/>
        <v/>
      </c>
      <c r="P269" s="782"/>
    </row>
    <row r="270" spans="1:16" ht="42" hidden="1" customHeight="1" outlineLevel="2" x14ac:dyDescent="0.25">
      <c r="A270" s="811"/>
      <c r="B270" s="705"/>
      <c r="C270" s="706"/>
      <c r="D270" s="707"/>
      <c r="E270" s="812" t="str">
        <f>IF(C270="","",VLOOKUP(C270,CE!$B$55:$D$101,3,FALSE))</f>
        <v/>
      </c>
      <c r="F270" s="707"/>
      <c r="G270" s="708"/>
      <c r="H270" s="709"/>
      <c r="I270" s="709"/>
      <c r="J270" s="813" t="str">
        <f>IFERROR(IF($D$49='Fatores de Emissão'!$J$65,VLOOKUP('Combustão Estacionária'!C270,'Fatores de Emissão'!$B$66:$M$75,9,FALSE),IF($D$49='Fatores de Emissão'!$K$65,VLOOKUP('Combustão Estacionária'!C270,'Fatores de Emissão'!$B$66:$M$75,10,FALSE),IF($D$49='Fatores de Emissão'!$L$65,VLOOKUP('Combustão Estacionária'!C270,'Fatores de Emissão'!$B$66:$M$75,11,FALSE),IF($D$49='Fatores de Emissão'!$M$65,VLOOKUP('Combustão Estacionária'!C270,'Fatores de Emissão'!$B$66:$M$75,12,FALSE),"")))),"")</f>
        <v/>
      </c>
      <c r="K270" s="813" t="str">
        <f>IFERROR(VLOOKUP('Combustão Estacionária'!C270,'Fatores de Emissão'!$B$66:$M$75,8,FALSE), "")</f>
        <v/>
      </c>
      <c r="L270" s="814" t="str">
        <f t="shared" si="15"/>
        <v/>
      </c>
      <c r="M270" s="814" t="str">
        <f t="shared" si="16"/>
        <v/>
      </c>
      <c r="N270" s="685" t="str">
        <f t="shared" si="17"/>
        <v/>
      </c>
      <c r="O270" s="1080" t="str">
        <f t="shared" si="18"/>
        <v/>
      </c>
      <c r="P270" s="782"/>
    </row>
    <row r="271" spans="1:16" ht="42" hidden="1" customHeight="1" outlineLevel="2" x14ac:dyDescent="0.25">
      <c r="A271" s="811"/>
      <c r="B271" s="705"/>
      <c r="C271" s="706"/>
      <c r="D271" s="707"/>
      <c r="E271" s="812" t="str">
        <f>IF(C271="","",VLOOKUP(C271,CE!$B$55:$D$101,3,FALSE))</f>
        <v/>
      </c>
      <c r="F271" s="707"/>
      <c r="G271" s="708"/>
      <c r="H271" s="709"/>
      <c r="I271" s="709"/>
      <c r="J271" s="813" t="str">
        <f>IFERROR(IF($D$49='Fatores de Emissão'!$J$65,VLOOKUP('Combustão Estacionária'!C271,'Fatores de Emissão'!$B$66:$M$75,9,FALSE),IF($D$49='Fatores de Emissão'!$K$65,VLOOKUP('Combustão Estacionária'!C271,'Fatores de Emissão'!$B$66:$M$75,10,FALSE),IF($D$49='Fatores de Emissão'!$L$65,VLOOKUP('Combustão Estacionária'!C271,'Fatores de Emissão'!$B$66:$M$75,11,FALSE),IF($D$49='Fatores de Emissão'!$M$65,VLOOKUP('Combustão Estacionária'!C271,'Fatores de Emissão'!$B$66:$M$75,12,FALSE),"")))),"")</f>
        <v/>
      </c>
      <c r="K271" s="813" t="str">
        <f>IFERROR(VLOOKUP('Combustão Estacionária'!C271,'Fatores de Emissão'!$B$66:$M$75,8,FALSE), "")</f>
        <v/>
      </c>
      <c r="L271" s="814" t="str">
        <f t="shared" si="15"/>
        <v/>
      </c>
      <c r="M271" s="814" t="str">
        <f t="shared" si="16"/>
        <v/>
      </c>
      <c r="N271" s="685" t="str">
        <f t="shared" si="17"/>
        <v/>
      </c>
      <c r="O271" s="1080" t="str">
        <f t="shared" si="18"/>
        <v/>
      </c>
      <c r="P271" s="782"/>
    </row>
    <row r="272" spans="1:16" ht="42" hidden="1" customHeight="1" outlineLevel="2" x14ac:dyDescent="0.25">
      <c r="A272" s="811"/>
      <c r="B272" s="705"/>
      <c r="C272" s="706"/>
      <c r="D272" s="707"/>
      <c r="E272" s="812" t="str">
        <f>IF(C272="","",VLOOKUP(C272,CE!$B$55:$D$101,3,FALSE))</f>
        <v/>
      </c>
      <c r="F272" s="707"/>
      <c r="G272" s="708"/>
      <c r="H272" s="709"/>
      <c r="I272" s="709"/>
      <c r="J272" s="813" t="str">
        <f>IFERROR(IF($D$49='Fatores de Emissão'!$J$65,VLOOKUP('Combustão Estacionária'!C272,'Fatores de Emissão'!$B$66:$M$75,9,FALSE),IF($D$49='Fatores de Emissão'!$K$65,VLOOKUP('Combustão Estacionária'!C272,'Fatores de Emissão'!$B$66:$M$75,10,FALSE),IF($D$49='Fatores de Emissão'!$L$65,VLOOKUP('Combustão Estacionária'!C272,'Fatores de Emissão'!$B$66:$M$75,11,FALSE),IF($D$49='Fatores de Emissão'!$M$65,VLOOKUP('Combustão Estacionária'!C272,'Fatores de Emissão'!$B$66:$M$75,12,FALSE),"")))),"")</f>
        <v/>
      </c>
      <c r="K272" s="813" t="str">
        <f>IFERROR(VLOOKUP('Combustão Estacionária'!C272,'Fatores de Emissão'!$B$66:$M$75,8,FALSE), "")</f>
        <v/>
      </c>
      <c r="L272" s="814" t="str">
        <f t="shared" si="15"/>
        <v/>
      </c>
      <c r="M272" s="814" t="str">
        <f t="shared" si="16"/>
        <v/>
      </c>
      <c r="N272" s="685" t="str">
        <f t="shared" si="17"/>
        <v/>
      </c>
      <c r="O272" s="1080" t="str">
        <f t="shared" si="18"/>
        <v/>
      </c>
      <c r="P272" s="782"/>
    </row>
    <row r="273" spans="1:16" ht="42" hidden="1" customHeight="1" outlineLevel="2" x14ac:dyDescent="0.25">
      <c r="A273" s="811"/>
      <c r="B273" s="705"/>
      <c r="C273" s="706"/>
      <c r="D273" s="707"/>
      <c r="E273" s="812" t="str">
        <f>IF(C273="","",VLOOKUP(C273,CE!$B$55:$D$101,3,FALSE))</f>
        <v/>
      </c>
      <c r="F273" s="707"/>
      <c r="G273" s="708"/>
      <c r="H273" s="709"/>
      <c r="I273" s="709"/>
      <c r="J273" s="813" t="str">
        <f>IFERROR(IF($D$49='Fatores de Emissão'!$J$65,VLOOKUP('Combustão Estacionária'!C273,'Fatores de Emissão'!$B$66:$M$75,9,FALSE),IF($D$49='Fatores de Emissão'!$K$65,VLOOKUP('Combustão Estacionária'!C273,'Fatores de Emissão'!$B$66:$M$75,10,FALSE),IF($D$49='Fatores de Emissão'!$L$65,VLOOKUP('Combustão Estacionária'!C273,'Fatores de Emissão'!$B$66:$M$75,11,FALSE),IF($D$49='Fatores de Emissão'!$M$65,VLOOKUP('Combustão Estacionária'!C273,'Fatores de Emissão'!$B$66:$M$75,12,FALSE),"")))),"")</f>
        <v/>
      </c>
      <c r="K273" s="813" t="str">
        <f>IFERROR(VLOOKUP('Combustão Estacionária'!C273,'Fatores de Emissão'!$B$66:$M$75,8,FALSE), "")</f>
        <v/>
      </c>
      <c r="L273" s="814" t="str">
        <f t="shared" si="15"/>
        <v/>
      </c>
      <c r="M273" s="814" t="str">
        <f t="shared" si="16"/>
        <v/>
      </c>
      <c r="N273" s="685" t="str">
        <f t="shared" si="17"/>
        <v/>
      </c>
      <c r="O273" s="1080" t="str">
        <f t="shared" si="18"/>
        <v/>
      </c>
      <c r="P273" s="782"/>
    </row>
    <row r="274" spans="1:16" ht="42" hidden="1" customHeight="1" outlineLevel="2" x14ac:dyDescent="0.25">
      <c r="A274" s="811"/>
      <c r="B274" s="705"/>
      <c r="C274" s="706"/>
      <c r="D274" s="707"/>
      <c r="E274" s="812" t="str">
        <f>IF(C274="","",VLOOKUP(C274,CE!$B$55:$D$101,3,FALSE))</f>
        <v/>
      </c>
      <c r="F274" s="707"/>
      <c r="G274" s="708"/>
      <c r="H274" s="709"/>
      <c r="I274" s="709"/>
      <c r="J274" s="813" t="str">
        <f>IFERROR(IF($D$49='Fatores de Emissão'!$J$65,VLOOKUP('Combustão Estacionária'!C274,'Fatores de Emissão'!$B$66:$M$75,9,FALSE),IF($D$49='Fatores de Emissão'!$K$65,VLOOKUP('Combustão Estacionária'!C274,'Fatores de Emissão'!$B$66:$M$75,10,FALSE),IF($D$49='Fatores de Emissão'!$L$65,VLOOKUP('Combustão Estacionária'!C274,'Fatores de Emissão'!$B$66:$M$75,11,FALSE),IF($D$49='Fatores de Emissão'!$M$65,VLOOKUP('Combustão Estacionária'!C274,'Fatores de Emissão'!$B$66:$M$75,12,FALSE),"")))),"")</f>
        <v/>
      </c>
      <c r="K274" s="813" t="str">
        <f>IFERROR(VLOOKUP('Combustão Estacionária'!C274,'Fatores de Emissão'!$B$66:$M$75,8,FALSE), "")</f>
        <v/>
      </c>
      <c r="L274" s="814" t="str">
        <f t="shared" si="15"/>
        <v/>
      </c>
      <c r="M274" s="814" t="str">
        <f t="shared" si="16"/>
        <v/>
      </c>
      <c r="N274" s="685" t="str">
        <f t="shared" si="17"/>
        <v/>
      </c>
      <c r="O274" s="1080" t="str">
        <f t="shared" si="18"/>
        <v/>
      </c>
      <c r="P274" s="782"/>
    </row>
    <row r="275" spans="1:16" ht="42" hidden="1" customHeight="1" outlineLevel="2" x14ac:dyDescent="0.25">
      <c r="A275" s="811"/>
      <c r="B275" s="705"/>
      <c r="C275" s="706"/>
      <c r="D275" s="707"/>
      <c r="E275" s="812" t="str">
        <f>IF(C275="","",VLOOKUP(C275,CE!$B$55:$D$101,3,FALSE))</f>
        <v/>
      </c>
      <c r="F275" s="707"/>
      <c r="G275" s="708"/>
      <c r="H275" s="709"/>
      <c r="I275" s="709"/>
      <c r="J275" s="813" t="str">
        <f>IFERROR(IF($D$49='Fatores de Emissão'!$J$65,VLOOKUP('Combustão Estacionária'!C275,'Fatores de Emissão'!$B$66:$M$75,9,FALSE),IF($D$49='Fatores de Emissão'!$K$65,VLOOKUP('Combustão Estacionária'!C275,'Fatores de Emissão'!$B$66:$M$75,10,FALSE),IF($D$49='Fatores de Emissão'!$L$65,VLOOKUP('Combustão Estacionária'!C275,'Fatores de Emissão'!$B$66:$M$75,11,FALSE),IF($D$49='Fatores de Emissão'!$M$65,VLOOKUP('Combustão Estacionária'!C275,'Fatores de Emissão'!$B$66:$M$75,12,FALSE),"")))),"")</f>
        <v/>
      </c>
      <c r="K275" s="813" t="str">
        <f>IFERROR(VLOOKUP('Combustão Estacionária'!C275,'Fatores de Emissão'!$B$66:$M$75,8,FALSE), "")</f>
        <v/>
      </c>
      <c r="L275" s="814" t="str">
        <f t="shared" si="15"/>
        <v/>
      </c>
      <c r="M275" s="814" t="str">
        <f t="shared" si="16"/>
        <v/>
      </c>
      <c r="N275" s="685" t="str">
        <f t="shared" si="17"/>
        <v/>
      </c>
      <c r="O275" s="1080" t="str">
        <f t="shared" si="18"/>
        <v/>
      </c>
      <c r="P275" s="782"/>
    </row>
    <row r="276" spans="1:16" ht="42" hidden="1" customHeight="1" outlineLevel="2" x14ac:dyDescent="0.25">
      <c r="A276" s="811"/>
      <c r="B276" s="705"/>
      <c r="C276" s="706"/>
      <c r="D276" s="707"/>
      <c r="E276" s="812" t="str">
        <f>IF(C276="","",VLOOKUP(C276,CE!$B$55:$D$101,3,FALSE))</f>
        <v/>
      </c>
      <c r="F276" s="707"/>
      <c r="G276" s="708"/>
      <c r="H276" s="709"/>
      <c r="I276" s="709"/>
      <c r="J276" s="813" t="str">
        <f>IFERROR(IF($D$49='Fatores de Emissão'!$J$65,VLOOKUP('Combustão Estacionária'!C276,'Fatores de Emissão'!$B$66:$M$75,9,FALSE),IF($D$49='Fatores de Emissão'!$K$65,VLOOKUP('Combustão Estacionária'!C276,'Fatores de Emissão'!$B$66:$M$75,10,FALSE),IF($D$49='Fatores de Emissão'!$L$65,VLOOKUP('Combustão Estacionária'!C276,'Fatores de Emissão'!$B$66:$M$75,11,FALSE),IF($D$49='Fatores de Emissão'!$M$65,VLOOKUP('Combustão Estacionária'!C276,'Fatores de Emissão'!$B$66:$M$75,12,FALSE),"")))),"")</f>
        <v/>
      </c>
      <c r="K276" s="813" t="str">
        <f>IFERROR(VLOOKUP('Combustão Estacionária'!C276,'Fatores de Emissão'!$B$66:$M$75,8,FALSE), "")</f>
        <v/>
      </c>
      <c r="L276" s="814" t="str">
        <f t="shared" si="15"/>
        <v/>
      </c>
      <c r="M276" s="814" t="str">
        <f t="shared" si="16"/>
        <v/>
      </c>
      <c r="N276" s="685" t="str">
        <f t="shared" si="17"/>
        <v/>
      </c>
      <c r="O276" s="1080" t="str">
        <f t="shared" si="18"/>
        <v/>
      </c>
      <c r="P276" s="782"/>
    </row>
    <row r="277" spans="1:16" ht="42" hidden="1" customHeight="1" outlineLevel="2" x14ac:dyDescent="0.25">
      <c r="A277" s="811"/>
      <c r="B277" s="705"/>
      <c r="C277" s="706"/>
      <c r="D277" s="707"/>
      <c r="E277" s="812" t="str">
        <f>IF(C277="","",VLOOKUP(C277,CE!$B$55:$D$101,3,FALSE))</f>
        <v/>
      </c>
      <c r="F277" s="707"/>
      <c r="G277" s="708"/>
      <c r="H277" s="709"/>
      <c r="I277" s="709"/>
      <c r="J277" s="813" t="str">
        <f>IFERROR(IF($D$49='Fatores de Emissão'!$J$65,VLOOKUP('Combustão Estacionária'!C277,'Fatores de Emissão'!$B$66:$M$75,9,FALSE),IF($D$49='Fatores de Emissão'!$K$65,VLOOKUP('Combustão Estacionária'!C277,'Fatores de Emissão'!$B$66:$M$75,10,FALSE),IF($D$49='Fatores de Emissão'!$L$65,VLOOKUP('Combustão Estacionária'!C277,'Fatores de Emissão'!$B$66:$M$75,11,FALSE),IF($D$49='Fatores de Emissão'!$M$65,VLOOKUP('Combustão Estacionária'!C277,'Fatores de Emissão'!$B$66:$M$75,12,FALSE),"")))),"")</f>
        <v/>
      </c>
      <c r="K277" s="813" t="str">
        <f>IFERROR(VLOOKUP('Combustão Estacionária'!C277,'Fatores de Emissão'!$B$66:$M$75,8,FALSE), "")</f>
        <v/>
      </c>
      <c r="L277" s="814" t="str">
        <f t="shared" si="15"/>
        <v/>
      </c>
      <c r="M277" s="814" t="str">
        <f t="shared" si="16"/>
        <v/>
      </c>
      <c r="N277" s="685" t="str">
        <f t="shared" si="17"/>
        <v/>
      </c>
      <c r="O277" s="1080" t="str">
        <f t="shared" si="18"/>
        <v/>
      </c>
      <c r="P277" s="782"/>
    </row>
    <row r="278" spans="1:16" ht="42" hidden="1" customHeight="1" outlineLevel="2" x14ac:dyDescent="0.25">
      <c r="A278" s="811"/>
      <c r="B278" s="705"/>
      <c r="C278" s="706"/>
      <c r="D278" s="707"/>
      <c r="E278" s="812" t="str">
        <f>IF(C278="","",VLOOKUP(C278,CE!$B$55:$D$101,3,FALSE))</f>
        <v/>
      </c>
      <c r="F278" s="707"/>
      <c r="G278" s="708"/>
      <c r="H278" s="709"/>
      <c r="I278" s="709"/>
      <c r="J278" s="813" t="str">
        <f>IFERROR(IF($D$49='Fatores de Emissão'!$J$65,VLOOKUP('Combustão Estacionária'!C278,'Fatores de Emissão'!$B$66:$M$75,9,FALSE),IF($D$49='Fatores de Emissão'!$K$65,VLOOKUP('Combustão Estacionária'!C278,'Fatores de Emissão'!$B$66:$M$75,10,FALSE),IF($D$49='Fatores de Emissão'!$L$65,VLOOKUP('Combustão Estacionária'!C278,'Fatores de Emissão'!$B$66:$M$75,11,FALSE),IF($D$49='Fatores de Emissão'!$M$65,VLOOKUP('Combustão Estacionária'!C278,'Fatores de Emissão'!$B$66:$M$75,12,FALSE),"")))),"")</f>
        <v/>
      </c>
      <c r="K278" s="813" t="str">
        <f>IFERROR(VLOOKUP('Combustão Estacionária'!C278,'Fatores de Emissão'!$B$66:$M$75,8,FALSE), "")</f>
        <v/>
      </c>
      <c r="L278" s="814" t="str">
        <f t="shared" si="15"/>
        <v/>
      </c>
      <c r="M278" s="814" t="str">
        <f t="shared" si="16"/>
        <v/>
      </c>
      <c r="N278" s="685" t="str">
        <f t="shared" si="17"/>
        <v/>
      </c>
      <c r="O278" s="1080" t="str">
        <f t="shared" si="18"/>
        <v/>
      </c>
      <c r="P278" s="782"/>
    </row>
    <row r="279" spans="1:16" ht="42" hidden="1" customHeight="1" outlineLevel="2" x14ac:dyDescent="0.25">
      <c r="A279" s="811"/>
      <c r="B279" s="705"/>
      <c r="C279" s="706"/>
      <c r="D279" s="707"/>
      <c r="E279" s="812" t="str">
        <f>IF(C279="","",VLOOKUP(C279,CE!$B$55:$D$101,3,FALSE))</f>
        <v/>
      </c>
      <c r="F279" s="707"/>
      <c r="G279" s="708"/>
      <c r="H279" s="709"/>
      <c r="I279" s="709"/>
      <c r="J279" s="813" t="str">
        <f>IFERROR(IF($D$49='Fatores de Emissão'!$J$65,VLOOKUP('Combustão Estacionária'!C279,'Fatores de Emissão'!$B$66:$M$75,9,FALSE),IF($D$49='Fatores de Emissão'!$K$65,VLOOKUP('Combustão Estacionária'!C279,'Fatores de Emissão'!$B$66:$M$75,10,FALSE),IF($D$49='Fatores de Emissão'!$L$65,VLOOKUP('Combustão Estacionária'!C279,'Fatores de Emissão'!$B$66:$M$75,11,FALSE),IF($D$49='Fatores de Emissão'!$M$65,VLOOKUP('Combustão Estacionária'!C279,'Fatores de Emissão'!$B$66:$M$75,12,FALSE),"")))),"")</f>
        <v/>
      </c>
      <c r="K279" s="813" t="str">
        <f>IFERROR(VLOOKUP('Combustão Estacionária'!C279,'Fatores de Emissão'!$B$66:$M$75,8,FALSE), "")</f>
        <v/>
      </c>
      <c r="L279" s="814" t="str">
        <f t="shared" si="15"/>
        <v/>
      </c>
      <c r="M279" s="814" t="str">
        <f t="shared" si="16"/>
        <v/>
      </c>
      <c r="N279" s="685" t="str">
        <f t="shared" si="17"/>
        <v/>
      </c>
      <c r="O279" s="1080" t="str">
        <f t="shared" si="18"/>
        <v/>
      </c>
      <c r="P279" s="782"/>
    </row>
    <row r="280" spans="1:16" ht="42" hidden="1" customHeight="1" outlineLevel="2" x14ac:dyDescent="0.25">
      <c r="A280" s="811"/>
      <c r="B280" s="705"/>
      <c r="C280" s="706"/>
      <c r="D280" s="707"/>
      <c r="E280" s="812" t="str">
        <f>IF(C280="","",VLOOKUP(C280,CE!$B$55:$D$101,3,FALSE))</f>
        <v/>
      </c>
      <c r="F280" s="707"/>
      <c r="G280" s="708"/>
      <c r="H280" s="709"/>
      <c r="I280" s="709"/>
      <c r="J280" s="813" t="str">
        <f>IFERROR(IF($D$49='Fatores de Emissão'!$J$65,VLOOKUP('Combustão Estacionária'!C280,'Fatores de Emissão'!$B$66:$M$75,9,FALSE),IF($D$49='Fatores de Emissão'!$K$65,VLOOKUP('Combustão Estacionária'!C280,'Fatores de Emissão'!$B$66:$M$75,10,FALSE),IF($D$49='Fatores de Emissão'!$L$65,VLOOKUP('Combustão Estacionária'!C280,'Fatores de Emissão'!$B$66:$M$75,11,FALSE),IF($D$49='Fatores de Emissão'!$M$65,VLOOKUP('Combustão Estacionária'!C280,'Fatores de Emissão'!$B$66:$M$75,12,FALSE),"")))),"")</f>
        <v/>
      </c>
      <c r="K280" s="813" t="str">
        <f>IFERROR(VLOOKUP('Combustão Estacionária'!C280,'Fatores de Emissão'!$B$66:$M$75,8,FALSE), "")</f>
        <v/>
      </c>
      <c r="L280" s="814" t="str">
        <f t="shared" si="15"/>
        <v/>
      </c>
      <c r="M280" s="814" t="str">
        <f t="shared" si="16"/>
        <v/>
      </c>
      <c r="N280" s="685" t="str">
        <f t="shared" si="17"/>
        <v/>
      </c>
      <c r="O280" s="1080" t="str">
        <f t="shared" si="18"/>
        <v/>
      </c>
      <c r="P280" s="782"/>
    </row>
    <row r="281" spans="1:16" ht="42" hidden="1" customHeight="1" outlineLevel="2" x14ac:dyDescent="0.25">
      <c r="A281" s="811"/>
      <c r="B281" s="705"/>
      <c r="C281" s="706"/>
      <c r="D281" s="707"/>
      <c r="E281" s="812" t="str">
        <f>IF(C281="","",VLOOKUP(C281,CE!$B$55:$D$101,3,FALSE))</f>
        <v/>
      </c>
      <c r="F281" s="707"/>
      <c r="G281" s="708"/>
      <c r="H281" s="709"/>
      <c r="I281" s="709"/>
      <c r="J281" s="813" t="str">
        <f>IFERROR(IF($D$49='Fatores de Emissão'!$J$65,VLOOKUP('Combustão Estacionária'!C281,'Fatores de Emissão'!$B$66:$M$75,9,FALSE),IF($D$49='Fatores de Emissão'!$K$65,VLOOKUP('Combustão Estacionária'!C281,'Fatores de Emissão'!$B$66:$M$75,10,FALSE),IF($D$49='Fatores de Emissão'!$L$65,VLOOKUP('Combustão Estacionária'!C281,'Fatores de Emissão'!$B$66:$M$75,11,FALSE),IF($D$49='Fatores de Emissão'!$M$65,VLOOKUP('Combustão Estacionária'!C281,'Fatores de Emissão'!$B$66:$M$75,12,FALSE),"")))),"")</f>
        <v/>
      </c>
      <c r="K281" s="813" t="str">
        <f>IFERROR(VLOOKUP('Combustão Estacionária'!C281,'Fatores de Emissão'!$B$66:$M$75,8,FALSE), "")</f>
        <v/>
      </c>
      <c r="L281" s="814" t="str">
        <f t="shared" si="15"/>
        <v/>
      </c>
      <c r="M281" s="814" t="str">
        <f t="shared" si="16"/>
        <v/>
      </c>
      <c r="N281" s="685" t="str">
        <f t="shared" si="17"/>
        <v/>
      </c>
      <c r="O281" s="1080" t="str">
        <f t="shared" si="18"/>
        <v/>
      </c>
      <c r="P281" s="782"/>
    </row>
    <row r="282" spans="1:16" ht="42" hidden="1" customHeight="1" outlineLevel="2" x14ac:dyDescent="0.25">
      <c r="A282" s="811"/>
      <c r="B282" s="705"/>
      <c r="C282" s="706"/>
      <c r="D282" s="707"/>
      <c r="E282" s="812" t="str">
        <f>IF(C282="","",VLOOKUP(C282,CE!$B$55:$D$101,3,FALSE))</f>
        <v/>
      </c>
      <c r="F282" s="707"/>
      <c r="G282" s="708"/>
      <c r="H282" s="709"/>
      <c r="I282" s="709"/>
      <c r="J282" s="813" t="str">
        <f>IFERROR(IF($D$49='Fatores de Emissão'!$J$65,VLOOKUP('Combustão Estacionária'!C282,'Fatores de Emissão'!$B$66:$M$75,9,FALSE),IF($D$49='Fatores de Emissão'!$K$65,VLOOKUP('Combustão Estacionária'!C282,'Fatores de Emissão'!$B$66:$M$75,10,FALSE),IF($D$49='Fatores de Emissão'!$L$65,VLOOKUP('Combustão Estacionária'!C282,'Fatores de Emissão'!$B$66:$M$75,11,FALSE),IF($D$49='Fatores de Emissão'!$M$65,VLOOKUP('Combustão Estacionária'!C282,'Fatores de Emissão'!$B$66:$M$75,12,FALSE),"")))),"")</f>
        <v/>
      </c>
      <c r="K282" s="813" t="str">
        <f>IFERROR(VLOOKUP('Combustão Estacionária'!C282,'Fatores de Emissão'!$B$66:$M$75,8,FALSE), "")</f>
        <v/>
      </c>
      <c r="L282" s="814" t="str">
        <f t="shared" si="15"/>
        <v/>
      </c>
      <c r="M282" s="814" t="str">
        <f t="shared" si="16"/>
        <v/>
      </c>
      <c r="N282" s="685" t="str">
        <f t="shared" si="17"/>
        <v/>
      </c>
      <c r="O282" s="1080" t="str">
        <f t="shared" si="18"/>
        <v/>
      </c>
      <c r="P282" s="782"/>
    </row>
    <row r="283" spans="1:16" ht="42" hidden="1" customHeight="1" outlineLevel="2" x14ac:dyDescent="0.25">
      <c r="A283" s="811"/>
      <c r="B283" s="705"/>
      <c r="C283" s="706"/>
      <c r="D283" s="707"/>
      <c r="E283" s="812" t="str">
        <f>IF(C283="","",VLOOKUP(C283,CE!$B$55:$D$101,3,FALSE))</f>
        <v/>
      </c>
      <c r="F283" s="707"/>
      <c r="G283" s="708"/>
      <c r="H283" s="709"/>
      <c r="I283" s="709"/>
      <c r="J283" s="813" t="str">
        <f>IFERROR(IF($D$49='Fatores de Emissão'!$J$65,VLOOKUP('Combustão Estacionária'!C283,'Fatores de Emissão'!$B$66:$M$75,9,FALSE),IF($D$49='Fatores de Emissão'!$K$65,VLOOKUP('Combustão Estacionária'!C283,'Fatores de Emissão'!$B$66:$M$75,10,FALSE),IF($D$49='Fatores de Emissão'!$L$65,VLOOKUP('Combustão Estacionária'!C283,'Fatores de Emissão'!$B$66:$M$75,11,FALSE),IF($D$49='Fatores de Emissão'!$M$65,VLOOKUP('Combustão Estacionária'!C283,'Fatores de Emissão'!$B$66:$M$75,12,FALSE),"")))),"")</f>
        <v/>
      </c>
      <c r="K283" s="813" t="str">
        <f>IFERROR(VLOOKUP('Combustão Estacionária'!C283,'Fatores de Emissão'!$B$66:$M$75,8,FALSE), "")</f>
        <v/>
      </c>
      <c r="L283" s="814" t="str">
        <f t="shared" si="15"/>
        <v/>
      </c>
      <c r="M283" s="814" t="str">
        <f t="shared" si="16"/>
        <v/>
      </c>
      <c r="N283" s="685" t="str">
        <f t="shared" si="17"/>
        <v/>
      </c>
      <c r="O283" s="1080" t="str">
        <f t="shared" si="18"/>
        <v/>
      </c>
      <c r="P283" s="782"/>
    </row>
    <row r="284" spans="1:16" ht="35.25" customHeight="1" outlineLevel="1" collapsed="1" x14ac:dyDescent="0.25">
      <c r="A284" s="175"/>
      <c r="B284" s="1223" t="s">
        <v>1348</v>
      </c>
      <c r="C284" s="1223"/>
      <c r="D284" s="1223"/>
      <c r="E284" s="1223"/>
      <c r="F284" s="1223"/>
      <c r="G284" s="1223"/>
      <c r="H284" s="1223"/>
      <c r="I284" s="1223"/>
      <c r="J284" s="1223"/>
      <c r="K284" s="1223"/>
      <c r="L284" s="1223"/>
      <c r="M284" s="782"/>
    </row>
    <row r="285" spans="1:16" ht="35.25" customHeight="1" outlineLevel="1" x14ac:dyDescent="0.25">
      <c r="A285" s="175"/>
      <c r="B285" s="175"/>
      <c r="C285" s="175"/>
      <c r="D285" s="175"/>
      <c r="E285" s="175"/>
      <c r="F285" s="175"/>
      <c r="H285" s="368"/>
      <c r="I285" s="368"/>
      <c r="J285" s="826" t="s">
        <v>1349</v>
      </c>
      <c r="K285" s="826" t="s">
        <v>1349</v>
      </c>
      <c r="L285" s="368"/>
      <c r="M285" s="782"/>
    </row>
    <row r="286" spans="1:16" ht="35.25" customHeight="1" outlineLevel="1" x14ac:dyDescent="0.25">
      <c r="A286" s="168"/>
      <c r="B286" s="1222" t="s">
        <v>1218</v>
      </c>
      <c r="C286" s="1189"/>
      <c r="D286" s="1189"/>
      <c r="E286" s="817"/>
      <c r="F286" s="818"/>
      <c r="G286" s="818"/>
      <c r="H286" s="818"/>
      <c r="I286" s="827"/>
      <c r="J286" s="828">
        <f>SUMIF(G184:G283, CE!F10,'Combustão Estacionária'!L184:L283)/1000</f>
        <v>0</v>
      </c>
      <c r="K286" s="829">
        <f>SUMIF(G184:G283, CE!F10,'Combustão Estacionária'!M184:M283)/1000</f>
        <v>0</v>
      </c>
      <c r="L286" s="826" t="s">
        <v>1349</v>
      </c>
    </row>
    <row r="287" spans="1:16" ht="35.25" customHeight="1" outlineLevel="1" x14ac:dyDescent="0.25">
      <c r="A287" s="168"/>
      <c r="B287" s="1222" t="s">
        <v>1220</v>
      </c>
      <c r="C287" s="1189"/>
      <c r="D287" s="1189"/>
      <c r="E287" s="817"/>
      <c r="F287" s="818"/>
      <c r="G287" s="818"/>
      <c r="H287" s="818"/>
      <c r="I287" s="827"/>
      <c r="J287" s="828">
        <f>SUMIF(G184:G283, CE!F11,'Combustão Estacionária'!L184:L283)/1000</f>
        <v>0</v>
      </c>
      <c r="K287" s="829">
        <f>SUMIF(G184:G283, CE!F11,'Combustão Estacionária'!M184:M283)/1000</f>
        <v>0</v>
      </c>
      <c r="L287" s="829">
        <f>SUM(N184:N283)/1000</f>
        <v>0</v>
      </c>
    </row>
    <row r="288" spans="1:16" ht="35.25" customHeight="1" outlineLevel="1" x14ac:dyDescent="0.25">
      <c r="A288" s="168"/>
      <c r="B288" s="1222" t="s">
        <v>1350</v>
      </c>
      <c r="C288" s="1189"/>
      <c r="D288" s="1189"/>
      <c r="E288" s="817"/>
      <c r="F288" s="818"/>
      <c r="G288" s="818"/>
      <c r="H288" s="818"/>
      <c r="I288" s="827"/>
      <c r="J288" s="828">
        <f>SUM(J286:J287)</f>
        <v>0</v>
      </c>
      <c r="K288" s="828">
        <f t="shared" ref="K288:L288" si="19">SUM(K286:K287)</f>
        <v>0</v>
      </c>
      <c r="L288" s="829">
        <f t="shared" si="19"/>
        <v>0</v>
      </c>
    </row>
    <row r="289" spans="1:12" ht="35.25" customHeight="1" outlineLevel="1" x14ac:dyDescent="0.25">
      <c r="A289" s="168"/>
      <c r="B289" s="1221" t="s">
        <v>1357</v>
      </c>
      <c r="C289" s="1221"/>
      <c r="D289" s="1221"/>
      <c r="E289" s="1221"/>
      <c r="F289" s="1221"/>
      <c r="G289" s="1221"/>
      <c r="H289" s="1221"/>
      <c r="I289" s="1221"/>
      <c r="J289" s="828">
        <f>SUMIFS(L184:L283,C184:C283,'Fatores de Emissão'!B73,'Combustão Estacionária'!G184:G283,CE!F10)/1000</f>
        <v>0</v>
      </c>
      <c r="K289" s="829">
        <f>SUMIFS(M184:M283,C184:C283,'Fatores de Emissão'!B73,'Combustão Estacionária'!G184:G283,CE!F10)/1000</f>
        <v>0</v>
      </c>
      <c r="L289" s="830">
        <f>SUMIFS(N184:N283,C184:C283,'Fatores de Emissão'!B73,'Combustão Estacionária'!G184:G283,CE!F10)/1000</f>
        <v>0</v>
      </c>
    </row>
    <row r="290" spans="1:12" ht="35.25" customHeight="1" outlineLevel="1" x14ac:dyDescent="0.25">
      <c r="A290" s="168"/>
      <c r="B290" s="1221" t="s">
        <v>1358</v>
      </c>
      <c r="C290" s="1221"/>
      <c r="D290" s="1221"/>
      <c r="E290" s="1221"/>
      <c r="F290" s="1221"/>
      <c r="G290" s="1221"/>
      <c r="H290" s="1221"/>
      <c r="I290" s="1221"/>
      <c r="J290" s="828">
        <f>SUMIF($C184:$C283,'Fatores de Emissão'!$B73,'Combustão Estacionária'!$L184:$L283)/1000-J289</f>
        <v>0</v>
      </c>
      <c r="K290" s="828">
        <f>SUMIF($C184:$C283,'Fatores de Emissão'!$B73,'Combustão Estacionária'!$M184:$M283)/1000-K289</f>
        <v>0</v>
      </c>
      <c r="L290" s="829">
        <f>SUMIF($C184:$C283,'Fatores de Emissão'!$B73,'Combustão Estacionária'!$N184:$N283)/1000-L289</f>
        <v>0</v>
      </c>
    </row>
    <row r="291" spans="1:12" ht="35.25" customHeight="1" outlineLevel="1" x14ac:dyDescent="0.25"/>
    <row r="294" spans="1:12" s="800" customFormat="1" ht="35.25" customHeight="1" x14ac:dyDescent="0.25">
      <c r="B294" s="799" t="s">
        <v>1228</v>
      </c>
    </row>
    <row r="296" spans="1:12" ht="35.25" customHeight="1" x14ac:dyDescent="0.35">
      <c r="F296" s="831" t="s">
        <v>1236</v>
      </c>
    </row>
    <row r="297" spans="1:12" ht="35.25" customHeight="1" x14ac:dyDescent="0.25">
      <c r="E297" s="1103" t="s">
        <v>1625</v>
      </c>
      <c r="F297" s="832" t="s">
        <v>1626</v>
      </c>
    </row>
    <row r="298" spans="1:12" ht="35.25" customHeight="1" x14ac:dyDescent="0.25">
      <c r="A298" s="168"/>
      <c r="B298" s="1220" t="s">
        <v>1627</v>
      </c>
      <c r="C298" s="1220"/>
      <c r="D298" s="1220"/>
      <c r="E298" s="814">
        <f>H171+J286</f>
        <v>0</v>
      </c>
      <c r="F298" s="814">
        <f>(H172+J287+L287)</f>
        <v>0</v>
      </c>
      <c r="G298" s="833">
        <f>E298+F298</f>
        <v>0</v>
      </c>
    </row>
    <row r="299" spans="1:12" ht="35.25" customHeight="1" x14ac:dyDescent="0.25">
      <c r="A299" s="168"/>
      <c r="B299" s="1219" t="s">
        <v>1352</v>
      </c>
      <c r="C299" s="1219"/>
      <c r="D299" s="1219"/>
      <c r="E299" s="814">
        <f>H171</f>
        <v>0</v>
      </c>
      <c r="F299" s="814">
        <f>H172</f>
        <v>0</v>
      </c>
      <c r="G299" s="833"/>
    </row>
    <row r="300" spans="1:12" ht="35.25" customHeight="1" x14ac:dyDescent="0.25">
      <c r="A300" s="168"/>
      <c r="B300" s="1219" t="s">
        <v>1353</v>
      </c>
      <c r="C300" s="1219"/>
      <c r="D300" s="1219"/>
      <c r="E300" s="814">
        <f>J286</f>
        <v>0</v>
      </c>
      <c r="F300" s="814">
        <f>J287+L287</f>
        <v>0</v>
      </c>
      <c r="G300" s="833"/>
    </row>
    <row r="301" spans="1:12" ht="35.25" customHeight="1" x14ac:dyDescent="0.25">
      <c r="A301" s="168"/>
      <c r="B301" s="1219" t="s">
        <v>1354</v>
      </c>
      <c r="C301" s="1219"/>
      <c r="D301" s="1219"/>
      <c r="E301" s="814">
        <f>H173+J289</f>
        <v>0</v>
      </c>
      <c r="F301" s="814">
        <f>H174+J290+L290</f>
        <v>0</v>
      </c>
      <c r="G301" s="833"/>
    </row>
    <row r="302" spans="1:12" ht="35.25" customHeight="1" x14ac:dyDescent="0.25">
      <c r="A302" s="168"/>
      <c r="B302" s="1219" t="s">
        <v>1628</v>
      </c>
      <c r="C302" s="1219"/>
      <c r="D302" s="1219"/>
      <c r="E302" s="814">
        <f>K286</f>
        <v>0</v>
      </c>
      <c r="F302" s="814">
        <f>K287</f>
        <v>0</v>
      </c>
    </row>
    <row r="303" spans="1:12" ht="35.25" customHeight="1" x14ac:dyDescent="0.25">
      <c r="B303" s="834"/>
      <c r="C303" s="834"/>
      <c r="D303" s="835"/>
      <c r="E303" s="835"/>
      <c r="F303" s="835"/>
      <c r="G303" s="835"/>
    </row>
  </sheetData>
  <sheetProtection algorithmName="SHA-512" hashValue="k4tyHZ15Pni8WlmEVVBifb0f/1hRIpTrHeDc6BuZzMLtTHC89LbEQTvURwddUFocdbm9B+0RWkwpuWkTqNTmYA==" saltValue="zxiuIucf5Sg5fbtUCfme5w==" spinCount="100000" sheet="1" objects="1" scenarios="1" formatRows="0" selectLockedCells="1"/>
  <protectedRanges>
    <protectedRange sqref="B184:D283 F184:I283" name="CE6"/>
    <protectedRange sqref="B71:D168 F71:G168" name="CE5"/>
    <protectedRange sqref="S181" name="C3"/>
    <protectedRange sqref="N68:P68" name="CE2"/>
    <protectedRange sqref="D49:L49" name="CE1"/>
  </protectedRanges>
  <dataConsolidate/>
  <mergeCells count="50">
    <mergeCell ref="B286:D286"/>
    <mergeCell ref="F181:F182"/>
    <mergeCell ref="I180:I182"/>
    <mergeCell ref="D180:F180"/>
    <mergeCell ref="N180:N181"/>
    <mergeCell ref="L180:L181"/>
    <mergeCell ref="K180:K181"/>
    <mergeCell ref="M180:M181"/>
    <mergeCell ref="D67:F67"/>
    <mergeCell ref="F68:F69"/>
    <mergeCell ref="E68:E69"/>
    <mergeCell ref="B302:D302"/>
    <mergeCell ref="B298:D298"/>
    <mergeCell ref="B174:D174"/>
    <mergeCell ref="B289:I289"/>
    <mergeCell ref="B290:I290"/>
    <mergeCell ref="B288:D288"/>
    <mergeCell ref="B284:L284"/>
    <mergeCell ref="B299:D299"/>
    <mergeCell ref="B300:D300"/>
    <mergeCell ref="B301:D301"/>
    <mergeCell ref="B287:D287"/>
    <mergeCell ref="J180:J181"/>
    <mergeCell ref="E181:E182"/>
    <mergeCell ref="B60:H60"/>
    <mergeCell ref="C42:D42"/>
    <mergeCell ref="C43:D43"/>
    <mergeCell ref="C44:D44"/>
    <mergeCell ref="C41:D41"/>
    <mergeCell ref="D49:H49"/>
    <mergeCell ref="E42:H42"/>
    <mergeCell ref="E43:H43"/>
    <mergeCell ref="E44:H44"/>
    <mergeCell ref="E41:F41"/>
    <mergeCell ref="S181:V181"/>
    <mergeCell ref="B38:H38"/>
    <mergeCell ref="Q183:V189"/>
    <mergeCell ref="B67:B69"/>
    <mergeCell ref="C67:C69"/>
    <mergeCell ref="B49:C49"/>
    <mergeCell ref="B171:D171"/>
    <mergeCell ref="B173:D173"/>
    <mergeCell ref="C180:C182"/>
    <mergeCell ref="B180:B182"/>
    <mergeCell ref="B172:D172"/>
    <mergeCell ref="L70:Q76"/>
    <mergeCell ref="N68:P68"/>
    <mergeCell ref="G67:G69"/>
    <mergeCell ref="G180:G182"/>
    <mergeCell ref="E40:F40"/>
  </mergeCells>
  <phoneticPr fontId="24" type="noConversion"/>
  <conditionalFormatting sqref="D69">
    <cfRule type="beginsWith" dxfId="75" priority="3" operator="beginsWith" text="Erro">
      <formula>LEFT(D69,LEN("Erro"))="Erro"</formula>
    </cfRule>
  </conditionalFormatting>
  <conditionalFormatting sqref="D182">
    <cfRule type="beginsWith" dxfId="74" priority="1" operator="beginsWith" text="Erro">
      <formula>LEFT(D182,LEN("Erro"))="Erro"</formula>
    </cfRule>
  </conditionalFormatting>
  <conditionalFormatting sqref="J71:J168">
    <cfRule type="beginsWith" dxfId="68" priority="4" operator="beginsWith" text="Erro">
      <formula>LEFT(J71,LEN("Erro"))="Erro"</formula>
    </cfRule>
  </conditionalFormatting>
  <conditionalFormatting sqref="O184:O283">
    <cfRule type="beginsWith" dxfId="67" priority="2" operator="beginsWith" text="Erro">
      <formula>LEFT(O184,LEN("Erro"))="Erro"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 id="{E1351057-0658-43CF-AFF7-0A0F08A1A4E9}">
            <xm:f>Triagem!$C$27=""</xm:f>
            <x14:dxf>
              <font>
                <b/>
                <i val="0"/>
                <u val="double"/>
                <color rgb="FFFF0000"/>
              </font>
              <fill>
                <patternFill>
                  <bgColor theme="7" tint="0.59996337778862885"/>
                </patternFill>
              </fill>
            </x14:dxf>
          </x14:cfRule>
          <xm:sqref>B10:C10</xm:sqref>
        </x14:conditionalFormatting>
        <x14:conditionalFormatting xmlns:xm="http://schemas.microsoft.com/office/excel/2006/main">
          <x14:cfRule type="expression" priority="5" id="{E84E9700-60E1-477D-83CC-3AD2F387D262}">
            <xm:f>C184='Fatores de Emissão'!$B$75</xm:f>
            <x14:dxf>
              <fill>
                <patternFill patternType="darkUp">
                  <bgColor theme="0"/>
                </patternFill>
              </fill>
            </x14:dxf>
          </x14:cfRule>
          <x14:cfRule type="expression" priority="6" id="{4B8747C9-C41D-4BBE-8E99-FFF52E3CB7AC}">
            <xm:f>C184='Fatores de Emissão'!$B$74</xm:f>
            <x14:dxf>
              <fill>
                <patternFill patternType="darkUp">
                  <bgColor theme="0"/>
                </patternFill>
              </fill>
            </x14:dxf>
          </x14:cfRule>
          <x14:cfRule type="expression" priority="7" id="{111595F6-3EE5-42AF-A820-A5B5B8DA84E8}">
            <xm:f>C184='Fatores de Emissão'!$B$73</xm:f>
            <x14:dxf>
              <fill>
                <patternFill patternType="darkUp">
                  <bgColor theme="0"/>
                </patternFill>
              </fill>
            </x14:dxf>
          </x14:cfRule>
          <x14:cfRule type="expression" priority="8" id="{ACC08FF5-E441-4A08-BA2C-53774E339E4A}">
            <xm:f>C184='Fatores de Emissão'!$B$69</xm:f>
            <x14:dxf>
              <fill>
                <patternFill patternType="darkUp">
                  <bgColor theme="0"/>
                </patternFill>
              </fill>
            </x14:dxf>
          </x14:cfRule>
          <x14:cfRule type="expression" priority="9" id="{C4D20B75-061B-4767-B1EA-9A4838820EDE}">
            <xm:f>C184='Fatores de Emissão'!$B$68</xm:f>
            <x14:dxf>
              <fill>
                <patternFill patternType="darkUp">
                  <bgColor theme="0"/>
                </patternFill>
              </fill>
            </x14:dxf>
          </x14:cfRule>
          <xm:sqref>H184:I283</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33510EF7-C8B9-4FCB-BD2E-91F71C44533B}">
          <x14:formula1>
            <xm:f>'Fatores de Emissão'!$J$23:$M$23</xm:f>
          </x14:formula1>
          <xm:sqref>D179:E179 F66 D49:E49</xm:sqref>
        </x14:dataValidation>
        <x14:dataValidation type="list" allowBlank="1" showInputMessage="1" showErrorMessage="1" xr:uid="{1F6857E3-DAAD-4A6E-919B-F025810F374F}">
          <x14:formula1>
            <xm:f>CE!$F$10:$F$11</xm:f>
          </x14:formula1>
          <xm:sqref>G71:G168 G184:G283</xm:sqref>
        </x14:dataValidation>
        <x14:dataValidation type="list" allowBlank="1" showInputMessage="1" showErrorMessage="1" xr:uid="{37C51FE5-7D82-4C5B-8175-A6767BC66E5D}">
          <x14:formula1>
            <xm:f>CE!$C$10:$C$48</xm:f>
          </x14:formula1>
          <xm:sqref>N68 S181</xm:sqref>
        </x14:dataValidation>
        <x14:dataValidation type="list" allowBlank="1" showInputMessage="1" showErrorMessage="1" xr:uid="{31AB6E50-55D5-457A-B5D8-30E72E783715}">
          <x14:formula1>
            <xm:f>'Fatores de Emissão'!$B$66:$B$75</xm:f>
          </x14:formula1>
          <xm:sqref>C184:C283</xm:sqref>
        </x14:dataValidation>
        <x14:dataValidation type="list" allowBlank="1" showInputMessage="1" showErrorMessage="1" xr:uid="{CCD22DB9-6313-4FD3-91ED-D631A5CA49F1}">
          <x14:formula1>
            <xm:f>'Fatores de Emissão'!$B$24:$B$58</xm:f>
          </x14:formula1>
          <xm:sqref>C71:C168</xm:sqref>
        </x14:dataValidation>
        <x14:dataValidation type="list" allowBlank="1" showInputMessage="1" showErrorMessage="1" xr:uid="{8BDCF9C5-3660-49E0-AEF2-0DEC8703A109}">
          <x14:formula1>
            <xm:f>'Fatores de Emissão'!$B$24:$B$75</xm:f>
          </x14:formula1>
          <xm:sqref>C70</xm:sqref>
        </x14:dataValidation>
        <x14:dataValidation type="list" allowBlank="1" showInputMessage="1" showErrorMessage="1" xr:uid="{E98C187B-6722-467D-A575-48E774946B68}">
          <x14:formula1>
            <xm:f>CE!$B$55:$B$101</xm:f>
          </x14:formula1>
          <xm:sqref>C183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1CBB2-FDF2-4F24-A628-010B9E460922}">
  <dimension ref="A3:XFD161"/>
  <sheetViews>
    <sheetView showGridLines="0" topLeftCell="A34" zoomScale="70" zoomScaleNormal="70" workbookViewId="0">
      <selection activeCell="D41" sqref="D41"/>
    </sheetView>
  </sheetViews>
  <sheetFormatPr defaultColWidth="8.75" defaultRowHeight="15.75" outlineLevelRow="1" x14ac:dyDescent="0.25"/>
  <cols>
    <col min="1" max="1" width="8.875" style="166" customWidth="1"/>
    <col min="2" max="2" width="21.5" style="240" customWidth="1"/>
    <col min="3" max="3" width="55.625" style="166" customWidth="1"/>
    <col min="4" max="4" width="72.625" style="240" customWidth="1"/>
    <col min="5" max="5" width="37.375" style="241" customWidth="1"/>
    <col min="6" max="6" width="28.625" style="166" customWidth="1"/>
    <col min="7" max="7" width="57.625" style="166" customWidth="1"/>
    <col min="8" max="9" width="26.25" style="166" customWidth="1"/>
    <col min="10" max="10" width="23.5" style="240" customWidth="1"/>
    <col min="11" max="11" width="18.75" style="166" customWidth="1"/>
    <col min="12" max="12" width="26.625" style="166" customWidth="1"/>
    <col min="13" max="13" width="16.625" style="268" customWidth="1"/>
    <col min="14" max="14" width="9.875" style="166" customWidth="1"/>
    <col min="15" max="20" width="8.75" style="166"/>
    <col min="21" max="21" width="22" style="166" customWidth="1"/>
    <col min="22" max="22" width="17.5" style="166" customWidth="1"/>
    <col min="23" max="16384" width="8.75" style="166"/>
  </cols>
  <sheetData>
    <row r="3" spans="1:27" x14ac:dyDescent="0.25">
      <c r="B3" s="292"/>
    </row>
    <row r="8" spans="1:27" x14ac:dyDescent="0.25">
      <c r="D8" s="292"/>
      <c r="L8" s="165"/>
      <c r="M8" s="247"/>
      <c r="N8" s="171"/>
      <c r="O8" s="171"/>
      <c r="P8" s="171"/>
      <c r="Q8" s="301"/>
      <c r="R8" s="301"/>
      <c r="S8" s="171"/>
      <c r="T8" s="171"/>
    </row>
    <row r="9" spans="1:27" x14ac:dyDescent="0.25">
      <c r="B9" s="219" t="s">
        <v>29</v>
      </c>
      <c r="C9" s="219" t="s">
        <v>2</v>
      </c>
      <c r="D9" s="219" t="s">
        <v>3</v>
      </c>
      <c r="E9" s="212"/>
      <c r="F9" s="631" t="s">
        <v>648</v>
      </c>
      <c r="G9" s="212"/>
      <c r="H9" s="240"/>
      <c r="I9" s="240"/>
      <c r="Q9" s="301"/>
      <c r="R9" s="301"/>
    </row>
    <row r="10" spans="1:27" ht="63" x14ac:dyDescent="0.25">
      <c r="A10" s="294"/>
      <c r="B10" s="293" t="str">
        <f>'Fatores de Emissão'!D24</f>
        <v>Toneladas</v>
      </c>
      <c r="C10" s="618" t="str">
        <f>'Fatores de Emissão'!B24</f>
        <v>Antracite</v>
      </c>
      <c r="D10" s="263" t="str">
        <f>VLOOKUP(C10,'Fatores de Emissão'!$B$24:$S$75,18,FALSE)</f>
        <v>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v>
      </c>
      <c r="E10" s="240"/>
      <c r="F10" s="630" t="s">
        <v>1210</v>
      </c>
      <c r="G10" s="268"/>
      <c r="L10" s="1225"/>
      <c r="M10" s="1225"/>
      <c r="N10" s="302"/>
      <c r="O10" s="302"/>
      <c r="P10" s="302"/>
      <c r="Q10" s="1226"/>
      <c r="R10" s="1226"/>
      <c r="S10" s="302"/>
      <c r="T10" s="302"/>
    </row>
    <row r="11" spans="1:27" x14ac:dyDescent="0.25">
      <c r="A11" s="294"/>
      <c r="B11" s="293" t="str">
        <f>'Fatores de Emissão'!D25</f>
        <v>Toneladas</v>
      </c>
      <c r="C11" s="618" t="str">
        <f>'Fatores de Emissão'!B25</f>
        <v>Betume</v>
      </c>
      <c r="D11" s="263" t="s">
        <v>1199</v>
      </c>
      <c r="E11" s="240"/>
      <c r="F11" s="630" t="s">
        <v>1346</v>
      </c>
      <c r="G11" s="268"/>
      <c r="L11" s="1225"/>
      <c r="M11" s="1225"/>
      <c r="N11" s="302"/>
      <c r="O11" s="302"/>
      <c r="P11" s="302"/>
      <c r="Q11" s="617"/>
      <c r="R11" s="617"/>
      <c r="S11" s="302"/>
      <c r="T11" s="302"/>
    </row>
    <row r="12" spans="1:27" ht="126" x14ac:dyDescent="0.25">
      <c r="A12" s="294"/>
      <c r="B12" s="293" t="str">
        <f>'Fatores de Emissão'!D66</f>
        <v>kg</v>
      </c>
      <c r="C12" s="252" t="str">
        <f>'Fatores de Emissão'!B66</f>
        <v>Biodiesel e Biogasolina</v>
      </c>
      <c r="D12" s="263" t="str">
        <f>VLOOKUP(C12,'Fatores de Emissão'!$B$24:$S$75,18,FALSE)</f>
        <v>Biodiesel é um éster metílico produzido a partir de óleo vegetal ou animal, com qualidade de gasóleo.. A biogasolina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v>
      </c>
      <c r="E12" s="240"/>
      <c r="F12" s="240"/>
      <c r="G12" s="268"/>
      <c r="L12" s="249"/>
      <c r="Q12" s="301"/>
      <c r="R12" s="301"/>
      <c r="U12" s="295"/>
      <c r="V12" s="295"/>
    </row>
    <row r="13" spans="1:27" ht="63" x14ac:dyDescent="0.25">
      <c r="A13" s="294"/>
      <c r="B13" s="293" t="str">
        <f>'Fatores de Emissão'!D26</f>
        <v>Toneladas</v>
      </c>
      <c r="C13" s="619" t="str">
        <f>'Fatores de Emissão'!B26</f>
        <v>Briquetes de linhite</v>
      </c>
      <c r="D13" s="263" t="str">
        <f>VLOOKUP(C13,'Fatores de Emissão'!$B$24:$S$75,18,FALSE)</f>
        <v>Combustível composto manufacturado a partir de finos de hulha com adição de um aglomerante. A quantidade de briquetes produzida pode, assim, ser ligeiramente mais elevada que a quantidade efectiva de hulha consumida no processo de transformação.</v>
      </c>
      <c r="E13" s="240"/>
      <c r="F13" s="240"/>
      <c r="G13" s="268"/>
      <c r="Q13" s="301"/>
      <c r="R13" s="301"/>
      <c r="U13" s="295"/>
      <c r="V13" s="295"/>
    </row>
    <row r="14" spans="1:27" ht="61.9" customHeight="1" x14ac:dyDescent="0.25">
      <c r="A14" s="294"/>
      <c r="B14" s="293" t="str">
        <f>'Fatores de Emissão'!D28</f>
        <v>Toneladas</v>
      </c>
      <c r="C14" s="619" t="str">
        <f>'Fatores de Emissão'!B28</f>
        <v>Carvão de coque</v>
      </c>
      <c r="D14" s="263" t="str">
        <f>VLOOKUP(C14,'Fatores de Emissão'!$B$24:$S$75,18,FALSE)</f>
        <v>Hulha betuminosa com uma qualidade que permite a produção de um coque susceptível de utilização em altos-fornos. O seu poder calorífico superior ultrapassa 23 865 kJ/kg (5700 kcal/kg), medido sem cinzas, mas com humidade.</v>
      </c>
      <c r="E14" s="240"/>
      <c r="F14" s="240"/>
      <c r="G14" s="240"/>
      <c r="Q14" s="301"/>
      <c r="R14" s="301"/>
      <c r="U14" s="296"/>
      <c r="V14" s="295"/>
      <c r="AA14" s="268"/>
    </row>
    <row r="15" spans="1:27" ht="31.5" x14ac:dyDescent="0.25">
      <c r="A15" s="294"/>
      <c r="B15" s="293" t="str">
        <f>'Fatores de Emissão'!D67</f>
        <v>kg</v>
      </c>
      <c r="C15" s="252" t="str">
        <f>'Fatores de Emissão'!B67</f>
        <v>Carvão Vegetal</v>
      </c>
      <c r="D15" s="263" t="str">
        <f>VLOOKUP(C15,'Fatores de Emissão'!$B$24:$S$75,18,FALSE)</f>
        <v xml:space="preserve">O carvão vegetal utilizado como energia abrange o resíduo sólido da destilação destrutiva e da pirólise da madeira e de outras matérias vegetais. </v>
      </c>
      <c r="E15" s="240"/>
      <c r="F15" s="240"/>
      <c r="G15" s="268"/>
      <c r="Q15" s="301"/>
      <c r="R15" s="301"/>
      <c r="U15" s="295"/>
      <c r="V15" s="295"/>
    </row>
    <row r="16" spans="1:27" ht="141.75" x14ac:dyDescent="0.25">
      <c r="A16" s="294"/>
      <c r="B16" s="293" t="str">
        <f>'Fatores de Emissão'!D29</f>
        <v>Toneladas</v>
      </c>
      <c r="C16" s="619" t="str">
        <f>'Fatores de Emissão'!B29</f>
        <v>Coque de forno de coque e coque de linhite</v>
      </c>
      <c r="D16" s="263" t="str">
        <f>VLOOKUP(C16,'Fatores de Emissão'!$B$24:$S$75,18,FALSE)</f>
        <v>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v>
      </c>
      <c r="E16" s="240"/>
      <c r="F16" s="240"/>
      <c r="G16" s="268"/>
      <c r="Q16" s="301"/>
      <c r="R16" s="301"/>
      <c r="U16" s="295"/>
      <c r="V16" s="295"/>
    </row>
    <row r="17" spans="1:22" x14ac:dyDescent="0.25">
      <c r="A17" s="294"/>
      <c r="B17" s="283" t="str">
        <f>'Fatores de Emissão'!D30</f>
        <v>Toneladas</v>
      </c>
      <c r="C17" s="619" t="str">
        <f>'Fatores de Emissão'!B30</f>
        <v>Coque de Petróleo</v>
      </c>
      <c r="D17" s="263" t="s">
        <v>1199</v>
      </c>
      <c r="E17" s="240"/>
      <c r="F17" s="240"/>
      <c r="G17" s="268"/>
      <c r="Q17" s="301"/>
      <c r="R17" s="301"/>
      <c r="U17" s="295"/>
      <c r="V17" s="295"/>
    </row>
    <row r="18" spans="1:22" ht="36.6" customHeight="1" x14ac:dyDescent="0.25">
      <c r="A18" s="303"/>
      <c r="B18" s="293" t="str">
        <f>'Fatores de Emissão'!D32</f>
        <v>Litros</v>
      </c>
      <c r="C18" s="619" t="str">
        <f>'Fatores de Emissão'!B32</f>
        <v>Fuelóleo</v>
      </c>
      <c r="D18" s="263" t="s">
        <v>1199</v>
      </c>
      <c r="E18" s="304"/>
      <c r="F18" s="240"/>
      <c r="G18" s="244"/>
      <c r="H18" s="268"/>
      <c r="I18" s="268"/>
      <c r="J18" s="244"/>
      <c r="Q18" s="301"/>
      <c r="R18" s="301"/>
      <c r="U18" s="295"/>
      <c r="V18" s="295"/>
    </row>
    <row r="19" spans="1:22" ht="286.14999999999998" customHeight="1" x14ac:dyDescent="0.25">
      <c r="A19" s="294"/>
      <c r="B19" s="293" t="str">
        <f>'Fatores de Emissão'!D35</f>
        <v>kg</v>
      </c>
      <c r="C19" s="252" t="str">
        <f>'Fatores de Emissão'!B35</f>
        <v>Gás produzido em fábricas</v>
      </c>
      <c r="D19" s="263" t="str">
        <f>VLOOKUP(C19,'Fatores de Emissão'!$B$24:$S$75,18,FALSE)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19" s="304"/>
      <c r="F19" s="240"/>
      <c r="G19" s="268"/>
      <c r="H19" s="244"/>
      <c r="I19" s="244"/>
      <c r="J19" s="244"/>
      <c r="Q19" s="301"/>
      <c r="R19" s="301"/>
      <c r="U19" s="295"/>
      <c r="V19" s="295"/>
    </row>
    <row r="20" spans="1:22" x14ac:dyDescent="0.25">
      <c r="A20" s="294"/>
      <c r="B20" s="293" t="str">
        <f>'Fatores de Emissão'!D36</f>
        <v>Toneladas</v>
      </c>
      <c r="C20" s="619" t="str">
        <f>'Fatores de Emissão'!B36</f>
        <v>Gás de forno de aciaria de oxigénio</v>
      </c>
      <c r="D20" s="263" t="s">
        <v>1199</v>
      </c>
      <c r="E20" s="304"/>
      <c r="F20" s="240"/>
      <c r="G20" s="268"/>
      <c r="H20" s="244"/>
      <c r="I20" s="244"/>
      <c r="J20" s="244"/>
      <c r="Q20" s="301"/>
      <c r="R20" s="301"/>
      <c r="U20" s="295"/>
      <c r="V20" s="295"/>
    </row>
    <row r="21" spans="1:22" ht="31.5" x14ac:dyDescent="0.25">
      <c r="A21" s="303"/>
      <c r="B21" s="293" t="str">
        <f>'Fatores de Emissão'!D33</f>
        <v>Toneladas</v>
      </c>
      <c r="C21" s="619" t="str">
        <f>'Fatores de Emissão'!B33</f>
        <v>Gás de Alto Forno</v>
      </c>
      <c r="D21" s="263" t="str">
        <f>VLOOKUP(C21,'Fatores de Emissão'!$B$24:$S$75,18,FALSE)</f>
        <v>Subproduto da produção de aço numa fornalha de oxigénio, recuperado à saída da fornalha. O gás é igualmente conhecido como gás de conversor, gás LD ou gás BOS</v>
      </c>
      <c r="E21" s="304"/>
      <c r="H21" s="244"/>
      <c r="I21" s="244"/>
      <c r="J21" s="244"/>
      <c r="Q21" s="301"/>
      <c r="R21" s="301"/>
      <c r="U21" s="295"/>
      <c r="V21" s="295"/>
    </row>
    <row r="22" spans="1:22" ht="31.5" x14ac:dyDescent="0.25">
      <c r="A22" s="294"/>
      <c r="B22" s="293" t="str">
        <f>'Fatores de Emissão'!D34</f>
        <v>Toneladas</v>
      </c>
      <c r="C22" s="619" t="str">
        <f>'Fatores de Emissão'!B34</f>
        <v xml:space="preserve">Gás de Coqueria </v>
      </c>
      <c r="D22" s="263" t="str">
        <f>VLOOKUP(C22,'Fatores de Emissão'!$B$24:$S$75,18,FALSE)</f>
        <v>Subproduto da fabricação de coque de forno de coque para a produção de ferro e aço.</v>
      </c>
      <c r="E22" s="304"/>
      <c r="F22" s="240"/>
      <c r="G22" s="268"/>
      <c r="Q22" s="301"/>
      <c r="R22" s="301"/>
      <c r="U22" s="295"/>
      <c r="V22" s="295"/>
    </row>
    <row r="23" spans="1:22" ht="47.25" x14ac:dyDescent="0.25">
      <c r="A23" s="294"/>
      <c r="B23" s="293" t="str">
        <f>'Fatores de Emissão'!D68</f>
        <v>TJ</v>
      </c>
      <c r="C23" s="252" t="str">
        <f>'Fatores de Emissão'!B68</f>
        <v>Gases de Lamas de Depuração</v>
      </c>
      <c r="D23" s="263" t="str">
        <f>VLOOKUP(C23,'Fatores de Emissão'!$B$24:$S$75,18,FALSE)</f>
        <v>O gás de lamas é derivado da fermentação anaeróbica de biomassa e resíduos sólidos de esgotos e lamas animais e é queimado para produzir calor e/ou eletricidade.</v>
      </c>
      <c r="E23" s="304"/>
      <c r="Q23" s="301"/>
      <c r="R23" s="301"/>
      <c r="U23" s="295"/>
      <c r="V23" s="295"/>
    </row>
    <row r="24" spans="1:22" x14ac:dyDescent="0.25">
      <c r="A24" s="294"/>
      <c r="B24" s="283" t="str">
        <f>'Fatores de Emissão'!D38</f>
        <v>Toneladas</v>
      </c>
      <c r="C24" s="619" t="str">
        <f>'Fatores de Emissão'!B38</f>
        <v>Gás de Refinaria (não liquefeito)</v>
      </c>
      <c r="D24" s="263" t="s">
        <v>1199</v>
      </c>
      <c r="E24" s="304"/>
      <c r="Q24" s="301"/>
      <c r="R24" s="301"/>
      <c r="U24" s="295"/>
      <c r="V24" s="295"/>
    </row>
    <row r="25" spans="1:22" ht="141.75" x14ac:dyDescent="0.25">
      <c r="A25" s="294"/>
      <c r="B25" s="283" t="str">
        <f>'Fatores de Emissão'!D39</f>
        <v>m3</v>
      </c>
      <c r="C25" s="619" t="str">
        <f>'Fatores de Emissão'!B39</f>
        <v>Gás Natural</v>
      </c>
      <c r="D25" s="263" t="str">
        <f>VLOOKUP(C25,'Fatores de Emissão'!$B$24:$S$75,18,FALSE)</f>
        <v>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v>
      </c>
      <c r="E25" s="304"/>
      <c r="F25" s="240"/>
      <c r="Q25" s="301"/>
      <c r="R25" s="301"/>
      <c r="U25" s="295"/>
      <c r="V25" s="295"/>
    </row>
    <row r="26" spans="1:22" ht="31.5" x14ac:dyDescent="0.25">
      <c r="A26" s="294"/>
      <c r="B26" s="293" t="str">
        <f>'Fatores de Emissão'!D42</f>
        <v>Litros</v>
      </c>
      <c r="C26" s="263" t="str">
        <f>'Fatores de Emissão'!B42</f>
        <v>Gasóleo / óleo diesel (fuelóleo destilado)</v>
      </c>
      <c r="D26" s="263" t="str">
        <f>VLOOKUP(C26,'Fatores de Emissão'!$B$24:$S$75,18,FALSE)</f>
        <v>O gasóleo/óleo diesel é, antes de mais, um destilado médio que destila entre 180 oC e 380 oC. Inclui os componentes para mistura.</v>
      </c>
      <c r="E26" s="304"/>
      <c r="F26" s="240"/>
      <c r="Q26" s="301"/>
      <c r="R26" s="301"/>
      <c r="U26" s="295"/>
      <c r="V26" s="295"/>
    </row>
    <row r="27" spans="1:22" ht="94.5" x14ac:dyDescent="0.25">
      <c r="A27" s="303"/>
      <c r="B27" s="293" t="str">
        <f>'Fatores de Emissão'!D37</f>
        <v>Litros</v>
      </c>
      <c r="C27" s="619" t="str">
        <f>'Fatores de Emissão'!B37</f>
        <v>GPL - Gás de Petróleo Liquefeito</v>
      </c>
      <c r="D27" s="263" t="str">
        <f>VLOOKUP(C27,'Fatores de Emissão'!$B$24:$S$75,18,FALSE)</f>
        <v>Hidrocarbonetos parafínicos claros obtidos dos processos de refinação e nas instalações de estabilização do petróleo bruto e de transformação de gás natural. São constituídos principalmente por propano (C3H8) e butano (C4H10) ou por uma combinação dos dois. Podem igualmente incluir propileno, butileno, isopropileno e isobutileno. Os GPL são normalmente liquefeitos sob pressão para o transporte e a armazenagem.</v>
      </c>
      <c r="E27" s="304"/>
      <c r="F27" s="240"/>
      <c r="Q27" s="301"/>
      <c r="R27" s="301"/>
      <c r="U27" s="295"/>
      <c r="V27" s="295"/>
    </row>
    <row r="28" spans="1:22" ht="267.75" x14ac:dyDescent="0.25">
      <c r="A28" s="294"/>
      <c r="B28" s="293" t="str">
        <f>'Fatores de Emissão'!D44</f>
        <v>Litros</v>
      </c>
      <c r="C28" s="252" t="str">
        <f>'Fatores de Emissão'!B35</f>
        <v>Gás produzido em fábricas</v>
      </c>
      <c r="D28" s="263" t="str">
        <f>VLOOKUP(C28,'Fatores de Emissão'!$B$24:$S$75,18,FALSE)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28" s="304"/>
      <c r="Q28" s="301"/>
      <c r="R28" s="301"/>
      <c r="U28" s="295"/>
      <c r="V28" s="295"/>
    </row>
    <row r="29" spans="1:22" x14ac:dyDescent="0.25">
      <c r="A29" s="294"/>
      <c r="B29" s="293" t="str">
        <f>'Fatores de Emissão'!D44</f>
        <v>Litros</v>
      </c>
      <c r="C29" s="619" t="str">
        <f>'Fatores de Emissão'!B44</f>
        <v>Gasolina de Aviação</v>
      </c>
      <c r="D29" s="263" t="s">
        <v>1199</v>
      </c>
      <c r="E29" s="304"/>
      <c r="Q29" s="301"/>
      <c r="R29" s="301"/>
      <c r="U29" s="295"/>
      <c r="V29" s="295"/>
    </row>
    <row r="30" spans="1:22" ht="110.25" x14ac:dyDescent="0.25">
      <c r="A30" s="294"/>
      <c r="B30" s="293" t="str">
        <f>'Fatores de Emissão'!D43</f>
        <v>Litros</v>
      </c>
      <c r="C30" s="619" t="str">
        <f>'Fatores de Emissão'!B43</f>
        <v>Gasolina para motores</v>
      </c>
      <c r="D30" s="263" t="str">
        <f>VLOOKUP(C30,'Fatores de Emissão'!$B$24:$S$75,18,FALSE)</f>
        <v>A gasolina para motores é constituída por uma mistura de hidrocarbonetos leves que destilam entre 35oC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v>
      </c>
      <c r="E30" s="304"/>
      <c r="G30" s="212"/>
      <c r="Q30" s="301"/>
      <c r="R30" s="301"/>
      <c r="U30" s="295"/>
      <c r="V30" s="295"/>
    </row>
    <row r="31" spans="1:22" ht="141.75" x14ac:dyDescent="0.25">
      <c r="A31" s="294"/>
      <c r="B31" s="293" t="str">
        <f>'Fatores de Emissão'!D46</f>
        <v>Toneladas</v>
      </c>
      <c r="C31" s="619" t="str">
        <f>'Fatores de Emissão'!B46</f>
        <v>Linhite</v>
      </c>
      <c r="D31" s="263" t="str">
        <f>VLOOKUP(C31,'Fatores de Emissão'!$B$24:$S$75,18,FALSE)</f>
        <v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v>
      </c>
      <c r="E31" s="304"/>
      <c r="F31" s="240"/>
      <c r="G31" s="268"/>
      <c r="H31" s="212"/>
      <c r="I31" s="212"/>
      <c r="Q31" s="301"/>
      <c r="R31" s="301"/>
      <c r="U31" s="295"/>
      <c r="V31" s="295"/>
    </row>
    <row r="32" spans="1:22" ht="63" x14ac:dyDescent="0.25">
      <c r="A32" s="294"/>
      <c r="B32" s="293" t="str">
        <f>'Fatores de Emissão'!D41</f>
        <v>kg</v>
      </c>
      <c r="C32" s="252" t="str">
        <f>'Fatores de Emissão'!B41</f>
        <v>LGN - Gás Natural Liquefeito</v>
      </c>
      <c r="D32" s="263" t="str">
        <f>VLOOKUP(C32,'Fatores de Emissão'!$B$24:$S$75,18,FALSE)</f>
        <v>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v>
      </c>
      <c r="E32" s="304"/>
      <c r="G32" s="268"/>
      <c r="Q32" s="301"/>
      <c r="R32" s="301"/>
      <c r="U32" s="295"/>
      <c r="V32" s="295"/>
    </row>
    <row r="33" spans="1:22" ht="78.75" x14ac:dyDescent="0.25">
      <c r="A33" s="294"/>
      <c r="B33" s="293" t="str">
        <f>'Fatores de Emissão'!D48</f>
        <v>kg</v>
      </c>
      <c r="C33" s="252" t="str">
        <f>'Fatores de Emissão'!B48</f>
        <v>Lubrificantes</v>
      </c>
      <c r="D33" s="263" t="str">
        <f>VLOOKUP(C33,'Fatores de Emissão'!$B$24:$S$75,18,FALSE)</f>
        <v>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v>
      </c>
      <c r="E33" s="304"/>
      <c r="F33" s="240"/>
      <c r="G33" s="304"/>
      <c r="Q33" s="301"/>
      <c r="R33" s="301"/>
      <c r="U33" s="295"/>
      <c r="V33" s="295"/>
    </row>
    <row r="34" spans="1:22" ht="63" x14ac:dyDescent="0.25">
      <c r="A34" s="294"/>
      <c r="B34" s="293" t="str">
        <f>'Fatores de Emissão'!D69</f>
        <v>kg</v>
      </c>
      <c r="C34" s="252" t="str">
        <f>'Fatores de Emissão'!B69</f>
        <v>Madeira, resíduos de madeira e outros resíduos sólidos</v>
      </c>
      <c r="D34" s="263" t="str">
        <f>VLOOKUP(C34,'Fatores de Emissão'!$B$24:$S$75,18,FALSE)</f>
        <v>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v>
      </c>
      <c r="E34" s="304"/>
      <c r="Q34" s="301"/>
      <c r="R34" s="301"/>
      <c r="U34" s="295"/>
      <c r="V34" s="295"/>
    </row>
    <row r="35" spans="1:22" ht="115.9" customHeight="1" x14ac:dyDescent="0.25">
      <c r="A35" s="294"/>
      <c r="B35" s="293" t="str">
        <f>'Fatores de Emissão'!D49</f>
        <v>Toneladas</v>
      </c>
      <c r="C35" s="619" t="str">
        <f>'Fatores de Emissão'!B49</f>
        <v>Matérias-primas para refinarias</v>
      </c>
      <c r="D35" s="263" t="str">
        <f>VLOOKUP(C35,'Fatores de Emissão'!$B$24:$S$75,18,FALSE)</f>
        <v>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v>
      </c>
      <c r="E35" s="304"/>
      <c r="Q35" s="301"/>
      <c r="R35" s="301"/>
      <c r="U35" s="295"/>
      <c r="V35" s="295"/>
    </row>
    <row r="36" spans="1:22" ht="81.400000000000006" customHeight="1" x14ac:dyDescent="0.25">
      <c r="A36" s="294"/>
      <c r="B36" s="293" t="str">
        <f>'Fatores de Emissão'!D50</f>
        <v>Litros</v>
      </c>
      <c r="C36" s="619" t="str">
        <f>'Fatores de Emissão'!B50</f>
        <v xml:space="preserve">Nafta </v>
      </c>
      <c r="D36" s="263" t="str">
        <f>VLOOKUP(C36,'Fatores de Emissão'!$B$24:$S$75,18,FALSE)</f>
        <v>A nafta é uma matéria-prima destinada à indústria petroquímica (por exemplo, fabricação de etileno ou produção de compostos aromáticos) ou à produção de gasolina por reforma ou isomerização na refinaria. A nafta inclui o material que destila entre 30oC e 210oC ou parte desta faixa.</v>
      </c>
      <c r="E36" s="304"/>
      <c r="Q36" s="301"/>
      <c r="R36" s="301"/>
      <c r="U36" s="295"/>
      <c r="V36" s="295"/>
    </row>
    <row r="37" spans="1:22" x14ac:dyDescent="0.25">
      <c r="A37" s="294"/>
      <c r="B37" s="293" t="str">
        <f>'Fatores de Emissão'!D51</f>
        <v>kg</v>
      </c>
      <c r="C37" s="619" t="str">
        <f>'Fatores de Emissão'!B51</f>
        <v>Óleo de Xisto</v>
      </c>
      <c r="D37" s="263" t="str">
        <f>VLOOKUP(C37,'Fatores de Emissão'!$B$24:$S$75,18,FALSE)</f>
        <v>Um óleo mineral extraído do xisto betuminoso.</v>
      </c>
      <c r="E37" s="304"/>
      <c r="Q37" s="301"/>
      <c r="R37" s="301"/>
      <c r="U37" s="295"/>
      <c r="V37" s="295"/>
    </row>
    <row r="38" spans="1:22" x14ac:dyDescent="0.25">
      <c r="A38" s="294"/>
      <c r="B38" s="293" t="s">
        <v>634</v>
      </c>
      <c r="C38" s="619" t="str">
        <f>'Fatores de Emissão'!B52</f>
        <v>Óleos Usados</v>
      </c>
      <c r="D38" s="263" t="s">
        <v>1199</v>
      </c>
      <c r="E38" s="304"/>
      <c r="Q38" s="301"/>
      <c r="R38" s="301"/>
      <c r="U38" s="295"/>
      <c r="V38" s="295"/>
    </row>
    <row r="39" spans="1:22" ht="31.5" x14ac:dyDescent="0.25">
      <c r="A39" s="294"/>
      <c r="B39" s="293" t="str">
        <f>'Fatores de Emissão'!D70</f>
        <v>kg</v>
      </c>
      <c r="C39" s="252" t="str">
        <f>'Fatores de Emissão'!B70</f>
        <v>Outra Biomassa Primária Sólida</v>
      </c>
      <c r="D39" s="263" t="str">
        <f>VLOOKUP(C39,'Fatores de Emissão'!$B$24:$S$75,18,FALSE)</f>
        <v>Outra biomassa sólida não incluída nas categorias anteriores. Este é um valor geral para biomassa sólida.</v>
      </c>
      <c r="E39" s="304"/>
      <c r="Q39" s="301"/>
      <c r="R39" s="301"/>
      <c r="U39" s="295"/>
      <c r="V39" s="295"/>
    </row>
    <row r="40" spans="1:22" ht="48" customHeight="1" x14ac:dyDescent="0.25">
      <c r="A40" s="294"/>
      <c r="B40" s="293" t="str">
        <f>'Fatores de Emissão'!D71</f>
        <v>kg</v>
      </c>
      <c r="C40" s="252" t="str">
        <f>'Fatores de Emissão'!B71</f>
        <v>Outros Biocombustíveis Líquidos</v>
      </c>
      <c r="D40" s="263" t="str">
        <f>VLOOKUP(C40,'Fatores de Emissão'!$B$24:$S$75,18,FALSE)</f>
        <v>Outros biocombustíveis líquidos não incluídos na biogasolina ou nos biodieseis.</v>
      </c>
      <c r="E40" s="304"/>
      <c r="Q40" s="301"/>
      <c r="R40" s="301"/>
      <c r="U40" s="295"/>
      <c r="V40" s="295"/>
    </row>
    <row r="41" spans="1:22" ht="48" customHeight="1" x14ac:dyDescent="0.25">
      <c r="A41" s="294"/>
      <c r="B41" s="293" t="str">
        <f>'Fatores de Emissão'!D72</f>
        <v>TJ</v>
      </c>
      <c r="C41" s="252" t="str">
        <f>'Fatores de Emissão'!B72</f>
        <v>Outros biocombustíveis gasosos</v>
      </c>
      <c r="D41" s="263" t="str">
        <f>VLOOKUP(C41,'Fatores de Emissão'!$B$24:$S$75,18,FALSE)</f>
        <v>Outros biocombustíveis gasosos não incluídos não listados.</v>
      </c>
      <c r="E41" s="304"/>
      <c r="Q41" s="301"/>
      <c r="R41" s="301"/>
      <c r="U41" s="295"/>
      <c r="V41" s="295"/>
    </row>
    <row r="42" spans="1:22" ht="48" customHeight="1" x14ac:dyDescent="0.25">
      <c r="A42" s="294"/>
      <c r="B42" s="293" t="str">
        <f>'Fatores de Emissão'!D54</f>
        <v>Toneladas</v>
      </c>
      <c r="C42" s="619" t="str">
        <f>'Fatores de Emissão'!B54</f>
        <v>Outros Carvões Betuminosos</v>
      </c>
      <c r="D42" s="263" t="s">
        <v>1199</v>
      </c>
      <c r="E42" s="304"/>
      <c r="Q42" s="301"/>
      <c r="R42" s="301"/>
      <c r="U42" s="295"/>
      <c r="V42" s="295"/>
    </row>
    <row r="43" spans="1:22" ht="109.9" customHeight="1" x14ac:dyDescent="0.25">
      <c r="A43" s="294"/>
      <c r="B43" s="293" t="str">
        <f>'Fatores de Emissão'!D55</f>
        <v>Litros</v>
      </c>
      <c r="C43" s="619" t="str">
        <f>'Fatores de Emissão'!B55</f>
        <v>Petróleo Bruto</v>
      </c>
      <c r="D43" s="263" t="str">
        <f>VLOOKUP(C43,'Fatores de Emissão'!$B$24:$S$75,18,FALSE)</f>
        <v>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v>
      </c>
      <c r="E43" s="304"/>
      <c r="Q43" s="301"/>
      <c r="R43" s="301"/>
      <c r="U43" s="295"/>
      <c r="V43" s="295"/>
    </row>
    <row r="44" spans="1:22" ht="94.5" x14ac:dyDescent="0.25">
      <c r="A44" s="294"/>
      <c r="B44" s="293" t="str">
        <f>'Fatores de Emissão'!D56</f>
        <v>Litros</v>
      </c>
      <c r="C44" s="619" t="str">
        <f>'Fatores de Emissão'!B56</f>
        <v>Querosene tipo Jet Fuel</v>
      </c>
      <c r="D44" s="263" t="str">
        <f>VLOOKUP(C44,'Fatores de Emissão'!$B$24:$S$75,18,FALSE)</f>
        <v>Destilado utilizado para unidades de turbinas de aviação. Tem as mesmas características de destilação, entre 150oC e 300oC (em geral, não acima de 250oC), e o mesmo ponto de inflamação que o querosene. Além disso, tem especificações particulares (como o ponto de congelação) que são estabelecidas pela Associação Internacional do Transporte Aéreo (IATA). Inclui os compostos para mistura com o querosene.</v>
      </c>
      <c r="E44" s="304"/>
      <c r="Q44" s="301"/>
      <c r="R44" s="301"/>
      <c r="U44" s="295"/>
      <c r="V44" s="295"/>
    </row>
    <row r="45" spans="1:22" ht="63" x14ac:dyDescent="0.25">
      <c r="A45" s="294"/>
      <c r="B45" s="293" t="str">
        <f>'Fatores de Emissão'!D73</f>
        <v>kg</v>
      </c>
      <c r="C45" s="252" t="str">
        <f>'Fatores de Emissão'!B73</f>
        <v>Resíduos Municipais (fração biodegradável)</v>
      </c>
      <c r="D45" s="263" t="str">
        <f>VLOOKUP(C45,'Fatores de Emissão'!$B$24:$S$75,18,FALSE)</f>
        <v>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v>
      </c>
      <c r="E45" s="304"/>
      <c r="Q45" s="301"/>
      <c r="R45" s="301"/>
      <c r="U45" s="295"/>
      <c r="V45" s="295"/>
    </row>
    <row r="46" spans="1:22" ht="78.75" x14ac:dyDescent="0.25">
      <c r="A46" s="294"/>
      <c r="B46" s="293" t="str">
        <f>'Fatores de Emissão'!D57</f>
        <v>Toneladas</v>
      </c>
      <c r="C46" s="620" t="str">
        <f>'Fatores de Emissão'!B57</f>
        <v>Resíduos municipais (fração não biodegradável)</v>
      </c>
      <c r="D46" s="263" t="str">
        <f>VLOOKUP(C46,'Fatores de Emissão'!$B$24:$S$75,18,FALSE)</f>
        <v>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v>
      </c>
      <c r="E46" s="304"/>
      <c r="Q46" s="301"/>
      <c r="R46" s="301"/>
      <c r="U46" s="295"/>
      <c r="V46" s="295"/>
    </row>
    <row r="47" spans="1:22" ht="141.75" x14ac:dyDescent="0.25">
      <c r="A47" s="297"/>
      <c r="B47" s="293" t="str">
        <f>'Fatores de Emissão'!D58</f>
        <v>kg</v>
      </c>
      <c r="C47" s="252" t="str">
        <f>'Fatores de Emissão'!B58</f>
        <v>Xisto Betuminoso e Areias Betuminosas</v>
      </c>
      <c r="D47" s="263" t="str">
        <f>VLOOKUP(C47,'Fatores de Emissão'!$B$24:$S$75,18,FALSE)</f>
        <v>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v>
      </c>
      <c r="E47" s="304"/>
      <c r="Q47" s="301"/>
      <c r="R47" s="301"/>
      <c r="U47" s="295"/>
      <c r="V47" s="295"/>
    </row>
    <row r="48" spans="1:22" ht="94.5" x14ac:dyDescent="0.25">
      <c r="A48" s="297"/>
      <c r="B48" s="252" t="str">
        <f>'Fatores de Emissão'!D75</f>
        <v>kg</v>
      </c>
      <c r="C48" s="252" t="str">
        <f>'Fatores de Emissão'!B75</f>
        <v>Turfa</v>
      </c>
      <c r="D48" s="263" t="str">
        <f>VLOOKUP(C48,'Fatores de Emissão'!$B$24:$S$75,18,FALSE)</f>
        <v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v>
      </c>
      <c r="E48" s="304"/>
      <c r="Q48" s="301"/>
      <c r="R48" s="301"/>
      <c r="U48" s="295"/>
      <c r="V48" s="295"/>
    </row>
    <row r="49" spans="1:22 16384:16384" x14ac:dyDescent="0.25">
      <c r="A49" s="240"/>
      <c r="Q49" s="301"/>
      <c r="R49" s="301"/>
      <c r="U49" s="295"/>
      <c r="V49" s="295"/>
    </row>
    <row r="50" spans="1:22 16384:16384" x14ac:dyDescent="0.25">
      <c r="A50" s="240"/>
      <c r="Q50" s="301"/>
      <c r="R50" s="301"/>
      <c r="U50" s="295"/>
      <c r="V50" s="295"/>
    </row>
    <row r="51" spans="1:22 16384:16384" outlineLevel="1" x14ac:dyDescent="0.25">
      <c r="B51" s="166" t="s">
        <v>601</v>
      </c>
      <c r="D51" s="166"/>
      <c r="E51" s="166"/>
      <c r="F51" s="168"/>
      <c r="J51" s="170"/>
      <c r="M51" s="166"/>
    </row>
    <row r="52" spans="1:22 16384:16384" s="240" customFormat="1" ht="16.899999999999999" customHeight="1" outlineLevel="1" x14ac:dyDescent="0.25">
      <c r="B52" s="305" t="s">
        <v>38</v>
      </c>
      <c r="C52" s="305" t="s">
        <v>444</v>
      </c>
      <c r="D52" s="306" t="s">
        <v>29</v>
      </c>
      <c r="E52" s="306" t="s">
        <v>638</v>
      </c>
      <c r="F52" s="307" t="s">
        <v>443</v>
      </c>
      <c r="G52" s="308"/>
      <c r="H52" s="309"/>
      <c r="I52" s="306" t="s">
        <v>1084</v>
      </c>
      <c r="J52" s="306" t="s">
        <v>1085</v>
      </c>
      <c r="K52" s="306" t="s">
        <v>1086</v>
      </c>
      <c r="L52" s="306" t="s">
        <v>1087</v>
      </c>
      <c r="M52" s="306" t="s">
        <v>557</v>
      </c>
      <c r="N52" s="306" t="s">
        <v>558</v>
      </c>
      <c r="XFD52" s="240" t="s">
        <v>556</v>
      </c>
    </row>
    <row r="53" spans="1:22 16384:16384" s="240" customFormat="1" ht="16.899999999999999" customHeight="1" outlineLevel="1" x14ac:dyDescent="0.25">
      <c r="B53" s="310"/>
      <c r="C53" s="310"/>
      <c r="D53" s="311"/>
      <c r="E53" s="311" t="str">
        <f>'Fatores de Emissão'!E23</f>
        <v>(MJ/unid)</v>
      </c>
      <c r="F53" s="312">
        <f>'Combustão Estacionária'!D49</f>
        <v>0</v>
      </c>
      <c r="G53" s="313"/>
      <c r="H53" s="314"/>
      <c r="I53" s="315"/>
      <c r="J53" s="315"/>
      <c r="K53" s="315"/>
      <c r="L53" s="315"/>
      <c r="M53" s="315"/>
      <c r="N53" s="315"/>
    </row>
    <row r="54" spans="1:22 16384:16384" s="240" customFormat="1" ht="16.899999999999999" customHeight="1" outlineLevel="1" x14ac:dyDescent="0.25">
      <c r="B54" s="316"/>
      <c r="C54" s="316"/>
      <c r="D54" s="315"/>
      <c r="E54" s="315"/>
      <c r="F54" s="178" t="s">
        <v>1088</v>
      </c>
      <c r="G54" s="178" t="s">
        <v>1089</v>
      </c>
      <c r="H54" s="219" t="s">
        <v>1090</v>
      </c>
      <c r="I54" s="219" t="s">
        <v>180</v>
      </c>
      <c r="J54" s="219" t="s">
        <v>180</v>
      </c>
      <c r="K54" s="219" t="s">
        <v>180</v>
      </c>
      <c r="L54" s="219" t="s">
        <v>180</v>
      </c>
      <c r="M54" s="219" t="s">
        <v>585</v>
      </c>
      <c r="N54" s="219" t="s">
        <v>586</v>
      </c>
    </row>
    <row r="55" spans="1:22 16384:16384" s="240" customFormat="1" outlineLevel="1" x14ac:dyDescent="0.25">
      <c r="A55" s="282">
        <v>1</v>
      </c>
      <c r="B55" s="281" t="str">
        <f>'Fatores de Emissão'!$B$24</f>
        <v>Antracite</v>
      </c>
      <c r="C55" s="252">
        <f>SUMIF('Combustão Estacionária'!$C$71:$C$168,B55,'Combustão Estacionária'!$D$71:$D$168)</f>
        <v>0</v>
      </c>
      <c r="D55" s="317" t="str">
        <f>'Fatores de Emissão'!D24</f>
        <v>Toneladas</v>
      </c>
      <c r="E55" s="280">
        <f>VLOOKUP($B55,'Fatores de Emissão'!$B$24:$Q$75,4,FALSE)</f>
        <v>26700</v>
      </c>
      <c r="F55" s="280">
        <f>VLOOKUP($B55,'Fatores de Emissão'!$B$24:$Q$75,6,FALSE)*E55/1000000</f>
        <v>2572.1178</v>
      </c>
      <c r="G55" s="318" t="str">
        <f>IF($F$53='Fatores de Emissão'!$J$23,'Fatores de Emissão'!J24*E55/1000000,IF($F$53='Fatores de Emissão'!$K$23,'Fatores de Emissão'!K24*E55/1000000,IF($F$53='Fatores de Emissão'!$L$23,'Fatores de Emissão'!L24*E55/1000000,IF($F$53='Fatores de Emissão'!$M$23,'Fatores de Emissão'!M24*E55/1000000,""))))</f>
        <v/>
      </c>
      <c r="H55" s="318" t="str">
        <f>IF($F$53='Fatores de Emissão'!$N$23,'Fatores de Emissão'!N24*E55/1000000,IF($F$53='Fatores de Emissão'!$O$23,'Fatores de Emissão'!O24*E55/1000000,IF($F$53='Fatores de Emissão'!$P$23,'Fatores de Emissão'!P24*E55/1000000,IF($F$53='Fatores de Emissão'!$Q$23,'Fatores de Emissão'!Q24*E55/1000000,""))))</f>
        <v/>
      </c>
      <c r="I55" s="279" t="str">
        <f>IF($C55=0,"-",F55*$C55)</f>
        <v>-</v>
      </c>
      <c r="J55" s="279" t="str">
        <f t="shared" ref="J55:J89" si="0">IF($C55=0,"-",G55*$C55)</f>
        <v>-</v>
      </c>
      <c r="K55" s="279" t="str">
        <f t="shared" ref="K55:K89" si="1">IF($C55=0,"-",H55*$C55)</f>
        <v>-</v>
      </c>
      <c r="L55" s="319" t="str">
        <f>IF(C55=0,"-",I55*'Fatores de Emissão'!$E$262+CE!J55*'Fatores de Emissão'!$E$258+CE!K55*'Fatores de Emissão'!$E$259)</f>
        <v>-</v>
      </c>
      <c r="M55" s="252">
        <f>'Fatores de Emissão'!R24</f>
        <v>0</v>
      </c>
      <c r="N55" s="280">
        <f>IF(M55="",0,M55*C55)</f>
        <v>0</v>
      </c>
    </row>
    <row r="56" spans="1:22 16384:16384" s="240" customFormat="1" outlineLevel="1" x14ac:dyDescent="0.25">
      <c r="A56" s="282">
        <v>3</v>
      </c>
      <c r="B56" s="281" t="str">
        <f>'Fatores de Emissão'!$B$25</f>
        <v>Betume</v>
      </c>
      <c r="C56" s="252">
        <f>SUMIF('Combustão Estacionária'!$C$71:$C$168,B56,'Combustão Estacionária'!$D$71:$D$168)</f>
        <v>0</v>
      </c>
      <c r="D56" s="317" t="str">
        <f>'Fatores de Emissão'!D25</f>
        <v>Toneladas</v>
      </c>
      <c r="E56" s="280">
        <f>VLOOKUP($B56,'Fatores de Emissão'!$B$24:$Q$75,4,FALSE)</f>
        <v>40200</v>
      </c>
      <c r="F56" s="280">
        <f>VLOOKUP($B56,'Fatores de Emissão'!$B$24:$Q$75,6,FALSE)*E56/1000000</f>
        <v>3179.2572</v>
      </c>
      <c r="G56" s="318" t="str">
        <f>IF($F$53='Fatores de Emissão'!$J$23,'Fatores de Emissão'!J25*E56/1000000,IF($F$53='Fatores de Emissão'!$K$23,'Fatores de Emissão'!K25*E56/1000000,IF($F$53='Fatores de Emissão'!$L$23,'Fatores de Emissão'!L25*E56/1000000,IF($F$53='Fatores de Emissão'!$M$23,'Fatores de Emissão'!M25*E56/1000000,""))))</f>
        <v/>
      </c>
      <c r="H56" s="318" t="str">
        <f>IF($F$53='Fatores de Emissão'!$N$23,'Fatores de Emissão'!N25*E56/1000000,IF($F$53='Fatores de Emissão'!$O$23,'Fatores de Emissão'!O25*E56/1000000,IF($F$53='Fatores de Emissão'!$P$23,'Fatores de Emissão'!P25*E56/1000000,IF($F$53='Fatores de Emissão'!$Q$23,'Fatores de Emissão'!Q25*E56/1000000,""))))</f>
        <v/>
      </c>
      <c r="I56" s="279" t="str">
        <f t="shared" ref="I56:I89" si="2">IF($C56=0,"-",F56*$C56)</f>
        <v>-</v>
      </c>
      <c r="J56" s="279" t="str">
        <f t="shared" si="0"/>
        <v>-</v>
      </c>
      <c r="K56" s="279" t="str">
        <f t="shared" si="1"/>
        <v>-</v>
      </c>
      <c r="L56" s="319" t="str">
        <f>IF(C56=0,"-",I56*'Fatores de Emissão'!$E$262+CE!J56*'Fatores de Emissão'!$E$258+CE!K56*'Fatores de Emissão'!$E$259)</f>
        <v>-</v>
      </c>
      <c r="M56" s="252">
        <f>'Fatores de Emissão'!R25</f>
        <v>0</v>
      </c>
      <c r="N56" s="252">
        <f t="shared" ref="N56:N89" si="3">IF(M56="",0,M56*C56)</f>
        <v>0</v>
      </c>
    </row>
    <row r="57" spans="1:22 16384:16384" s="240" customFormat="1" outlineLevel="1" x14ac:dyDescent="0.25">
      <c r="A57" s="282">
        <v>4</v>
      </c>
      <c r="B57" s="281" t="str">
        <f>'Fatores de Emissão'!$B$26</f>
        <v>Briquetes de linhite</v>
      </c>
      <c r="C57" s="252">
        <f>SUMIF('Combustão Estacionária'!$C$71:$C$168,B57,'Combustão Estacionária'!$D$71:$D$168)</f>
        <v>0</v>
      </c>
      <c r="D57" s="317" t="str">
        <f>'Fatores de Emissão'!D26</f>
        <v>Toneladas</v>
      </c>
      <c r="E57" s="280">
        <f>VLOOKUP($B57,'Fatores de Emissão'!$B$24:$Q$75,4,FALSE)</f>
        <v>20000</v>
      </c>
      <c r="F57" s="280">
        <f>VLOOKUP($B57,'Fatores de Emissão'!$B$24:$Q$75,6,FALSE)*E57/1000000</f>
        <v>1911</v>
      </c>
      <c r="G57" s="318" t="str">
        <f>IF($F$53='Fatores de Emissão'!$J$23,'Fatores de Emissão'!J26*E57/1000000,IF($F$53='Fatores de Emissão'!$K$23,'Fatores de Emissão'!K26*E57/1000000,IF($F$53='Fatores de Emissão'!$L$23,'Fatores de Emissão'!L26*E57/1000000,IF($F$53='Fatores de Emissão'!$M$23,'Fatores de Emissão'!M26*E57/1000000,""))))</f>
        <v/>
      </c>
      <c r="H57" s="318" t="str">
        <f>IF($F$53='Fatores de Emissão'!$N$23,'Fatores de Emissão'!N26*E57/1000000,IF($F$53='Fatores de Emissão'!$O$23,'Fatores de Emissão'!O26*E57/1000000,IF($F$53='Fatores de Emissão'!$P$23,'Fatores de Emissão'!P26*E57/1000000,IF($F$53='Fatores de Emissão'!$Q$23,'Fatores de Emissão'!Q26*E57/1000000,""))))</f>
        <v/>
      </c>
      <c r="I57" s="279" t="str">
        <f t="shared" si="2"/>
        <v>-</v>
      </c>
      <c r="J57" s="279" t="str">
        <f t="shared" si="0"/>
        <v>-</v>
      </c>
      <c r="K57" s="279" t="str">
        <f t="shared" si="1"/>
        <v>-</v>
      </c>
      <c r="L57" s="319" t="str">
        <f>IF(C57=0,"-",I57*'Fatores de Emissão'!$E$262+CE!J57*'Fatores de Emissão'!$E$258+CE!K57*'Fatores de Emissão'!$E$259)</f>
        <v>-</v>
      </c>
      <c r="M57" s="252">
        <f>'Fatores de Emissão'!R26</f>
        <v>0</v>
      </c>
      <c r="N57" s="252">
        <f t="shared" si="3"/>
        <v>0</v>
      </c>
    </row>
    <row r="58" spans="1:22 16384:16384" s="240" customFormat="1" outlineLevel="1" x14ac:dyDescent="0.25">
      <c r="A58" s="282">
        <v>6</v>
      </c>
      <c r="B58" s="281" t="str">
        <f>'Fatores de Emissão'!$B$27</f>
        <v>Ceras Parafínicas</v>
      </c>
      <c r="C58" s="252">
        <f>SUMIF('Combustão Estacionária'!$C$71:$C$168,B58,'Combustão Estacionária'!$D$71:$D$168)</f>
        <v>0</v>
      </c>
      <c r="D58" s="317" t="str">
        <f>'Fatores de Emissão'!D27</f>
        <v>Toneladas</v>
      </c>
      <c r="E58" s="280">
        <f>VLOOKUP($B58,'Fatores de Emissão'!$B$24:$Q$75,4,FALSE)</f>
        <v>40200</v>
      </c>
      <c r="F58" s="280">
        <f>VLOOKUP($B58,'Fatores de Emissão'!$B$24:$Q$75,6,FALSE)*E58/1000000</f>
        <v>2946.66</v>
      </c>
      <c r="G58" s="318" t="str">
        <f>IF($F$53='Fatores de Emissão'!$J$23,'Fatores de Emissão'!J27*E58/1000000,IF($F$53='Fatores de Emissão'!$K$23,'Fatores de Emissão'!K27*E58/1000000,IF($F$53='Fatores de Emissão'!$L$23,'Fatores de Emissão'!L27*E58/1000000,IF($F$53='Fatores de Emissão'!$M$23,'Fatores de Emissão'!M27*E58/1000000,""))))</f>
        <v/>
      </c>
      <c r="H58" s="318" t="str">
        <f>IF($F$53='Fatores de Emissão'!$N$23,'Fatores de Emissão'!N27*E58/1000000,IF($F$53='Fatores de Emissão'!$O$23,'Fatores de Emissão'!O27*E58/1000000,IF($F$53='Fatores de Emissão'!$P$23,'Fatores de Emissão'!P27*E58/1000000,IF($F$53='Fatores de Emissão'!$Q$23,'Fatores de Emissão'!Q27*E58/1000000,""))))</f>
        <v/>
      </c>
      <c r="I58" s="279" t="str">
        <f t="shared" si="2"/>
        <v>-</v>
      </c>
      <c r="J58" s="279" t="str">
        <f t="shared" si="0"/>
        <v>-</v>
      </c>
      <c r="K58" s="279" t="str">
        <f t="shared" si="1"/>
        <v>-</v>
      </c>
      <c r="L58" s="319" t="str">
        <f>IF(C58=0,"-",I58*'Fatores de Emissão'!$E$262+CE!J58*'Fatores de Emissão'!$E$258+CE!K58*'Fatores de Emissão'!$E$259)</f>
        <v>-</v>
      </c>
      <c r="M58" s="252">
        <f>'Fatores de Emissão'!R27</f>
        <v>0</v>
      </c>
      <c r="N58" s="252">
        <f t="shared" si="3"/>
        <v>0</v>
      </c>
    </row>
    <row r="59" spans="1:22 16384:16384" s="240" customFormat="1" outlineLevel="1" x14ac:dyDescent="0.25">
      <c r="A59" s="282">
        <v>7</v>
      </c>
      <c r="B59" s="281" t="str">
        <f>'Fatores de Emissão'!$B$43</f>
        <v>Gasolina para motores</v>
      </c>
      <c r="C59" s="252">
        <f>SUMIF('Combustão Estacionária'!$C$71:$C$168,B59,'Combustão Estacionária'!$D$71:$D$168)</f>
        <v>0</v>
      </c>
      <c r="D59" s="317" t="str">
        <f>'Fatores de Emissão'!D43</f>
        <v>Litros</v>
      </c>
      <c r="E59" s="280">
        <f>VLOOKUP($B59,'Fatores de Emissão'!$B$24:$Q$75,4,FALSE)</f>
        <v>2.0395833333333332E-2</v>
      </c>
      <c r="F59" s="280">
        <f>VLOOKUP($B59,'Fatores de Emissão'!$B$24:$Q$75,6,FALSE)*E59/1000000</f>
        <v>1.3992969374999997E-3</v>
      </c>
      <c r="G59" s="318" t="str">
        <f>IF($F$53='Fatores de Emissão'!$J$23,'Fatores de Emissão'!J43*E59/1000000,IF($F$53='Fatores de Emissão'!$K$23,'Fatores de Emissão'!K43*E59/1000000,IF($F$53='Fatores de Emissão'!$L$23,'Fatores de Emissão'!L43*E59/1000000,IF($F$53='Fatores de Emissão'!$M$23,'Fatores de Emissão'!M43*E59/1000000,""))))</f>
        <v/>
      </c>
      <c r="H59" s="318" t="str">
        <f>IF($F$53='Fatores de Emissão'!$N$23,'Fatores de Emissão'!N43*E59/1000000,IF($F$53='Fatores de Emissão'!$O$23,'Fatores de Emissão'!O43*E59/1000000,IF($F$53='Fatores de Emissão'!$P$23,'Fatores de Emissão'!P43*E59/1000000,IF($F$53='Fatores de Emissão'!$Q$23,'Fatores de Emissão'!Q43*E59/1000000,""))))</f>
        <v/>
      </c>
      <c r="I59" s="279" t="str">
        <f t="shared" si="2"/>
        <v>-</v>
      </c>
      <c r="J59" s="279" t="str">
        <f t="shared" si="0"/>
        <v>-</v>
      </c>
      <c r="K59" s="279" t="str">
        <f t="shared" si="1"/>
        <v>-</v>
      </c>
      <c r="L59" s="319" t="str">
        <f>IF(C59=0,"-",I59*'Fatores de Emissão'!$E$262+CE!J59*'Fatores de Emissão'!$E$258+CE!K59*'Fatores de Emissão'!$E$259)</f>
        <v>-</v>
      </c>
      <c r="M59" s="252">
        <f>'Fatores de Emissão'!R43</f>
        <v>2.2411459459459466E-6</v>
      </c>
      <c r="N59" s="252">
        <f t="shared" si="3"/>
        <v>0</v>
      </c>
    </row>
    <row r="60" spans="1:22 16384:16384" s="240" customFormat="1" outlineLevel="1" x14ac:dyDescent="0.25">
      <c r="A60" s="282">
        <v>8</v>
      </c>
      <c r="B60" s="281" t="str">
        <f>'Fatores de Emissão'!$B$28</f>
        <v>Carvão de coque</v>
      </c>
      <c r="C60" s="252">
        <f>SUMIF('Combustão Estacionária'!$C$71:$C$168,B60,'Combustão Estacionária'!$D$71:$D$168)</f>
        <v>0</v>
      </c>
      <c r="D60" s="317" t="str">
        <f>'Fatores de Emissão'!D28</f>
        <v>Toneladas</v>
      </c>
      <c r="E60" s="280">
        <f>VLOOKUP($B60,'Fatores de Emissão'!$B$24:$Q$75,4,FALSE)</f>
        <v>28200</v>
      </c>
      <c r="F60" s="280">
        <f>VLOOKUP($B60,'Fatores de Emissão'!$B$24:$Q$75,6,FALSE)*E60/1000000</f>
        <v>2614.3656000000001</v>
      </c>
      <c r="G60" s="318" t="str">
        <f>IF($F$53='Fatores de Emissão'!$J$23,'Fatores de Emissão'!J28*E60/1000000,IF($F$53='Fatores de Emissão'!$K$23,'Fatores de Emissão'!K28*E60/1000000,IF($F$53='Fatores de Emissão'!$L$23,'Fatores de Emissão'!L28*E60/1000000,IF($F$53='Fatores de Emissão'!$M$23,'Fatores de Emissão'!M28*E60/1000000,""))))</f>
        <v/>
      </c>
      <c r="H60" s="318" t="str">
        <f>IF($F$53='Fatores de Emissão'!$N$23,'Fatores de Emissão'!N28*E60/1000000,IF($F$53='Fatores de Emissão'!$O$23,'Fatores de Emissão'!O28*E60/1000000,IF($F$53='Fatores de Emissão'!$P$23,'Fatores de Emissão'!P28*E60/1000000,IF($F$53='Fatores de Emissão'!$Q$23,'Fatores de Emissão'!Q28*E60/1000000,""))))</f>
        <v/>
      </c>
      <c r="I60" s="279" t="str">
        <f t="shared" si="2"/>
        <v>-</v>
      </c>
      <c r="J60" s="279" t="str">
        <f t="shared" si="0"/>
        <v>-</v>
      </c>
      <c r="K60" s="279" t="str">
        <f t="shared" si="1"/>
        <v>-</v>
      </c>
      <c r="L60" s="319" t="str">
        <f>IF(C60=0,"-",I60*'Fatores de Emissão'!$E$262+CE!J60*'Fatores de Emissão'!$E$258+CE!K60*'Fatores de Emissão'!$E$259)</f>
        <v>-</v>
      </c>
      <c r="M60" s="252">
        <f>'Fatores de Emissão'!R28</f>
        <v>0</v>
      </c>
      <c r="N60" s="252">
        <f t="shared" si="3"/>
        <v>0</v>
      </c>
    </row>
    <row r="61" spans="1:22 16384:16384" s="240" customFormat="1" ht="31.5" outlineLevel="1" x14ac:dyDescent="0.25">
      <c r="A61" s="282">
        <v>9</v>
      </c>
      <c r="B61" s="281" t="str">
        <f>'Fatores de Emissão'!$B$29</f>
        <v>Coque de forno de coque e coque de linhite</v>
      </c>
      <c r="C61" s="252">
        <f>SUMIF('Combustão Estacionária'!$C$71:$C$168,B61,'Combustão Estacionária'!$D$71:$D$168)</f>
        <v>0</v>
      </c>
      <c r="D61" s="317" t="str">
        <f>'Fatores de Emissão'!D29</f>
        <v>Toneladas</v>
      </c>
      <c r="E61" s="280">
        <f>VLOOKUP($B61,'Fatores de Emissão'!$B$24:$Q$75,4,FALSE)</f>
        <v>28350</v>
      </c>
      <c r="F61" s="280">
        <f>VLOOKUP($B61,'Fatores de Emissão'!$B$24:$Q$75,6,FALSE)*E61/1000000</f>
        <v>2972.7809999999999</v>
      </c>
      <c r="G61" s="318" t="str">
        <f>IF($F$53='Fatores de Emissão'!$J$23,'Fatores de Emissão'!J29*E61/1000000,IF($F$53='Fatores de Emissão'!$K$23,'Fatores de Emissão'!K29*E61/1000000,IF($F$53='Fatores de Emissão'!$L$23,'Fatores de Emissão'!L29*E61/1000000,IF($F$53='Fatores de Emissão'!$M$23,'Fatores de Emissão'!M29*E61/1000000,""))))</f>
        <v/>
      </c>
      <c r="H61" s="318" t="str">
        <f>IF($F$53='Fatores de Emissão'!$N$23,'Fatores de Emissão'!N29*E61/1000000,IF($F$53='Fatores de Emissão'!$O$23,'Fatores de Emissão'!O29*E61/1000000,IF($F$53='Fatores de Emissão'!$P$23,'Fatores de Emissão'!P29*E61/1000000,IF($F$53='Fatores de Emissão'!$Q$23,'Fatores de Emissão'!Q29*E61/1000000,""))))</f>
        <v/>
      </c>
      <c r="I61" s="279" t="str">
        <f t="shared" si="2"/>
        <v>-</v>
      </c>
      <c r="J61" s="279" t="str">
        <f t="shared" si="0"/>
        <v>-</v>
      </c>
      <c r="K61" s="279" t="str">
        <f t="shared" si="1"/>
        <v>-</v>
      </c>
      <c r="L61" s="319" t="str">
        <f>IF(C61=0,"-",I61*'Fatores de Emissão'!$E$262+CE!J61*'Fatores de Emissão'!$E$258+CE!K61*'Fatores de Emissão'!$E$259)</f>
        <v>-</v>
      </c>
      <c r="M61" s="252">
        <f>'Fatores de Emissão'!R29</f>
        <v>0</v>
      </c>
      <c r="N61" s="252">
        <f t="shared" si="3"/>
        <v>0</v>
      </c>
    </row>
    <row r="62" spans="1:22 16384:16384" s="240" customFormat="1" outlineLevel="1" x14ac:dyDescent="0.25">
      <c r="A62" s="282">
        <v>10</v>
      </c>
      <c r="B62" s="281" t="str">
        <f>'Fatores de Emissão'!$B$30</f>
        <v>Coque de Petróleo</v>
      </c>
      <c r="C62" s="252">
        <f>SUMIF('Combustão Estacionária'!$C$71:$C$168,B62,'Combustão Estacionária'!$D$71:$D$168)</f>
        <v>0</v>
      </c>
      <c r="D62" s="317" t="str">
        <f>'Fatores de Emissão'!D30</f>
        <v>Toneladas</v>
      </c>
      <c r="E62" s="280">
        <f>VLOOKUP($B62,'Fatores de Emissão'!$B$24:$Q$75,4,FALSE)</f>
        <v>31750</v>
      </c>
      <c r="F62" s="280">
        <f>VLOOKUP($B62,'Fatores de Emissão'!$B$24:$Q$75,6,FALSE)*E62/1000000</f>
        <v>3033.7125000000001</v>
      </c>
      <c r="G62" s="318" t="str">
        <f>IF($F$53='Fatores de Emissão'!$J$23,'Fatores de Emissão'!J30*E62/1000000,IF($F$53='Fatores de Emissão'!$K$23,'Fatores de Emissão'!K30*E62/1000000,IF($F$53='Fatores de Emissão'!$L$23,'Fatores de Emissão'!L30*E62/1000000,IF($F$53='Fatores de Emissão'!$M$23,'Fatores de Emissão'!M30*E62/1000000,""))))</f>
        <v/>
      </c>
      <c r="H62" s="318" t="str">
        <f>IF($F$53='Fatores de Emissão'!$N$23,'Fatores de Emissão'!N30*E62/1000000,IF($F$53='Fatores de Emissão'!$O$23,'Fatores de Emissão'!O30*E62/1000000,IF($F$53='Fatores de Emissão'!$P$23,'Fatores de Emissão'!P30*E62/1000000,IF($F$53='Fatores de Emissão'!$Q$23,'Fatores de Emissão'!Q30*E62/1000000,""))))</f>
        <v/>
      </c>
      <c r="I62" s="279" t="str">
        <f t="shared" si="2"/>
        <v>-</v>
      </c>
      <c r="J62" s="279" t="str">
        <f t="shared" si="0"/>
        <v>-</v>
      </c>
      <c r="K62" s="279" t="str">
        <f t="shared" si="1"/>
        <v>-</v>
      </c>
      <c r="L62" s="319" t="str">
        <f>IF(C62=0,"-",I62*'Fatores de Emissão'!$E$262+CE!J62*'Fatores de Emissão'!$E$258+CE!K62*'Fatores de Emissão'!$E$259)</f>
        <v>-</v>
      </c>
      <c r="M62" s="252">
        <f>'Fatores de Emissão'!R30</f>
        <v>0</v>
      </c>
      <c r="N62" s="252">
        <f t="shared" si="3"/>
        <v>0</v>
      </c>
    </row>
    <row r="63" spans="1:22 16384:16384" s="240" customFormat="1" outlineLevel="1" x14ac:dyDescent="0.25">
      <c r="A63" s="282">
        <v>11</v>
      </c>
      <c r="B63" s="281" t="str">
        <f>'Fatores de Emissão'!$B$31</f>
        <v>Etano</v>
      </c>
      <c r="C63" s="252">
        <f>SUMIF('Combustão Estacionária'!$C$71:$C$168,B63,'Combustão Estacionária'!$D$71:$D$168)</f>
        <v>0</v>
      </c>
      <c r="D63" s="317" t="str">
        <f>'Fatores de Emissão'!D31</f>
        <v>kg</v>
      </c>
      <c r="E63" s="280">
        <f>VLOOKUP($B63,'Fatores de Emissão'!$B$24:$Q$75,4,FALSE)</f>
        <v>46.4</v>
      </c>
      <c r="F63" s="280">
        <f>VLOOKUP($B63,'Fatores de Emissão'!$B$24:$Q$75,6,FALSE)*E63/1000000</f>
        <v>2.8582399999999999</v>
      </c>
      <c r="G63" s="318" t="str">
        <f>IF($F$53='Fatores de Emissão'!$J$23,'Fatores de Emissão'!J31*E63/1000000,IF($F$53='Fatores de Emissão'!$K$23,'Fatores de Emissão'!K31*E63/1000000,IF($F$53='Fatores de Emissão'!$L$23,'Fatores de Emissão'!L31*E63/1000000,IF($F$53='Fatores de Emissão'!$M$23,'Fatores de Emissão'!M31*E63/1000000,""))))</f>
        <v/>
      </c>
      <c r="H63" s="318" t="str">
        <f>IF($F$53='Fatores de Emissão'!$N$23,'Fatores de Emissão'!N31*E63/1000000,IF($F$53='Fatores de Emissão'!$O$23,'Fatores de Emissão'!O31*E63/1000000,IF($F$53='Fatores de Emissão'!$P$23,'Fatores de Emissão'!P31*E63/1000000,IF($F$53='Fatores de Emissão'!$Q$23,'Fatores de Emissão'!Q31*E63/1000000,""))))</f>
        <v/>
      </c>
      <c r="I63" s="279" t="str">
        <f t="shared" si="2"/>
        <v>-</v>
      </c>
      <c r="J63" s="279" t="str">
        <f t="shared" si="0"/>
        <v>-</v>
      </c>
      <c r="K63" s="279" t="str">
        <f t="shared" si="1"/>
        <v>-</v>
      </c>
      <c r="L63" s="319" t="str">
        <f>IF(C63=0,"-",I63*'Fatores de Emissão'!$E$262+CE!J63*'Fatores de Emissão'!$E$258+CE!K63*'Fatores de Emissão'!$E$259)</f>
        <v>-</v>
      </c>
      <c r="M63" s="252">
        <f>'Fatores de Emissão'!R31</f>
        <v>0</v>
      </c>
      <c r="N63" s="252">
        <f t="shared" si="3"/>
        <v>0</v>
      </c>
    </row>
    <row r="64" spans="1:22 16384:16384" s="240" customFormat="1" outlineLevel="1" x14ac:dyDescent="0.25">
      <c r="A64" s="282">
        <v>12</v>
      </c>
      <c r="B64" s="281" t="str">
        <f>'Fatores de Emissão'!$B$32</f>
        <v>Fuelóleo</v>
      </c>
      <c r="C64" s="252">
        <f>SUMIF('Combustão Estacionária'!$C$71:$C$168,B64,'Combustão Estacionária'!$D$71:$D$168)</f>
        <v>0</v>
      </c>
      <c r="D64" s="317" t="str">
        <f>'Fatores de Emissão'!D32</f>
        <v>Litros</v>
      </c>
      <c r="E64" s="280">
        <f>VLOOKUP($B64,'Fatores de Emissão'!$B$24:$Q$75,4,FALSE)</f>
        <v>37.948800000000006</v>
      </c>
      <c r="F64" s="280">
        <f>VLOOKUP($B64,'Fatores de Emissão'!$B$24:$Q$75,6,FALSE)*E64/1000000</f>
        <v>2.9078647488000007</v>
      </c>
      <c r="G64" s="318" t="str">
        <f>IF($F$53='Fatores de Emissão'!$J$23,'Fatores de Emissão'!J32*E64/1000000,IF($F$53='Fatores de Emissão'!$K$23,'Fatores de Emissão'!K32*E64/1000000,IF($F$53='Fatores de Emissão'!$L$23,'Fatores de Emissão'!L32*E64/1000000,IF($F$53='Fatores de Emissão'!$M$23,'Fatores de Emissão'!M32*E64/1000000,""))))</f>
        <v/>
      </c>
      <c r="H64" s="318" t="str">
        <f>IF($F$53='Fatores de Emissão'!$N$23,'Fatores de Emissão'!N32*E64/1000000,IF($F$53='Fatores de Emissão'!$O$23,'Fatores de Emissão'!O32*E64/1000000,IF($F$53='Fatores de Emissão'!$P$23,'Fatores de Emissão'!P32*E64/1000000,IF($F$53='Fatores de Emissão'!$Q$23,'Fatores de Emissão'!Q32*E64/1000000,""))))</f>
        <v/>
      </c>
      <c r="I64" s="279" t="str">
        <f t="shared" si="2"/>
        <v>-</v>
      </c>
      <c r="J64" s="279" t="str">
        <f t="shared" si="0"/>
        <v>-</v>
      </c>
      <c r="K64" s="279" t="str">
        <f t="shared" si="1"/>
        <v>-</v>
      </c>
      <c r="L64" s="319" t="str">
        <f>IF(C64=0,"-",I64*'Fatores de Emissão'!$E$262+CE!J64*'Fatores de Emissão'!$E$258+CE!K64*'Fatores de Emissão'!$E$259)</f>
        <v>-</v>
      </c>
      <c r="M64" s="252">
        <f>'Fatores de Emissão'!R32</f>
        <v>2.2411459459459466E-6</v>
      </c>
      <c r="N64" s="252">
        <f t="shared" si="3"/>
        <v>0</v>
      </c>
    </row>
    <row r="65" spans="1:14" s="240" customFormat="1" outlineLevel="1" x14ac:dyDescent="0.25">
      <c r="A65" s="282">
        <v>13</v>
      </c>
      <c r="B65" s="281" t="str">
        <f>'Fatores de Emissão'!$B$33</f>
        <v>Gás de Alto Forno</v>
      </c>
      <c r="C65" s="252">
        <f>SUMIF('Combustão Estacionária'!$C$71:$C$168,B65,'Combustão Estacionária'!$D$71:$D$168)</f>
        <v>0</v>
      </c>
      <c r="D65" s="317" t="str">
        <f>'Fatores de Emissão'!D33</f>
        <v>Toneladas</v>
      </c>
      <c r="E65" s="280">
        <f>VLOOKUP($B65,'Fatores de Emissão'!$B$24:$Q$75,4,FALSE)</f>
        <v>2500</v>
      </c>
      <c r="F65" s="280">
        <f>VLOOKUP($B65,'Fatores de Emissão'!$B$24:$Q$75,6,FALSE)*E65/1000000</f>
        <v>646.75</v>
      </c>
      <c r="G65" s="318" t="str">
        <f>IF($F$53='Fatores de Emissão'!$J$23,'Fatores de Emissão'!J33*E65/1000000,IF($F$53='Fatores de Emissão'!$K$23,'Fatores de Emissão'!K33*E65/1000000,IF($F$53='Fatores de Emissão'!$L$23,'Fatores de Emissão'!L33*E65/1000000,IF($F$53='Fatores de Emissão'!$M$23,'Fatores de Emissão'!M33*E65/1000000,""))))</f>
        <v/>
      </c>
      <c r="H65" s="318" t="str">
        <f>IF($F$53='Fatores de Emissão'!$N$23,'Fatores de Emissão'!N33*E65/1000000,IF($F$53='Fatores de Emissão'!$O$23,'Fatores de Emissão'!O33*E65/1000000,IF($F$53='Fatores de Emissão'!$P$23,'Fatores de Emissão'!P33*E65/1000000,IF($F$53='Fatores de Emissão'!$Q$23,'Fatores de Emissão'!Q33*E65/1000000,""))))</f>
        <v/>
      </c>
      <c r="I65" s="279" t="str">
        <f t="shared" si="2"/>
        <v>-</v>
      </c>
      <c r="J65" s="279" t="str">
        <f t="shared" si="0"/>
        <v>-</v>
      </c>
      <c r="K65" s="279" t="str">
        <f t="shared" si="1"/>
        <v>-</v>
      </c>
      <c r="L65" s="319" t="str">
        <f>IF(C65=0,"-",I65*'Fatores de Emissão'!$E$262+CE!J65*'Fatores de Emissão'!$E$258+CE!K65*'Fatores de Emissão'!$E$259)</f>
        <v>-</v>
      </c>
      <c r="M65" s="252">
        <f>'Fatores de Emissão'!R33</f>
        <v>0</v>
      </c>
      <c r="N65" s="252">
        <f t="shared" si="3"/>
        <v>0</v>
      </c>
    </row>
    <row r="66" spans="1:14" s="240" customFormat="1" outlineLevel="1" x14ac:dyDescent="0.25">
      <c r="A66" s="282">
        <v>14</v>
      </c>
      <c r="B66" s="281" t="str">
        <f>'Fatores de Emissão'!$B$34</f>
        <v xml:space="preserve">Gás de Coqueria </v>
      </c>
      <c r="C66" s="252">
        <f>SUMIF('Combustão Estacionária'!$C$71:$C$168,B66,'Combustão Estacionária'!$D$71:$D$168)</f>
        <v>0</v>
      </c>
      <c r="D66" s="317" t="str">
        <f>'Fatores de Emissão'!D34</f>
        <v>Toneladas</v>
      </c>
      <c r="E66" s="280">
        <f>VLOOKUP($B66,'Fatores de Emissão'!$B$24:$Q$75,4,FALSE)</f>
        <v>38700</v>
      </c>
      <c r="F66" s="280">
        <f>VLOOKUP($B66,'Fatores de Emissão'!$B$24:$Q$75,6,FALSE)*E66/1000000</f>
        <v>1709.6886</v>
      </c>
      <c r="G66" s="318" t="str">
        <f>IF($F$53='Fatores de Emissão'!$J$23,'Fatores de Emissão'!J34*E66/1000000,IF($F$53='Fatores de Emissão'!$K$23,'Fatores de Emissão'!K34*E66/1000000,IF($F$53='Fatores de Emissão'!$L$23,'Fatores de Emissão'!L34*E66/1000000,IF($F$53='Fatores de Emissão'!$M$23,'Fatores de Emissão'!M34*E66/1000000,""))))</f>
        <v/>
      </c>
      <c r="H66" s="318" t="str">
        <f>IF($F$53='Fatores de Emissão'!$N$23,'Fatores de Emissão'!N34*E66/1000000,IF($F$53='Fatores de Emissão'!$O$23,'Fatores de Emissão'!O34*E66/1000000,IF($F$53='Fatores de Emissão'!$P$23,'Fatores de Emissão'!P34*E66/1000000,IF($F$53='Fatores de Emissão'!$Q$23,'Fatores de Emissão'!Q34*E66/1000000,""))))</f>
        <v/>
      </c>
      <c r="I66" s="279" t="str">
        <f t="shared" si="2"/>
        <v>-</v>
      </c>
      <c r="J66" s="279" t="str">
        <f t="shared" si="0"/>
        <v>-</v>
      </c>
      <c r="K66" s="279" t="str">
        <f t="shared" si="1"/>
        <v>-</v>
      </c>
      <c r="L66" s="319" t="str">
        <f>IF(C66=0,"-",I66*'Fatores de Emissão'!$E$262+CE!J66*'Fatores de Emissão'!$E$258+CE!K66*'Fatores de Emissão'!$E$259)</f>
        <v>-</v>
      </c>
      <c r="M66" s="252">
        <f>'Fatores de Emissão'!R34</f>
        <v>0</v>
      </c>
      <c r="N66" s="252">
        <f t="shared" si="3"/>
        <v>0</v>
      </c>
    </row>
    <row r="67" spans="1:14" s="240" customFormat="1" ht="31.5" outlineLevel="1" x14ac:dyDescent="0.25">
      <c r="A67" s="282">
        <v>15</v>
      </c>
      <c r="B67" s="281" t="str">
        <f>'Fatores de Emissão'!$B$35</f>
        <v>Gás produzido em fábricas</v>
      </c>
      <c r="C67" s="252">
        <f>SUMIF('Combustão Estacionária'!$C$71:$C$168,B67,'Combustão Estacionária'!$D$71:$D$168)</f>
        <v>0</v>
      </c>
      <c r="D67" s="317" t="str">
        <f>'Fatores de Emissão'!D35</f>
        <v>kg</v>
      </c>
      <c r="E67" s="280">
        <f>VLOOKUP($B67,'Fatores de Emissão'!$B$24:$Q$75,4,FALSE)</f>
        <v>38.700000000000003</v>
      </c>
      <c r="F67" s="280">
        <f>VLOOKUP($B67,'Fatores de Emissão'!$B$24:$Q$75,6,FALSE)*E67/1000000</f>
        <v>1.7298900000000001</v>
      </c>
      <c r="G67" s="318" t="str">
        <f>IF($F$53='Fatores de Emissão'!$J$23,'Fatores de Emissão'!J35*E67/1000000,IF($F$53='Fatores de Emissão'!$K$23,'Fatores de Emissão'!K35*E67/1000000,IF($F$53='Fatores de Emissão'!$L$23,'Fatores de Emissão'!L35*E67/1000000,IF($F$53='Fatores de Emissão'!$M$23,'Fatores de Emissão'!M35*E67/1000000,""))))</f>
        <v/>
      </c>
      <c r="H67" s="318" t="str">
        <f>IF($F$53='Fatores de Emissão'!$N$23,'Fatores de Emissão'!N35*E67/1000000,IF($F$53='Fatores de Emissão'!$O$23,'Fatores de Emissão'!O35*E67/1000000,IF($F$53='Fatores de Emissão'!$P$23,'Fatores de Emissão'!P35*E67/1000000,IF($F$53='Fatores de Emissão'!$Q$23,'Fatores de Emissão'!Q35*E67/1000000,""))))</f>
        <v/>
      </c>
      <c r="I67" s="279" t="str">
        <f t="shared" si="2"/>
        <v>-</v>
      </c>
      <c r="J67" s="279" t="str">
        <f t="shared" si="0"/>
        <v>-</v>
      </c>
      <c r="K67" s="279" t="str">
        <f t="shared" si="1"/>
        <v>-</v>
      </c>
      <c r="L67" s="319" t="str">
        <f>IF(C67=0,"-",I67*'Fatores de Emissão'!$E$262+CE!J67*'Fatores de Emissão'!$E$258+CE!K67*'Fatores de Emissão'!$E$259)</f>
        <v>-</v>
      </c>
      <c r="M67" s="252">
        <f>'Fatores de Emissão'!R35</f>
        <v>0</v>
      </c>
      <c r="N67" s="252">
        <f t="shared" si="3"/>
        <v>0</v>
      </c>
    </row>
    <row r="68" spans="1:14" s="240" customFormat="1" ht="31.5" outlineLevel="1" x14ac:dyDescent="0.25">
      <c r="A68" s="282">
        <v>16</v>
      </c>
      <c r="B68" s="281" t="str">
        <f>'Fatores de Emissão'!$B$36</f>
        <v>Gás de forno de aciaria de oxigénio</v>
      </c>
      <c r="C68" s="252">
        <f>SUMIF('Combustão Estacionária'!$C$71:$C$168,B68,'Combustão Estacionária'!$D$71:$D$168)</f>
        <v>0</v>
      </c>
      <c r="D68" s="317" t="str">
        <f>'Fatores de Emissão'!D36</f>
        <v>Toneladas</v>
      </c>
      <c r="E68" s="280">
        <f>VLOOKUP($B68,'Fatores de Emissão'!$B$24:$Q$75,4,FALSE)</f>
        <v>7100</v>
      </c>
      <c r="F68" s="280">
        <f>VLOOKUP($B68,'Fatores de Emissão'!$B$24:$Q$75,6,FALSE)*E68/1000000</f>
        <v>1219.78</v>
      </c>
      <c r="G68" s="318" t="str">
        <f>IF($F$53='Fatores de Emissão'!$J$23,'Fatores de Emissão'!J36*E68/1000000,IF($F$53='Fatores de Emissão'!$K$23,'Fatores de Emissão'!K36*E68/1000000,IF($F$53='Fatores de Emissão'!$L$23,'Fatores de Emissão'!L36*E68/1000000,IF($F$53='Fatores de Emissão'!$M$23,'Fatores de Emissão'!M36*E68/1000000,""))))</f>
        <v/>
      </c>
      <c r="H68" s="318" t="str">
        <f>IF($F$53='Fatores de Emissão'!$N$23,'Fatores de Emissão'!N36*E68/1000000,IF($F$53='Fatores de Emissão'!$O$23,'Fatores de Emissão'!O36*E68/1000000,IF($F$53='Fatores de Emissão'!$P$23,'Fatores de Emissão'!P36*E68/1000000,IF($F$53='Fatores de Emissão'!$Q$23,'Fatores de Emissão'!Q36*E68/1000000,""))))</f>
        <v/>
      </c>
      <c r="I68" s="279" t="str">
        <f t="shared" si="2"/>
        <v>-</v>
      </c>
      <c r="J68" s="279" t="str">
        <f t="shared" si="0"/>
        <v>-</v>
      </c>
      <c r="K68" s="279" t="str">
        <f t="shared" si="1"/>
        <v>-</v>
      </c>
      <c r="L68" s="319" t="str">
        <f>IF(C68=0,"-",I68*'Fatores de Emissão'!$E$262+CE!J68*'Fatores de Emissão'!$E$258+CE!K68*'Fatores de Emissão'!$E$259)</f>
        <v>-</v>
      </c>
      <c r="M68" s="252">
        <f>'Fatores de Emissão'!R36</f>
        <v>0</v>
      </c>
      <c r="N68" s="252">
        <f t="shared" si="3"/>
        <v>0</v>
      </c>
    </row>
    <row r="69" spans="1:14" s="240" customFormat="1" ht="31.5" outlineLevel="1" x14ac:dyDescent="0.25">
      <c r="A69" s="282">
        <v>17</v>
      </c>
      <c r="B69" s="281" t="str">
        <f>'Fatores de Emissão'!$B$37</f>
        <v>GPL - Gás de Petróleo Liquefeito</v>
      </c>
      <c r="C69" s="252">
        <f>SUMIF('Combustão Estacionária'!$C$71:$C$168,B69,'Combustão Estacionária'!$D$71:$D$168)</f>
        <v>0</v>
      </c>
      <c r="D69" s="317" t="str">
        <f>'Fatores de Emissão'!D37</f>
        <v>Litros</v>
      </c>
      <c r="E69" s="280">
        <f>VLOOKUP($B69,'Fatores de Emissão'!$B$24:$Q$75,4,FALSE)</f>
        <v>23.418299999999999</v>
      </c>
      <c r="F69" s="280">
        <f>VLOOKUP($B69,'Fatores de Emissão'!$B$24:$Q$75,6,FALSE)*E69/1000000</f>
        <v>1.47030625635</v>
      </c>
      <c r="G69" s="318" t="str">
        <f>IF($F$53='Fatores de Emissão'!$J$23,'Fatores de Emissão'!J37*E69/1000000,IF($F$53='Fatores de Emissão'!$K$23,'Fatores de Emissão'!K37*E69/1000000,IF($F$53='Fatores de Emissão'!$L$23,'Fatores de Emissão'!L37*E69/1000000,IF($F$53='Fatores de Emissão'!$M$23,'Fatores de Emissão'!M37*E69/1000000,""))))</f>
        <v/>
      </c>
      <c r="H69" s="318" t="str">
        <f>IF($F$53='Fatores de Emissão'!$N$23,'Fatores de Emissão'!N37*E69/1000000,IF($F$53='Fatores de Emissão'!$O$23,'Fatores de Emissão'!O37*E69/1000000,IF($F$53='Fatores de Emissão'!$P$23,'Fatores de Emissão'!P37*E69/1000000,IF($F$53='Fatores de Emissão'!$Q$23,'Fatores de Emissão'!Q37*E69/1000000,""))))</f>
        <v/>
      </c>
      <c r="I69" s="279" t="str">
        <f t="shared" si="2"/>
        <v>-</v>
      </c>
      <c r="J69" s="279" t="str">
        <f t="shared" si="0"/>
        <v>-</v>
      </c>
      <c r="K69" s="279" t="str">
        <f t="shared" si="1"/>
        <v>-</v>
      </c>
      <c r="L69" s="319" t="str">
        <f>IF(C69=0,"-",I69*'Fatores de Emissão'!$E$262+CE!J69*'Fatores de Emissão'!$E$258+CE!K69*'Fatores de Emissão'!$E$259)</f>
        <v>-</v>
      </c>
      <c r="M69" s="252">
        <f>'Fatores de Emissão'!R37</f>
        <v>0</v>
      </c>
      <c r="N69" s="252">
        <f t="shared" si="3"/>
        <v>0</v>
      </c>
    </row>
    <row r="70" spans="1:14" s="240" customFormat="1" ht="31.5" outlineLevel="1" x14ac:dyDescent="0.25">
      <c r="A70" s="282">
        <v>18</v>
      </c>
      <c r="B70" s="281" t="str">
        <f>'Fatores de Emissão'!$B$38</f>
        <v>Gás de Refinaria (não liquefeito)</v>
      </c>
      <c r="C70" s="252">
        <f>SUMIF('Combustão Estacionária'!$C$71:$C$168,B70,'Combustão Estacionária'!$D$71:$D$168)</f>
        <v>0</v>
      </c>
      <c r="D70" s="317" t="str">
        <f>'Fatores de Emissão'!D38</f>
        <v>Toneladas</v>
      </c>
      <c r="E70" s="280">
        <f>VLOOKUP($B70,'Fatores de Emissão'!$B$24:$Q$75,4,FALSE)</f>
        <v>49500</v>
      </c>
      <c r="F70" s="280">
        <f>VLOOKUP($B70,'Fatores de Emissão'!$B$24:$Q$75,6,FALSE)*E70/1000000</f>
        <v>3107.83275</v>
      </c>
      <c r="G70" s="318" t="str">
        <f>IF($F$53='Fatores de Emissão'!$J$23,'Fatores de Emissão'!J38*E70/1000000,IF($F$53='Fatores de Emissão'!$K$23,'Fatores de Emissão'!K38*E70/1000000,IF($F$53='Fatores de Emissão'!$L$23,'Fatores de Emissão'!L38*E70/1000000,IF($F$53='Fatores de Emissão'!$M$23,'Fatores de Emissão'!M38*E70/1000000,""))))</f>
        <v/>
      </c>
      <c r="H70" s="318" t="str">
        <f>IF($F$53='Fatores de Emissão'!$N$23,'Fatores de Emissão'!N38*E70/1000000,IF($F$53='Fatores de Emissão'!$O$23,'Fatores de Emissão'!O38*E70/1000000,IF($F$53='Fatores de Emissão'!$P$23,'Fatores de Emissão'!P38*E70/1000000,IF($F$53='Fatores de Emissão'!$Q$23,'Fatores de Emissão'!Q38*E70/1000000,""))))</f>
        <v/>
      </c>
      <c r="I70" s="279" t="str">
        <f t="shared" si="2"/>
        <v>-</v>
      </c>
      <c r="J70" s="279" t="str">
        <f t="shared" si="0"/>
        <v>-</v>
      </c>
      <c r="K70" s="279" t="str">
        <f t="shared" si="1"/>
        <v>-</v>
      </c>
      <c r="L70" s="319" t="str">
        <f>IF(C70=0,"-",I70*'Fatores de Emissão'!$E$262+CE!J70*'Fatores de Emissão'!$E$258+CE!K70*'Fatores de Emissão'!$E$259)</f>
        <v>-</v>
      </c>
      <c r="M70" s="252">
        <f>'Fatores de Emissão'!R38</f>
        <v>0</v>
      </c>
      <c r="N70" s="252">
        <f t="shared" si="3"/>
        <v>0</v>
      </c>
    </row>
    <row r="71" spans="1:14" s="240" customFormat="1" outlineLevel="1" x14ac:dyDescent="0.25">
      <c r="A71" s="282">
        <v>19</v>
      </c>
      <c r="B71" s="281" t="str">
        <f>'Fatores de Emissão'!$B$39</f>
        <v>Gás Natural</v>
      </c>
      <c r="C71" s="252">
        <f>SUMIF('Combustão Estacionária'!$C$71:$C$168,B71,'Combustão Estacionária'!$D$71:$D$168)</f>
        <v>0</v>
      </c>
      <c r="D71" s="317" t="str">
        <f>'Fatores de Emissão'!D39</f>
        <v>m3</v>
      </c>
      <c r="E71" s="280">
        <f>VLOOKUP($B71,'Fatores de Emissão'!$B$24:$Q$75,4,FALSE)</f>
        <v>37.90204</v>
      </c>
      <c r="F71" s="280">
        <f>VLOOKUP($B71,'Fatores de Emissão'!$B$24:$Q$75,6,FALSE)*E71/1000000</f>
        <v>2.1156729217799999</v>
      </c>
      <c r="G71" s="318" t="str">
        <f>IF($F$53='Fatores de Emissão'!$J$23,'Fatores de Emissão'!J39*E71/1000000,IF($F$53='Fatores de Emissão'!$K$23,'Fatores de Emissão'!K39*E71/1000000,IF($F$53='Fatores de Emissão'!$L$23,'Fatores de Emissão'!L39*E71/1000000,IF($F$53='Fatores de Emissão'!$M$23,'Fatores de Emissão'!M39*E71/1000000,""))))</f>
        <v/>
      </c>
      <c r="H71" s="318" t="str">
        <f>IF($F$53='Fatores de Emissão'!$N$23,'Fatores de Emissão'!N39*E71/1000000,IF($F$53='Fatores de Emissão'!$O$23,'Fatores de Emissão'!O39*E71/1000000,IF($F$53='Fatores de Emissão'!$P$23,'Fatores de Emissão'!P39*E71/1000000,IF($F$53='Fatores de Emissão'!$Q$23,'Fatores de Emissão'!Q39*E71/1000000,""))))</f>
        <v/>
      </c>
      <c r="I71" s="279" t="str">
        <f t="shared" si="2"/>
        <v>-</v>
      </c>
      <c r="J71" s="279" t="str">
        <f t="shared" si="0"/>
        <v>-</v>
      </c>
      <c r="K71" s="279" t="str">
        <f t="shared" si="1"/>
        <v>-</v>
      </c>
      <c r="L71" s="319" t="str">
        <f>IF(C71=0,"-",I71*'Fatores de Emissão'!$E$262+CE!J71*'Fatores de Emissão'!$E$258+CE!K71*'Fatores de Emissão'!$E$259)</f>
        <v>-</v>
      </c>
      <c r="M71" s="252">
        <f>'Fatores de Emissão'!R39</f>
        <v>0</v>
      </c>
      <c r="N71" s="252">
        <f t="shared" si="3"/>
        <v>0</v>
      </c>
    </row>
    <row r="72" spans="1:14" s="240" customFormat="1" ht="31.5" outlineLevel="1" x14ac:dyDescent="0.25">
      <c r="A72" s="282">
        <v>20</v>
      </c>
      <c r="B72" s="281" t="str">
        <f>'Fatores de Emissão'!$B$40</f>
        <v>Gás Natural (superior a 93% de metano)</v>
      </c>
      <c r="C72" s="252">
        <f>SUMIF('Combustão Estacionária'!$C$71:$C$168,B72,'Combustão Estacionária'!$D$71:$D$168)</f>
        <v>0</v>
      </c>
      <c r="D72" s="317" t="str">
        <f>'Fatores de Emissão'!D40</f>
        <v>m³</v>
      </c>
      <c r="E72" s="280">
        <f>VLOOKUP($B72,'Fatores de Emissão'!$B$24:$Q$75,4,FALSE)</f>
        <v>33.6</v>
      </c>
      <c r="F72" s="280">
        <f>VLOOKUP($B72,'Fatores de Emissão'!$B$24:$Q$75,6,FALSE)*E72/1000000</f>
        <v>1.88496</v>
      </c>
      <c r="G72" s="318" t="str">
        <f>IF($F$53='Fatores de Emissão'!$J$23,'Fatores de Emissão'!J40*E72/1000000,IF($F$53='Fatores de Emissão'!$K$23,'Fatores de Emissão'!K40*E72/1000000,IF($F$53='Fatores de Emissão'!$L$23,'Fatores de Emissão'!L40*E72/1000000,IF($F$53='Fatores de Emissão'!$M$23,'Fatores de Emissão'!M40*E72/1000000,""))))</f>
        <v/>
      </c>
      <c r="H72" s="318" t="str">
        <f>IF($F$53='Fatores de Emissão'!$N$23,'Fatores de Emissão'!N40*E72/1000000,IF($F$53='Fatores de Emissão'!$O$23,'Fatores de Emissão'!O40*E72/1000000,IF($F$53='Fatores de Emissão'!$P$23,'Fatores de Emissão'!P40*E72/1000000,IF($F$53='Fatores de Emissão'!$Q$23,'Fatores de Emissão'!Q40*E72/1000000,""))))</f>
        <v/>
      </c>
      <c r="I72" s="279" t="str">
        <f t="shared" si="2"/>
        <v>-</v>
      </c>
      <c r="J72" s="279" t="str">
        <f t="shared" si="0"/>
        <v>-</v>
      </c>
      <c r="K72" s="279" t="str">
        <f t="shared" si="1"/>
        <v>-</v>
      </c>
      <c r="L72" s="319" t="str">
        <f>IF(C72=0,"-",I72*'Fatores de Emissão'!$E$262+CE!J72*'Fatores de Emissão'!$E$258+CE!K72*'Fatores de Emissão'!$E$259)</f>
        <v>-</v>
      </c>
      <c r="M72" s="252">
        <f>'Fatores de Emissão'!R40</f>
        <v>1.759262433046875E-5</v>
      </c>
      <c r="N72" s="252">
        <f t="shared" si="3"/>
        <v>0</v>
      </c>
    </row>
    <row r="73" spans="1:14" s="240" customFormat="1" ht="31.5" outlineLevel="1" x14ac:dyDescent="0.25">
      <c r="A73" s="282">
        <v>21</v>
      </c>
      <c r="B73" s="281" t="str">
        <f>'Fatores de Emissão'!$B$41</f>
        <v>LGN - Gás Natural Liquefeito</v>
      </c>
      <c r="C73" s="252">
        <f>SUMIF('Combustão Estacionária'!$C$71:$C$168,B73,'Combustão Estacionária'!$D$71:$D$168)</f>
        <v>0</v>
      </c>
      <c r="D73" s="317" t="str">
        <f>'Fatores de Emissão'!D41</f>
        <v>kg</v>
      </c>
      <c r="E73" s="280">
        <f>VLOOKUP($B73,'Fatores de Emissão'!$B$24:$Q$75,4,FALSE)</f>
        <v>44.7</v>
      </c>
      <c r="F73" s="280">
        <f>VLOOKUP($B73,'Fatores de Emissão'!$B$24:$Q$75,6,FALSE)*E73/1000000</f>
        <v>2.8652700000000002</v>
      </c>
      <c r="G73" s="318" t="str">
        <f>IF($F$53='Fatores de Emissão'!$J$23,'Fatores de Emissão'!J41*E73/1000000,IF($F$53='Fatores de Emissão'!$K$23,'Fatores de Emissão'!K41*E73/1000000,IF($F$53='Fatores de Emissão'!$L$23,'Fatores de Emissão'!L41*E73/1000000,IF($F$53='Fatores de Emissão'!$M$23,'Fatores de Emissão'!M41*E73/1000000,""))))</f>
        <v/>
      </c>
      <c r="H73" s="318" t="str">
        <f>IF($F$53='Fatores de Emissão'!$N$23,'Fatores de Emissão'!N41*E73/1000000,IF($F$53='Fatores de Emissão'!$O$23,'Fatores de Emissão'!O41*E73/1000000,IF($F$53='Fatores de Emissão'!$P$23,'Fatores de Emissão'!P41*E73/1000000,IF($F$53='Fatores de Emissão'!$Q$23,'Fatores de Emissão'!Q41*E73/1000000,""))))</f>
        <v/>
      </c>
      <c r="I73" s="279" t="str">
        <f t="shared" si="2"/>
        <v>-</v>
      </c>
      <c r="J73" s="279" t="str">
        <f t="shared" si="0"/>
        <v>-</v>
      </c>
      <c r="K73" s="279" t="str">
        <f t="shared" si="1"/>
        <v>-</v>
      </c>
      <c r="L73" s="319" t="str">
        <f>IF(C73=0,"-",I73*'Fatores de Emissão'!$E$262+CE!J73*'Fatores de Emissão'!$E$258+CE!K73*'Fatores de Emissão'!$E$259)</f>
        <v>-</v>
      </c>
      <c r="M73" s="252">
        <f>'Fatores de Emissão'!R41</f>
        <v>0</v>
      </c>
      <c r="N73" s="252">
        <f t="shared" si="3"/>
        <v>0</v>
      </c>
    </row>
    <row r="74" spans="1:14" s="240" customFormat="1" ht="31.5" outlineLevel="1" x14ac:dyDescent="0.25">
      <c r="A74" s="282">
        <v>22</v>
      </c>
      <c r="B74" s="281" t="str">
        <f>'Fatores de Emissão'!$B$42</f>
        <v>Gasóleo / óleo diesel (fuelóleo destilado)</v>
      </c>
      <c r="C74" s="252">
        <f>SUMIF('Combustão Estacionária'!$C$71:$C$168,B74,'Combustão Estacionária'!$D$71:$D$168)</f>
        <v>0</v>
      </c>
      <c r="D74" s="317" t="str">
        <f>'Fatores de Emissão'!D42</f>
        <v>Litros</v>
      </c>
      <c r="E74" s="280">
        <f>VLOOKUP($B74,'Fatores de Emissão'!$B$24:$Q$75,4,FALSE)</f>
        <v>35.823599999999999</v>
      </c>
      <c r="F74" s="280">
        <f>VLOOKUP($B74,'Fatores de Emissão'!$B$24:$Q$75,6,FALSE)*E74/1000000</f>
        <v>2.6279834724</v>
      </c>
      <c r="G74" s="318" t="str">
        <f>IF($F$53='Fatores de Emissão'!$J$23,'Fatores de Emissão'!J42*E74/1000000,IF($F$53='Fatores de Emissão'!$K$23,'Fatores de Emissão'!K42*E74/1000000,IF($F$53='Fatores de Emissão'!$L$23,'Fatores de Emissão'!L42*E74/1000000,IF($F$53='Fatores de Emissão'!$M$23,'Fatores de Emissão'!M42*E74/1000000,""))))</f>
        <v/>
      </c>
      <c r="H74" s="318" t="str">
        <f>IF($F$53='Fatores de Emissão'!$N$23,'Fatores de Emissão'!N42*E74/1000000,IF($F$53='Fatores de Emissão'!$O$23,'Fatores de Emissão'!O42*E74/1000000,IF($F$53='Fatores de Emissão'!$P$23,'Fatores de Emissão'!P42*E74/1000000,IF($F$53='Fatores de Emissão'!$Q$23,'Fatores de Emissão'!Q42*E74/1000000,""))))</f>
        <v/>
      </c>
      <c r="I74" s="279" t="str">
        <f t="shared" si="2"/>
        <v>-</v>
      </c>
      <c r="J74" s="279" t="str">
        <f t="shared" si="0"/>
        <v>-</v>
      </c>
      <c r="K74" s="279" t="str">
        <f t="shared" si="1"/>
        <v>-</v>
      </c>
      <c r="L74" s="319" t="str">
        <f>IF(C74=0,"-",I74*'Fatores de Emissão'!$E$262+CE!J74*'Fatores de Emissão'!$E$258+CE!K74*'Fatores de Emissão'!$E$259)</f>
        <v>-</v>
      </c>
      <c r="M74" s="252">
        <f>'Fatores de Emissão'!R42</f>
        <v>2.2411459459459466E-6</v>
      </c>
      <c r="N74" s="252">
        <f t="shared" si="3"/>
        <v>0</v>
      </c>
    </row>
    <row r="75" spans="1:14" s="240" customFormat="1" outlineLevel="1" x14ac:dyDescent="0.25">
      <c r="A75" s="282">
        <v>23</v>
      </c>
      <c r="B75" s="281" t="str">
        <f>'Fatores de Emissão'!$B$44</f>
        <v>Gasolina de Aviação</v>
      </c>
      <c r="C75" s="252">
        <f>SUMIF('Combustão Estacionária'!$C$71:$C$168,B75,'Combustão Estacionária'!$D$71:$D$168)</f>
        <v>0</v>
      </c>
      <c r="D75" s="317" t="str">
        <f>'Fatores de Emissão'!D44</f>
        <v>Litros</v>
      </c>
      <c r="E75" s="280">
        <f>VLOOKUP($B75,'Fatores de Emissão'!$B$24:$Q$75,4,FALSE)</f>
        <v>2.0395833333333332E-2</v>
      </c>
      <c r="F75" s="280">
        <f>VLOOKUP($B75,'Fatores de Emissão'!$B$24:$Q$75,6,FALSE)*E75/1000000</f>
        <v>1.4134312499999998E-2</v>
      </c>
      <c r="G75" s="318" t="str">
        <f>IF($F$53='Fatores de Emissão'!$J$23,'Fatores de Emissão'!J44*E75/1000000,IF($F$53='Fatores de Emissão'!$K$23,'Fatores de Emissão'!K44*E75/1000000,IF($F$53='Fatores de Emissão'!$L$23,'Fatores de Emissão'!L44*E75/1000000,IF($F$53='Fatores de Emissão'!$M$23,'Fatores de Emissão'!M44*E75/1000000,""))))</f>
        <v/>
      </c>
      <c r="H75" s="318" t="str">
        <f>IF($F$53='Fatores de Emissão'!$N$23,'Fatores de Emissão'!N44*E75/1000000,IF($F$53='Fatores de Emissão'!$O$23,'Fatores de Emissão'!O44*E75/1000000,IF($F$53='Fatores de Emissão'!$P$23,'Fatores de Emissão'!P44*E75/1000000,IF($F$53='Fatores de Emissão'!$Q$23,'Fatores de Emissão'!Q44*E75/1000000,""))))</f>
        <v/>
      </c>
      <c r="I75" s="279" t="str">
        <f t="shared" si="2"/>
        <v>-</v>
      </c>
      <c r="J75" s="279" t="str">
        <f t="shared" si="0"/>
        <v>-</v>
      </c>
      <c r="K75" s="279" t="str">
        <f t="shared" si="1"/>
        <v>-</v>
      </c>
      <c r="L75" s="319" t="str">
        <f>IF(C75=0,"-",I75*'Fatores de Emissão'!$E$262+CE!J75*'Fatores de Emissão'!$E$258+CE!K75*'Fatores de Emissão'!$E$259)</f>
        <v>-</v>
      </c>
      <c r="M75" s="252">
        <f>'Fatores de Emissão'!R44</f>
        <v>2.2411459459459466E-6</v>
      </c>
      <c r="N75" s="252">
        <f t="shared" si="3"/>
        <v>0</v>
      </c>
    </row>
    <row r="76" spans="1:14" s="240" customFormat="1" ht="47.25" outlineLevel="1" x14ac:dyDescent="0.25">
      <c r="A76" s="282">
        <v>24</v>
      </c>
      <c r="B76" s="281" t="str">
        <f>'Fatores de Emissão'!$B$45</f>
        <v>Gasolina tipo Jet Fuel (nafta tipo Jet Fuel ou JP4)</v>
      </c>
      <c r="C76" s="252">
        <f>SUMIF('Combustão Estacionária'!$C$71:$C$168,B76,'Combustão Estacionária'!$D$71:$D$168)</f>
        <v>0</v>
      </c>
      <c r="D76" s="317" t="str">
        <f>'Fatores de Emissão'!D45</f>
        <v>Litros</v>
      </c>
      <c r="E76" s="280">
        <f>VLOOKUP($B76,'Fatores de Emissão'!$B$24:$Q$75,4,FALSE)</f>
        <v>2.0395833333333332E-2</v>
      </c>
      <c r="F76" s="280">
        <f>VLOOKUP($B76,'Fatores de Emissão'!$B$24:$Q$75,6,FALSE)*E76/1000000</f>
        <v>1.4134312499999998E-2</v>
      </c>
      <c r="G76" s="318" t="str">
        <f>IF($F$53='Fatores de Emissão'!$J$23,'Fatores de Emissão'!J45*E76/1000000,IF($F$53='Fatores de Emissão'!$K$23,'Fatores de Emissão'!K45*E76/1000000,IF($F$53='Fatores de Emissão'!$L$23,'Fatores de Emissão'!L45*E76/1000000,IF($F$53='Fatores de Emissão'!$M$23,'Fatores de Emissão'!M45*E76/1000000,""))))</f>
        <v/>
      </c>
      <c r="H76" s="318" t="str">
        <f>IF($F$53='Fatores de Emissão'!$N$23,'Fatores de Emissão'!N45*E76/1000000,IF($F$53='Fatores de Emissão'!$O$23,'Fatores de Emissão'!O45*E76/1000000,IF($F$53='Fatores de Emissão'!$P$23,'Fatores de Emissão'!P45*E76/1000000,IF($F$53='Fatores de Emissão'!$Q$23,'Fatores de Emissão'!Q45*E76/1000000,""))))</f>
        <v/>
      </c>
      <c r="I76" s="279" t="str">
        <f t="shared" si="2"/>
        <v>-</v>
      </c>
      <c r="J76" s="279" t="str">
        <f t="shared" si="0"/>
        <v>-</v>
      </c>
      <c r="K76" s="279" t="str">
        <f t="shared" si="1"/>
        <v>-</v>
      </c>
      <c r="L76" s="319" t="str">
        <f>IF(C76=0,"-",I76*'Fatores de Emissão'!$E$262+CE!J76*'Fatores de Emissão'!$E$258+CE!K76*'Fatores de Emissão'!$E$259)</f>
        <v>-</v>
      </c>
      <c r="M76" s="252">
        <f>'Fatores de Emissão'!R45</f>
        <v>2.2411459459459466E-6</v>
      </c>
      <c r="N76" s="252">
        <f t="shared" si="3"/>
        <v>0</v>
      </c>
    </row>
    <row r="77" spans="1:14" s="240" customFormat="1" outlineLevel="1" x14ac:dyDescent="0.25">
      <c r="A77" s="282">
        <v>25</v>
      </c>
      <c r="B77" s="281" t="str">
        <f>'Fatores de Emissão'!$B$46</f>
        <v>Linhite</v>
      </c>
      <c r="C77" s="252">
        <f>SUMIF('Combustão Estacionária'!$C$71:$C$168,B77,'Combustão Estacionária'!$D$71:$D$168)</f>
        <v>0</v>
      </c>
      <c r="D77" s="317" t="str">
        <f>'Fatores de Emissão'!D46</f>
        <v>Toneladas</v>
      </c>
      <c r="E77" s="280">
        <f>VLOOKUP($B77,'Fatores de Emissão'!$B$24:$Q$75,4,FALSE)</f>
        <v>8050.0000000000009</v>
      </c>
      <c r="F77" s="280">
        <f>VLOOKUP($B77,'Fatores de Emissão'!$B$24:$Q$75,6,FALSE)*E77/1000000</f>
        <v>796.7890000000001</v>
      </c>
      <c r="G77" s="318" t="str">
        <f>IF($F$53='Fatores de Emissão'!$J$23,'Fatores de Emissão'!J46*E77/1000000,IF($F$53='Fatores de Emissão'!$K$23,'Fatores de Emissão'!K46*E77/1000000,IF($F$53='Fatores de Emissão'!$L$23,'Fatores de Emissão'!L46*E77/1000000,IF($F$53='Fatores de Emissão'!$M$23,'Fatores de Emissão'!M46*E77/1000000,""))))</f>
        <v/>
      </c>
      <c r="H77" s="318" t="str">
        <f>IF($F$53='Fatores de Emissão'!$N$23,'Fatores de Emissão'!N46*E77/1000000,IF($F$53='Fatores de Emissão'!$O$23,'Fatores de Emissão'!O46*E77/1000000,IF($F$53='Fatores de Emissão'!$P$23,'Fatores de Emissão'!P46*E77/1000000,IF($F$53='Fatores de Emissão'!$Q$23,'Fatores de Emissão'!Q46*E77/1000000,""))))</f>
        <v/>
      </c>
      <c r="I77" s="279" t="str">
        <f t="shared" si="2"/>
        <v>-</v>
      </c>
      <c r="J77" s="279" t="str">
        <f t="shared" si="0"/>
        <v>-</v>
      </c>
      <c r="K77" s="279" t="str">
        <f t="shared" si="1"/>
        <v>-</v>
      </c>
      <c r="L77" s="319" t="str">
        <f>IF(C77=0,"-",I77*'Fatores de Emissão'!$E$262+CE!J77*'Fatores de Emissão'!$E$258+CE!K77*'Fatores de Emissão'!$E$259)</f>
        <v>-</v>
      </c>
      <c r="M77" s="252">
        <f>'Fatores de Emissão'!R46</f>
        <v>0</v>
      </c>
      <c r="N77" s="252">
        <f t="shared" si="3"/>
        <v>0</v>
      </c>
    </row>
    <row r="78" spans="1:14" s="240" customFormat="1" outlineLevel="1" x14ac:dyDescent="0.25">
      <c r="A78" s="282">
        <v>26</v>
      </c>
      <c r="B78" s="281" t="str">
        <f>'Fatores de Emissão'!$B$47</f>
        <v>Linhite preta</v>
      </c>
      <c r="C78" s="252">
        <f>SUMIF('Combustão Estacionária'!$C$71:$C$168,B78,'Combustão Estacionária'!$D$71:$D$168)</f>
        <v>0</v>
      </c>
      <c r="D78" s="317" t="str">
        <f>'Fatores de Emissão'!D47</f>
        <v>kg</v>
      </c>
      <c r="E78" s="280">
        <f>VLOOKUP($B78,'Fatores de Emissão'!$B$24:$Q$75,4,FALSE)</f>
        <v>15.5</v>
      </c>
      <c r="F78" s="280">
        <f>VLOOKUP($B78,'Fatores de Emissão'!$B$24:$Q$75,6,FALSE)*E78/1000000</f>
        <v>1.5670500000000001</v>
      </c>
      <c r="G78" s="318" t="str">
        <f>IF($F$53='Fatores de Emissão'!$J$23,'Fatores de Emissão'!J47*E78/1000000,IF($F$53='Fatores de Emissão'!$K$23,'Fatores de Emissão'!K47*E78/1000000,IF($F$53='Fatores de Emissão'!$L$23,'Fatores de Emissão'!L47*E78/1000000,IF($F$53='Fatores de Emissão'!$M$23,'Fatores de Emissão'!M47*E78/1000000,""))))</f>
        <v/>
      </c>
      <c r="H78" s="318" t="str">
        <f>IF($F$53='Fatores de Emissão'!$N$23,'Fatores de Emissão'!N47*E78/1000000,IF($F$53='Fatores de Emissão'!$O$23,'Fatores de Emissão'!O47*E78/1000000,IF($F$53='Fatores de Emissão'!$P$23,'Fatores de Emissão'!P47*E78/1000000,IF($F$53='Fatores de Emissão'!$Q$23,'Fatores de Emissão'!Q47*E78/1000000,""))))</f>
        <v/>
      </c>
      <c r="I78" s="279" t="str">
        <f t="shared" si="2"/>
        <v>-</v>
      </c>
      <c r="J78" s="279" t="str">
        <f t="shared" si="0"/>
        <v>-</v>
      </c>
      <c r="K78" s="279" t="str">
        <f t="shared" si="1"/>
        <v>-</v>
      </c>
      <c r="L78" s="319" t="str">
        <f>IF(C78=0,"-",I78*'Fatores de Emissão'!$E$262+CE!J78*'Fatores de Emissão'!$E$258+CE!K78*'Fatores de Emissão'!$E$259)</f>
        <v>-</v>
      </c>
      <c r="M78" s="252">
        <f>'Fatores de Emissão'!R47</f>
        <v>0</v>
      </c>
      <c r="N78" s="252">
        <f t="shared" si="3"/>
        <v>0</v>
      </c>
    </row>
    <row r="79" spans="1:14" s="240" customFormat="1" outlineLevel="1" x14ac:dyDescent="0.25">
      <c r="A79" s="282">
        <v>27</v>
      </c>
      <c r="B79" s="281" t="str">
        <f>'Fatores de Emissão'!$B$48</f>
        <v>Lubrificantes</v>
      </c>
      <c r="C79" s="252">
        <f>SUMIF('Combustão Estacionária'!$C$71:$C$168,B79,'Combustão Estacionária'!$D$71:$D$168)</f>
        <v>0</v>
      </c>
      <c r="D79" s="317" t="str">
        <f>'Fatores de Emissão'!D48</f>
        <v>kg</v>
      </c>
      <c r="E79" s="280">
        <f>VLOOKUP($B79,'Fatores de Emissão'!$B$24:$Q$75,4,FALSE)</f>
        <v>40.200000000000003</v>
      </c>
      <c r="F79" s="280">
        <f>VLOOKUP($B79,'Fatores de Emissão'!$B$24:$Q$75,6,FALSE)*E79/1000000</f>
        <v>2.9466600000000001</v>
      </c>
      <c r="G79" s="318" t="str">
        <f>IF($F$53='Fatores de Emissão'!$J$23,'Fatores de Emissão'!J48*E79/1000000,IF($F$53='Fatores de Emissão'!$K$23,'Fatores de Emissão'!K48*E79/1000000,IF($F$53='Fatores de Emissão'!$L$23,'Fatores de Emissão'!L48*E79/1000000,IF($F$53='Fatores de Emissão'!$M$23,'Fatores de Emissão'!M48*E79/1000000,""))))</f>
        <v/>
      </c>
      <c r="H79" s="318" t="str">
        <f>IF($F$53='Fatores de Emissão'!$N$23,'Fatores de Emissão'!N48*E79/1000000,IF($F$53='Fatores de Emissão'!$O$23,'Fatores de Emissão'!O48*E79/1000000,IF($F$53='Fatores de Emissão'!$P$23,'Fatores de Emissão'!P48*E79/1000000,IF($F$53='Fatores de Emissão'!$Q$23,'Fatores de Emissão'!Q48*E79/1000000,""))))</f>
        <v/>
      </c>
      <c r="I79" s="279" t="str">
        <f t="shared" si="2"/>
        <v>-</v>
      </c>
      <c r="J79" s="279" t="str">
        <f t="shared" si="0"/>
        <v>-</v>
      </c>
      <c r="K79" s="279" t="str">
        <f t="shared" si="1"/>
        <v>-</v>
      </c>
      <c r="L79" s="319" t="str">
        <f>IF(C79=0,"-",I79*'Fatores de Emissão'!$E$262+CE!J79*'Fatores de Emissão'!$E$258+CE!K79*'Fatores de Emissão'!$E$259)</f>
        <v>-</v>
      </c>
      <c r="M79" s="252">
        <f>'Fatores de Emissão'!R48</f>
        <v>0</v>
      </c>
      <c r="N79" s="252">
        <f t="shared" si="3"/>
        <v>0</v>
      </c>
    </row>
    <row r="80" spans="1:14" s="240" customFormat="1" ht="31.5" outlineLevel="1" x14ac:dyDescent="0.25">
      <c r="A80" s="282">
        <v>28</v>
      </c>
      <c r="B80" s="281" t="str">
        <f>'Fatores de Emissão'!$B$49</f>
        <v>Matérias-primas para refinarias</v>
      </c>
      <c r="C80" s="252">
        <f>SUMIF('Combustão Estacionária'!$C$71:$C$168,B80,'Combustão Estacionária'!$D$71:$D$168)</f>
        <v>0</v>
      </c>
      <c r="D80" s="317" t="str">
        <f>'Fatores de Emissão'!D49</f>
        <v>Toneladas</v>
      </c>
      <c r="E80" s="280">
        <f>VLOOKUP($B80,'Fatores de Emissão'!$B$24:$Q$75,4,FALSE)</f>
        <v>43000</v>
      </c>
      <c r="F80" s="280">
        <f>VLOOKUP($B80,'Fatores de Emissão'!$B$24:$Q$75,6,FALSE)*E80/1000000</f>
        <v>3120.3809999999999</v>
      </c>
      <c r="G80" s="318" t="str">
        <f>IF($F$53='Fatores de Emissão'!$J$23,'Fatores de Emissão'!J49*E80/1000000,IF($F$53='Fatores de Emissão'!$K$23,'Fatores de Emissão'!K49*E80/1000000,IF($F$53='Fatores de Emissão'!$L$23,'Fatores de Emissão'!L49*E80/1000000,IF($F$53='Fatores de Emissão'!$M$23,'Fatores de Emissão'!M49*E80/1000000,""))))</f>
        <v/>
      </c>
      <c r="H80" s="318" t="str">
        <f>IF($F$53='Fatores de Emissão'!$N$23,'Fatores de Emissão'!N49*E80/1000000,IF($F$53='Fatores de Emissão'!$O$23,'Fatores de Emissão'!O49*E80/1000000,IF($F$53='Fatores de Emissão'!$P$23,'Fatores de Emissão'!P49*E80/1000000,IF($F$53='Fatores de Emissão'!$Q$23,'Fatores de Emissão'!Q49*E80/1000000,""))))</f>
        <v/>
      </c>
      <c r="I80" s="279" t="str">
        <f t="shared" si="2"/>
        <v>-</v>
      </c>
      <c r="J80" s="279" t="str">
        <f t="shared" si="0"/>
        <v>-</v>
      </c>
      <c r="K80" s="279" t="str">
        <f t="shared" si="1"/>
        <v>-</v>
      </c>
      <c r="L80" s="319" t="str">
        <f>IF(C80=0,"-",I80*'Fatores de Emissão'!$E$262+CE!J80*'Fatores de Emissão'!$E$258+CE!K80*'Fatores de Emissão'!$E$259)</f>
        <v>-</v>
      </c>
      <c r="M80" s="252">
        <f>'Fatores de Emissão'!R49</f>
        <v>0</v>
      </c>
      <c r="N80" s="252">
        <f t="shared" si="3"/>
        <v>0</v>
      </c>
    </row>
    <row r="81" spans="1:14" s="240" customFormat="1" outlineLevel="1" x14ac:dyDescent="0.25">
      <c r="A81" s="282">
        <v>29</v>
      </c>
      <c r="B81" s="281" t="str">
        <f>'Fatores de Emissão'!$B$50</f>
        <v xml:space="preserve">Nafta </v>
      </c>
      <c r="C81" s="252">
        <f>SUMIF('Combustão Estacionária'!$C$71:$C$168,B81,'Combustão Estacionária'!$D$71:$D$168)</f>
        <v>0</v>
      </c>
      <c r="D81" s="317" t="str">
        <f>'Fatores de Emissão'!D50</f>
        <v>Litros</v>
      </c>
      <c r="E81" s="280">
        <f>VLOOKUP($B81,'Fatores de Emissão'!$B$24:$Q$75,4,FALSE)</f>
        <v>34.487500000000004</v>
      </c>
      <c r="F81" s="280">
        <f>VLOOKUP($B81,'Fatores de Emissão'!$B$24:$Q$75,6,FALSE)*E81/1000000</f>
        <v>2.5026544125000001</v>
      </c>
      <c r="G81" s="318" t="str">
        <f>IF($F$53='Fatores de Emissão'!$J$23,'Fatores de Emissão'!J50*E81/1000000,IF($F$53='Fatores de Emissão'!$K$23,'Fatores de Emissão'!K50*E81/1000000,IF($F$53='Fatores de Emissão'!$L$23,'Fatores de Emissão'!L50*E81/1000000,IF($F$53='Fatores de Emissão'!$M$23,'Fatores de Emissão'!M50*E81/1000000,""))))</f>
        <v/>
      </c>
      <c r="H81" s="318" t="str">
        <f>IF($F$53='Fatores de Emissão'!$N$23,'Fatores de Emissão'!N50*E81/1000000,IF($F$53='Fatores de Emissão'!$O$23,'Fatores de Emissão'!O50*E81/1000000,IF($F$53='Fatores de Emissão'!$P$23,'Fatores de Emissão'!P50*E81/1000000,IF($F$53='Fatores de Emissão'!$Q$23,'Fatores de Emissão'!Q50*E81/1000000,""))))</f>
        <v/>
      </c>
      <c r="I81" s="279" t="str">
        <f t="shared" si="2"/>
        <v>-</v>
      </c>
      <c r="J81" s="279" t="str">
        <f t="shared" si="0"/>
        <v>-</v>
      </c>
      <c r="K81" s="279" t="str">
        <f t="shared" si="1"/>
        <v>-</v>
      </c>
      <c r="L81" s="319" t="str">
        <f>IF(C81=0,"-",I81*'Fatores de Emissão'!$E$262+CE!J81*'Fatores de Emissão'!$E$258+CE!K81*'Fatores de Emissão'!$E$259)</f>
        <v>-</v>
      </c>
      <c r="M81" s="252">
        <f>'Fatores de Emissão'!R50</f>
        <v>2.2411459459459466E-6</v>
      </c>
      <c r="N81" s="252">
        <f t="shared" si="3"/>
        <v>0</v>
      </c>
    </row>
    <row r="82" spans="1:14" s="240" customFormat="1" outlineLevel="1" x14ac:dyDescent="0.25">
      <c r="A82" s="282">
        <v>30</v>
      </c>
      <c r="B82" s="281" t="str">
        <f>'Fatores de Emissão'!$B$51</f>
        <v>Óleo de Xisto</v>
      </c>
      <c r="C82" s="252">
        <f>SUMIF('Combustão Estacionária'!$C$71:$C$168,B82,'Combustão Estacionária'!$D$71:$D$168)</f>
        <v>0</v>
      </c>
      <c r="D82" s="317" t="str">
        <f>'Fatores de Emissão'!D51</f>
        <v>kg</v>
      </c>
      <c r="E82" s="280">
        <f>VLOOKUP($B82,'Fatores de Emissão'!$B$24:$Q$75,4,FALSE)</f>
        <v>38.1</v>
      </c>
      <c r="F82" s="280">
        <f>VLOOKUP($B82,'Fatores de Emissão'!$B$24:$Q$75,6,FALSE)*E82/1000000</f>
        <v>2.7648027000000002</v>
      </c>
      <c r="G82" s="318" t="str">
        <f>IF($F$53='Fatores de Emissão'!$J$23,'Fatores de Emissão'!J51*E82/1000000,IF($F$53='Fatores de Emissão'!$K$23,'Fatores de Emissão'!K51*E82/1000000,IF($F$53='Fatores de Emissão'!$L$23,'Fatores de Emissão'!L51*E82/1000000,IF($F$53='Fatores de Emissão'!$M$23,'Fatores de Emissão'!M51*E82/1000000,""))))</f>
        <v/>
      </c>
      <c r="H82" s="318" t="str">
        <f>IF($F$53='Fatores de Emissão'!$N$23,'Fatores de Emissão'!N51*E82/1000000,IF($F$53='Fatores de Emissão'!$O$23,'Fatores de Emissão'!O51*E82/1000000,IF($F$53='Fatores de Emissão'!$P$23,'Fatores de Emissão'!P51*E82/1000000,IF($F$53='Fatores de Emissão'!$Q$23,'Fatores de Emissão'!Q51*E82/1000000,""))))</f>
        <v/>
      </c>
      <c r="I82" s="279" t="str">
        <f t="shared" si="2"/>
        <v>-</v>
      </c>
      <c r="J82" s="279" t="str">
        <f t="shared" si="0"/>
        <v>-</v>
      </c>
      <c r="K82" s="279" t="str">
        <f t="shared" si="1"/>
        <v>-</v>
      </c>
      <c r="L82" s="319" t="str">
        <f>IF(C82=0,"-",I82*'Fatores de Emissão'!$E$262+CE!J82*'Fatores de Emissão'!$E$258+CE!K82*'Fatores de Emissão'!$E$259)</f>
        <v>-</v>
      </c>
      <c r="M82" s="252">
        <f>'Fatores de Emissão'!R51</f>
        <v>0</v>
      </c>
      <c r="N82" s="252">
        <f t="shared" si="3"/>
        <v>0</v>
      </c>
    </row>
    <row r="83" spans="1:14" s="240" customFormat="1" outlineLevel="1" x14ac:dyDescent="0.25">
      <c r="A83" s="282">
        <v>31</v>
      </c>
      <c r="B83" s="281" t="str">
        <f>'Fatores de Emissão'!$B$52</f>
        <v>Óleos Usados</v>
      </c>
      <c r="C83" s="252">
        <f>SUMIF('Combustão Estacionária'!$C$71:$C$168,B83,'Combustão Estacionária'!$D$71:$D$168)</f>
        <v>0</v>
      </c>
      <c r="D83" s="317" t="str">
        <f>'Fatores de Emissão'!D52</f>
        <v>kg</v>
      </c>
      <c r="E83" s="280">
        <f>VLOOKUP($B83,'Fatores de Emissão'!$B$24:$Q$75,4,FALSE)</f>
        <v>40.200000000000003</v>
      </c>
      <c r="F83" s="280">
        <f>VLOOKUP($B83,'Fatores de Emissão'!$B$24:$Q$75,6,FALSE)*E83/1000000</f>
        <v>2.9171934000000004</v>
      </c>
      <c r="G83" s="318" t="str">
        <f>IF($F$53='Fatores de Emissão'!$J$23,'Fatores de Emissão'!J52*E83/1000000,IF($F$53='Fatores de Emissão'!$K$23,'Fatores de Emissão'!K52*E83/1000000,IF($F$53='Fatores de Emissão'!$L$23,'Fatores de Emissão'!L52*E83/1000000,IF($F$53='Fatores de Emissão'!$M$23,'Fatores de Emissão'!M52*E83/1000000,""))))</f>
        <v/>
      </c>
      <c r="H83" s="318" t="str">
        <f>IF($F$53='Fatores de Emissão'!$N$23,'Fatores de Emissão'!N52*E83/1000000,IF($F$53='Fatores de Emissão'!$O$23,'Fatores de Emissão'!O52*E83/1000000,IF($F$53='Fatores de Emissão'!$P$23,'Fatores de Emissão'!P52*E83/1000000,IF($F$53='Fatores de Emissão'!$Q$23,'Fatores de Emissão'!Q52*E83/1000000,""))))</f>
        <v/>
      </c>
      <c r="I83" s="279" t="str">
        <f t="shared" si="2"/>
        <v>-</v>
      </c>
      <c r="J83" s="279" t="str">
        <f t="shared" si="0"/>
        <v>-</v>
      </c>
      <c r="K83" s="279" t="str">
        <f t="shared" si="1"/>
        <v>-</v>
      </c>
      <c r="L83" s="319" t="str">
        <f>IF(C83=0,"-",I83*'Fatores de Emissão'!$E$262+CE!J83*'Fatores de Emissão'!$E$258+CE!K83*'Fatores de Emissão'!$E$259)</f>
        <v>-</v>
      </c>
      <c r="M83" s="252">
        <f>'Fatores de Emissão'!R52</f>
        <v>0</v>
      </c>
      <c r="N83" s="252">
        <f t="shared" si="3"/>
        <v>0</v>
      </c>
    </row>
    <row r="84" spans="1:14" s="240" customFormat="1" outlineLevel="1" x14ac:dyDescent="0.25">
      <c r="A84" s="282">
        <v>32</v>
      </c>
      <c r="B84" s="281" t="str">
        <f>'Fatores de Emissão'!$B$53</f>
        <v>Orimulsão</v>
      </c>
      <c r="C84" s="252">
        <f>SUMIF('Combustão Estacionária'!$C$71:$C$168,B84,'Combustão Estacionária'!$D$71:$D$168)</f>
        <v>0</v>
      </c>
      <c r="D84" s="317" t="str">
        <f>'Fatores de Emissão'!D53</f>
        <v>kg</v>
      </c>
      <c r="E84" s="280">
        <f>VLOOKUP($B84,'Fatores de Emissão'!$B$24:$Q$75,4,FALSE)</f>
        <v>27.5</v>
      </c>
      <c r="F84" s="280">
        <f>VLOOKUP($B84,'Fatores de Emissão'!$B$24:$Q$75,6,FALSE)*E84/1000000</f>
        <v>2.1147499999999999</v>
      </c>
      <c r="G84" s="318" t="str">
        <f>IF($F$53='Fatores de Emissão'!$J$23,'Fatores de Emissão'!J53*E84/1000000,IF($F$53='Fatores de Emissão'!$K$23,'Fatores de Emissão'!K53*E84/1000000,IF($F$53='Fatores de Emissão'!$L$23,'Fatores de Emissão'!L53*E84/1000000,IF($F$53='Fatores de Emissão'!$M$23,'Fatores de Emissão'!M53*E84/1000000,""))))</f>
        <v/>
      </c>
      <c r="H84" s="318" t="str">
        <f>IF($F$53='Fatores de Emissão'!$N$23,'Fatores de Emissão'!N53*E84/1000000,IF($F$53='Fatores de Emissão'!$O$23,'Fatores de Emissão'!O53*E84/1000000,IF($F$53='Fatores de Emissão'!$P$23,'Fatores de Emissão'!P53*E84/1000000,IF($F$53='Fatores de Emissão'!$Q$23,'Fatores de Emissão'!Q53*E84/1000000,""))))</f>
        <v/>
      </c>
      <c r="I84" s="279" t="str">
        <f t="shared" si="2"/>
        <v>-</v>
      </c>
      <c r="J84" s="279" t="str">
        <f t="shared" si="0"/>
        <v>-</v>
      </c>
      <c r="K84" s="279" t="str">
        <f t="shared" si="1"/>
        <v>-</v>
      </c>
      <c r="L84" s="319" t="str">
        <f>IF(C84=0,"-",I84*'Fatores de Emissão'!$E$262+CE!J84*'Fatores de Emissão'!$E$258+CE!K84*'Fatores de Emissão'!$E$259)</f>
        <v>-</v>
      </c>
      <c r="M84" s="252">
        <f>'Fatores de Emissão'!R53</f>
        <v>0</v>
      </c>
      <c r="N84" s="252">
        <f t="shared" si="3"/>
        <v>0</v>
      </c>
    </row>
    <row r="85" spans="1:14" s="240" customFormat="1" ht="31.5" outlineLevel="1" x14ac:dyDescent="0.25">
      <c r="A85" s="282">
        <v>33</v>
      </c>
      <c r="B85" s="281" t="str">
        <f>'Fatores de Emissão'!$B$54</f>
        <v>Outros Carvões Betuminosos</v>
      </c>
      <c r="C85" s="252">
        <f>SUMIF('Combustão Estacionária'!$C$71:$C$168,B85,'Combustão Estacionária'!$D$71:$D$168)</f>
        <v>0</v>
      </c>
      <c r="D85" s="317" t="str">
        <f>'Fatores de Emissão'!D54</f>
        <v>Toneladas</v>
      </c>
      <c r="E85" s="280">
        <f>VLOOKUP($B85,'Fatores de Emissão'!$B$24:$Q$75,4,FALSE)</f>
        <v>33840</v>
      </c>
      <c r="F85" s="280">
        <f>VLOOKUP($B85,'Fatores de Emissão'!$B$24:$Q$75,6,FALSE)*E85/1000000</f>
        <v>3137.2387199999998</v>
      </c>
      <c r="G85" s="318" t="str">
        <f>IF($F$53='Fatores de Emissão'!$J$23,'Fatores de Emissão'!J54*E85/1000000,IF($F$53='Fatores de Emissão'!$K$23,'Fatores de Emissão'!K54*E85/1000000,IF($F$53='Fatores de Emissão'!$L$23,'Fatores de Emissão'!L54*E85/1000000,IF($F$53='Fatores de Emissão'!$M$23,'Fatores de Emissão'!M54*E85/1000000,""))))</f>
        <v/>
      </c>
      <c r="H85" s="318" t="str">
        <f>IF($F$53='Fatores de Emissão'!$N$23,'Fatores de Emissão'!N54*E85/1000000,IF($F$53='Fatores de Emissão'!$O$23,'Fatores de Emissão'!O54*E85/1000000,IF($F$53='Fatores de Emissão'!$P$23,'Fatores de Emissão'!P54*E85/1000000,IF($F$53='Fatores de Emissão'!$Q$23,'Fatores de Emissão'!Q54*E85/1000000,""))))</f>
        <v/>
      </c>
      <c r="I85" s="279" t="str">
        <f t="shared" si="2"/>
        <v>-</v>
      </c>
      <c r="J85" s="279" t="str">
        <f t="shared" si="0"/>
        <v>-</v>
      </c>
      <c r="K85" s="279" t="str">
        <f t="shared" si="1"/>
        <v>-</v>
      </c>
      <c r="L85" s="319" t="str">
        <f>IF(C85=0,"-",I85*'Fatores de Emissão'!$E$262+CE!J85*'Fatores de Emissão'!$E$258+CE!K85*'Fatores de Emissão'!$E$259)</f>
        <v>-</v>
      </c>
      <c r="M85" s="252">
        <f>'Fatores de Emissão'!R54</f>
        <v>0</v>
      </c>
      <c r="N85" s="252">
        <f t="shared" si="3"/>
        <v>0</v>
      </c>
    </row>
    <row r="86" spans="1:14" s="240" customFormat="1" outlineLevel="1" x14ac:dyDescent="0.25">
      <c r="A86" s="282">
        <v>34</v>
      </c>
      <c r="B86" s="281" t="str">
        <f>'Fatores de Emissão'!$B$55</f>
        <v>Petróleo Bruto</v>
      </c>
      <c r="C86" s="252">
        <f>SUMIF('Combustão Estacionária'!$C$71:$C$168,B86,'Combustão Estacionária'!$D$71:$D$168)</f>
        <v>0</v>
      </c>
      <c r="D86" s="317" t="str">
        <f>'Fatores de Emissão'!D55</f>
        <v>Litros</v>
      </c>
      <c r="E86" s="280">
        <f>VLOOKUP($B86,'Fatores de Emissão'!$B$24:$Q$75,4,FALSE)</f>
        <v>29.613149999999997</v>
      </c>
      <c r="F86" s="280">
        <f>VLOOKUP($B86,'Fatores de Emissão'!$B$24:$Q$75,6,FALSE)*E86/1000000</f>
        <v>2.1489374560499996</v>
      </c>
      <c r="G86" s="318" t="str">
        <f>IF($F$53='Fatores de Emissão'!$J$23,'Fatores de Emissão'!J55*E86/1000000,IF($F$53='Fatores de Emissão'!$K$23,'Fatores de Emissão'!K55*E86/1000000,IF($F$53='Fatores de Emissão'!$L$23,'Fatores de Emissão'!L55*E86/1000000,IF($F$53='Fatores de Emissão'!$M$23,'Fatores de Emissão'!M55*E86/1000000,""))))</f>
        <v/>
      </c>
      <c r="H86" s="318" t="str">
        <f>IF($F$53='Fatores de Emissão'!$N$23,'Fatores de Emissão'!N55*E86/1000000,IF($F$53='Fatores de Emissão'!$O$23,'Fatores de Emissão'!O55*E86/1000000,IF($F$53='Fatores de Emissão'!$P$23,'Fatores de Emissão'!P55*E86/1000000,IF($F$53='Fatores de Emissão'!$Q$23,'Fatores de Emissão'!Q55*E86/1000000,""))))</f>
        <v/>
      </c>
      <c r="I86" s="279" t="str">
        <f t="shared" si="2"/>
        <v>-</v>
      </c>
      <c r="J86" s="279" t="str">
        <f t="shared" si="0"/>
        <v>-</v>
      </c>
      <c r="K86" s="279" t="str">
        <f t="shared" si="1"/>
        <v>-</v>
      </c>
      <c r="L86" s="319" t="str">
        <f>IF(C86=0,"-",I86*'Fatores de Emissão'!$E$262+CE!J86*'Fatores de Emissão'!$E$258+CE!K86*'Fatores de Emissão'!$E$259)</f>
        <v>-</v>
      </c>
      <c r="M86" s="252">
        <f>'Fatores de Emissão'!R55</f>
        <v>2.2411459459459466E-6</v>
      </c>
      <c r="N86" s="252">
        <f t="shared" si="3"/>
        <v>0</v>
      </c>
    </row>
    <row r="87" spans="1:14" s="240" customFormat="1" outlineLevel="1" x14ac:dyDescent="0.25">
      <c r="A87" s="282">
        <v>35</v>
      </c>
      <c r="B87" s="281" t="str">
        <f>'Fatores de Emissão'!$B$56</f>
        <v>Querosene tipo Jet Fuel</v>
      </c>
      <c r="C87" s="252">
        <f>SUMIF('Combustão Estacionária'!$C$71:$C$168,B87,'Combustão Estacionária'!$D$71:$D$168)</f>
        <v>0</v>
      </c>
      <c r="D87" s="317" t="str">
        <f>'Fatores de Emissão'!D56</f>
        <v>Litros</v>
      </c>
      <c r="E87" s="280">
        <f>VLOOKUP($B87,'Fatores de Emissão'!$B$24:$Q$75,4,FALSE)</f>
        <v>35.368499999999997</v>
      </c>
      <c r="F87" s="280">
        <f>VLOOKUP($B87,'Fatores de Emissão'!$B$24:$Q$75,6,FALSE)*E87/1000000</f>
        <v>2.5035592725</v>
      </c>
      <c r="G87" s="318" t="str">
        <f>IF($F$53='Fatores de Emissão'!$J$23,'Fatores de Emissão'!J56*E87/1000000,IF($F$53='Fatores de Emissão'!$K$23,'Fatores de Emissão'!K56*E87/1000000,IF($F$53='Fatores de Emissão'!$L$23,'Fatores de Emissão'!L56*E87/1000000,IF($F$53='Fatores de Emissão'!$M$23,'Fatores de Emissão'!M56*E87/1000000,""))))</f>
        <v/>
      </c>
      <c r="H87" s="318" t="str">
        <f>IF($F$53='Fatores de Emissão'!$N$23,'Fatores de Emissão'!N56*E87/1000000,IF($F$53='Fatores de Emissão'!$O$23,'Fatores de Emissão'!O56*E87/1000000,IF($F$53='Fatores de Emissão'!$P$23,'Fatores de Emissão'!P56*E87/1000000,IF($F$53='Fatores de Emissão'!$Q$23,'Fatores de Emissão'!Q56*E87/1000000,""))))</f>
        <v/>
      </c>
      <c r="I87" s="279" t="str">
        <f t="shared" si="2"/>
        <v>-</v>
      </c>
      <c r="J87" s="279" t="str">
        <f t="shared" si="0"/>
        <v>-</v>
      </c>
      <c r="K87" s="279" t="str">
        <f t="shared" si="1"/>
        <v>-</v>
      </c>
      <c r="L87" s="319" t="str">
        <f>IF(C87=0,"-",I87*'Fatores de Emissão'!$E$262+CE!J87*'Fatores de Emissão'!$E$258+CE!K87*'Fatores de Emissão'!$E$259)</f>
        <v>-</v>
      </c>
      <c r="M87" s="252">
        <f>'Fatores de Emissão'!R56</f>
        <v>2.2411459459459466E-6</v>
      </c>
      <c r="N87" s="252">
        <f t="shared" si="3"/>
        <v>0</v>
      </c>
    </row>
    <row r="88" spans="1:14" s="240" customFormat="1" ht="47.25" outlineLevel="1" x14ac:dyDescent="0.25">
      <c r="A88" s="282">
        <v>36</v>
      </c>
      <c r="B88" s="281" t="str">
        <f>'Fatores de Emissão'!$B$57</f>
        <v>Resíduos municipais (fração não biodegradável)</v>
      </c>
      <c r="C88" s="252">
        <f>SUMIF('Combustão Estacionária'!$C$71:$C$168,B88,'Combustão Estacionária'!$D$71:$D$168)</f>
        <v>0</v>
      </c>
      <c r="D88" s="317" t="str">
        <f>'Fatores de Emissão'!D57</f>
        <v>Toneladas</v>
      </c>
      <c r="E88" s="280">
        <f>VLOOKUP($B88,'Fatores de Emissão'!$B$24:$Q$75,4,FALSE)</f>
        <v>10000</v>
      </c>
      <c r="F88" s="280">
        <f>VLOOKUP($B88,'Fatores de Emissão'!$B$24:$Q$75,6,FALSE)*E88/1000000</f>
        <v>898.66</v>
      </c>
      <c r="G88" s="318" t="str">
        <f>IF($F$53='Fatores de Emissão'!$J$23,'Fatores de Emissão'!J57*E88/1000000,IF($F$53='Fatores de Emissão'!$K$23,'Fatores de Emissão'!K57*E88/1000000,IF($F$53='Fatores de Emissão'!$L$23,'Fatores de Emissão'!L57*E88/1000000,IF($F$53='Fatores de Emissão'!$M$23,'Fatores de Emissão'!M57*E88/1000000,""))))</f>
        <v/>
      </c>
      <c r="H88" s="318" t="str">
        <f>IF($F$53='Fatores de Emissão'!$N$23,'Fatores de Emissão'!N57*E88/1000000,IF($F$53='Fatores de Emissão'!$O$23,'Fatores de Emissão'!O57*E88/1000000,IF($F$53='Fatores de Emissão'!$P$23,'Fatores de Emissão'!P57*E88/1000000,IF($F$53='Fatores de Emissão'!$Q$23,'Fatores de Emissão'!Q57*E88/1000000,""))))</f>
        <v/>
      </c>
      <c r="I88" s="279" t="str">
        <f t="shared" si="2"/>
        <v>-</v>
      </c>
      <c r="J88" s="279" t="str">
        <f t="shared" si="0"/>
        <v>-</v>
      </c>
      <c r="K88" s="279" t="str">
        <f t="shared" si="1"/>
        <v>-</v>
      </c>
      <c r="L88" s="319" t="str">
        <f>IF(C88=0,"-",I88*'Fatores de Emissão'!$E$262+CE!J88*'Fatores de Emissão'!$E$258+CE!K88*'Fatores de Emissão'!$E$259)</f>
        <v>-</v>
      </c>
      <c r="M88" s="252">
        <f>'Fatores de Emissão'!R57</f>
        <v>0</v>
      </c>
      <c r="N88" s="252">
        <f t="shared" si="3"/>
        <v>0</v>
      </c>
    </row>
    <row r="89" spans="1:14" s="240" customFormat="1" ht="31.5" outlineLevel="1" x14ac:dyDescent="0.25">
      <c r="A89" s="282">
        <v>37</v>
      </c>
      <c r="B89" s="281" t="str">
        <f>'Fatores de Emissão'!$B$58</f>
        <v>Xisto Betuminoso e Areias Betuminosas</v>
      </c>
      <c r="C89" s="252">
        <f>SUMIF('Combustão Estacionária'!$C$71:$C$168,B89,'Combustão Estacionária'!$D$71:$D$168)</f>
        <v>0</v>
      </c>
      <c r="D89" s="317" t="str">
        <f>'Fatores de Emissão'!D58</f>
        <v>kg</v>
      </c>
      <c r="E89" s="280">
        <f>VLOOKUP($B89,'Fatores de Emissão'!$B$24:$Q$75,4,FALSE)</f>
        <v>8.5</v>
      </c>
      <c r="F89" s="280">
        <f>VLOOKUP($B89,'Fatores de Emissão'!$B$24:$Q$75,6,FALSE)*E89/1000000</f>
        <v>0.90610000000000002</v>
      </c>
      <c r="G89" s="318" t="str">
        <f>IF($F$53='Fatores de Emissão'!$J$23,'Fatores de Emissão'!J58*E89/1000000,IF($F$53='Fatores de Emissão'!$K$23,'Fatores de Emissão'!K58*E89/1000000,IF($F$53='Fatores de Emissão'!$L$23,'Fatores de Emissão'!L58*E89/1000000,IF($F$53='Fatores de Emissão'!$M$23,'Fatores de Emissão'!M58*E89/1000000,""))))</f>
        <v/>
      </c>
      <c r="H89" s="318" t="str">
        <f>IF($F$53='Fatores de Emissão'!$N$23,'Fatores de Emissão'!N58*E89/1000000,IF($F$53='Fatores de Emissão'!$O$23,'Fatores de Emissão'!O58*E89/1000000,IF($F$53='Fatores de Emissão'!$P$23,'Fatores de Emissão'!P58*E89/1000000,IF($F$53='Fatores de Emissão'!$Q$23,'Fatores de Emissão'!Q58*E89/1000000,""))))</f>
        <v/>
      </c>
      <c r="I89" s="279" t="str">
        <f t="shared" si="2"/>
        <v>-</v>
      </c>
      <c r="J89" s="279" t="str">
        <f t="shared" si="0"/>
        <v>-</v>
      </c>
      <c r="K89" s="279" t="str">
        <f t="shared" si="1"/>
        <v>-</v>
      </c>
      <c r="L89" s="319" t="str">
        <f>IF(C89=0,"-",I89*'Fatores de Emissão'!$E$262+CE!J89*'Fatores de Emissão'!$E$258+CE!K89*'Fatores de Emissão'!$E$259)</f>
        <v>-</v>
      </c>
      <c r="M89" s="252">
        <f>'Fatores de Emissão'!R58</f>
        <v>0</v>
      </c>
      <c r="N89" s="252">
        <f t="shared" si="3"/>
        <v>0</v>
      </c>
    </row>
    <row r="90" spans="1:14" s="240" customFormat="1" ht="16.899999999999999" customHeight="1" outlineLevel="1" x14ac:dyDescent="0.25">
      <c r="A90" s="282"/>
      <c r="B90" s="320"/>
      <c r="C90" s="321" t="s">
        <v>445</v>
      </c>
      <c r="D90" s="322"/>
      <c r="E90" s="323"/>
      <c r="F90" s="323"/>
      <c r="G90" s="318" t="str">
        <f>IF($F$53='Fatores de Emissão'!$J$23,'Fatores de Emissão'!#REF!*E90/1000000,IF($F$53='Fatores de Emissão'!$K$23,'Fatores de Emissão'!#REF!*E90/1000000,IF($F$53='Fatores de Emissão'!$L$23,'Fatores de Emissão'!#REF!*E90/1000000,IF($F$53='Fatores de Emissão'!$M$23,'Fatores de Emissão'!#REF!*E90/1000000,""))))</f>
        <v/>
      </c>
      <c r="H90" s="318" t="str">
        <f>IF($F$53='Fatores de Emissão'!$N$23,'Fatores de Emissão'!#REF!*E90/1000000,IF($F$53='Fatores de Emissão'!$O$23,'Fatores de Emissão'!#REF!*E90/1000000,IF($F$53='Fatores de Emissão'!$P$23,'Fatores de Emissão'!#REF!*E90/1000000,IF($F$53='Fatores de Emissão'!$Q$23,'Fatores de Emissão'!#REF!*E90/1000000,""))))</f>
        <v/>
      </c>
      <c r="I90" s="324">
        <f>SUM(I55:I89)</f>
        <v>0</v>
      </c>
      <c r="J90" s="324">
        <f>SUM(J55:J89)</f>
        <v>0</v>
      </c>
      <c r="K90" s="324">
        <f>SUM(K55:K89)</f>
        <v>0</v>
      </c>
      <c r="L90" s="324">
        <f>SUM(L55:L89)</f>
        <v>0</v>
      </c>
      <c r="M90" s="252"/>
      <c r="N90" s="325">
        <f>SUM(N55:N89)</f>
        <v>0</v>
      </c>
    </row>
    <row r="91" spans="1:14" s="240" customFormat="1" outlineLevel="1" x14ac:dyDescent="0.25">
      <c r="A91" s="282">
        <v>43</v>
      </c>
      <c r="B91" s="264" t="e">
        <f>'Fatores de Emissão'!#REF!</f>
        <v>#REF!</v>
      </c>
      <c r="C91" s="252">
        <f>SUMIF('Combustão Estacionária'!$C$71:$C$168,B91,'Combustão Estacionária'!$D$71:$D$168)</f>
        <v>0</v>
      </c>
      <c r="D91" s="326" t="e">
        <f>'Fatores de Emissão'!#REF!</f>
        <v>#REF!</v>
      </c>
      <c r="E91" s="280" t="e">
        <f>VLOOKUP($B91,'Fatores de Emissão'!$B$24:$Q$75,4,FALSE)</f>
        <v>#REF!</v>
      </c>
      <c r="F91" s="280" t="e">
        <f>VLOOKUP($B91,'Fatores de Emissão'!$B$24:$Q$75,6,FALSE)*E91/1000000</f>
        <v>#REF!</v>
      </c>
      <c r="G91" s="318" t="str">
        <f>IF($F$53='Fatores de Emissão'!$J$23,'Fatores de Emissão'!J66*E91/1000000,IF($F$53='Fatores de Emissão'!$K$23,'Fatores de Emissão'!K66*E91/1000000,IF($F$53='Fatores de Emissão'!$L$23,'Fatores de Emissão'!L66*E91/1000000,IF($F$53='Fatores de Emissão'!$M$23,'Fatores de Emissão'!M66*E91/1000000,""))))</f>
        <v/>
      </c>
      <c r="H91" s="318"/>
      <c r="I91" s="279" t="str">
        <f t="shared" ref="I91:I101" si="4">IF($C91=0,"-",F91*$C91)</f>
        <v>-</v>
      </c>
      <c r="J91" s="279" t="str">
        <f t="shared" ref="J91:J101" si="5">IF($C91=0,"-",G91*$C91)</f>
        <v>-</v>
      </c>
      <c r="K91" s="279" t="str">
        <f t="shared" ref="K91:K101" si="6">IF($C91=0,"-",H91*$C91)</f>
        <v>-</v>
      </c>
      <c r="L91" s="1088" t="str">
        <f>IF(C91=0,"-",I91+CE!J91+CE!K91)</f>
        <v>-</v>
      </c>
    </row>
    <row r="92" spans="1:14" s="240" customFormat="1" outlineLevel="1" x14ac:dyDescent="0.25">
      <c r="A92" s="282">
        <v>44</v>
      </c>
      <c r="B92" s="264" t="str">
        <f>'Fatores de Emissão'!$B$66</f>
        <v>Biodiesel e Biogasolina</v>
      </c>
      <c r="C92" s="252">
        <f>SUMIF('Combustão Estacionária'!$C$71:$C$168,B92,'Combustão Estacionária'!$D$71:$D$168)</f>
        <v>0</v>
      </c>
      <c r="D92" s="326" t="str">
        <f>'Fatores de Emissão'!D66</f>
        <v>kg</v>
      </c>
      <c r="E92" s="280">
        <f>VLOOKUP($B92,'Fatores de Emissão'!$B$24:$Q$75,4,FALSE)</f>
        <v>27</v>
      </c>
      <c r="F92" s="280">
        <f>VLOOKUP($B92,'Fatores de Emissão'!$B$24:$Q$75,6,FALSE)*E92/1000000</f>
        <v>1.9116</v>
      </c>
      <c r="G92" s="318" t="str">
        <f>IF($F$53='Fatores de Emissão'!$J$23,'Fatores de Emissão'!J66*E92/1000000,IF($F$53='Fatores de Emissão'!$K$23,'Fatores de Emissão'!K66*E92/1000000,IF($F$53='Fatores de Emissão'!$L$23,'Fatores de Emissão'!L66*E92/1000000,IF($F$53='Fatores de Emissão'!$M$23,'Fatores de Emissão'!M66*E92/1000000,""))))</f>
        <v/>
      </c>
      <c r="H92" s="318"/>
      <c r="I92" s="279" t="str">
        <f t="shared" si="4"/>
        <v>-</v>
      </c>
      <c r="J92" s="279" t="str">
        <f t="shared" si="5"/>
        <v>-</v>
      </c>
      <c r="K92" s="279" t="str">
        <f t="shared" si="6"/>
        <v>-</v>
      </c>
      <c r="L92" s="1088" t="str">
        <f>IF(C92=0,"-",I92+CE!J92+CE!K92)</f>
        <v>-</v>
      </c>
    </row>
    <row r="93" spans="1:14" s="240" customFormat="1" outlineLevel="1" x14ac:dyDescent="0.25">
      <c r="A93" s="282">
        <v>45</v>
      </c>
      <c r="B93" s="264" t="str">
        <f>'Fatores de Emissão'!$B$67</f>
        <v>Carvão Vegetal</v>
      </c>
      <c r="C93" s="252">
        <f>SUMIF('Combustão Estacionária'!$C$71:$C$168,B93,'Combustão Estacionária'!$D$71:$D$168)</f>
        <v>0</v>
      </c>
      <c r="D93" s="326" t="str">
        <f>'Fatores de Emissão'!D67</f>
        <v>kg</v>
      </c>
      <c r="E93" s="280">
        <f>VLOOKUP($B93,'Fatores de Emissão'!$B$24:$Q$75,4,FALSE)</f>
        <v>29.5</v>
      </c>
      <c r="F93" s="280">
        <f>VLOOKUP($B93,'Fatores de Emissão'!$B$24:$Q$75,6,FALSE)*E93/1000000</f>
        <v>3.3039999999999998</v>
      </c>
      <c r="G93" s="318" t="str">
        <f>IF($F$53='Fatores de Emissão'!$J$23,'Fatores de Emissão'!J67*E93/1000000,IF($F$53='Fatores de Emissão'!$K$23,'Fatores de Emissão'!K67*E93/1000000,IF($F$53='Fatores de Emissão'!$L$23,'Fatores de Emissão'!L67*E93/1000000,IF($F$53='Fatores de Emissão'!$M$23,'Fatores de Emissão'!M67*E93/1000000,""))))</f>
        <v/>
      </c>
      <c r="H93" s="318"/>
      <c r="I93" s="279" t="str">
        <f t="shared" si="4"/>
        <v>-</v>
      </c>
      <c r="J93" s="279" t="str">
        <f t="shared" si="5"/>
        <v>-</v>
      </c>
      <c r="K93" s="279" t="str">
        <f t="shared" si="6"/>
        <v>-</v>
      </c>
      <c r="L93" s="1088" t="str">
        <f>IF(C93=0,"-",I93+CE!J93+CE!K93)</f>
        <v>-</v>
      </c>
    </row>
    <row r="94" spans="1:14" s="1089" customFormat="1" ht="31.5" outlineLevel="1" x14ac:dyDescent="0.25">
      <c r="A94" s="1081">
        <v>47</v>
      </c>
      <c r="B94" s="1090" t="str">
        <f>'Fatores de Emissão'!$B$68</f>
        <v>Gases de Lamas de Depuração</v>
      </c>
      <c r="C94" s="1083">
        <f>SUMIF('Combustão Estacionária'!$C$71:$C$168,B94,'Combustão Estacionária'!$D$71:$D$168)</f>
        <v>0</v>
      </c>
      <c r="D94" s="1084" t="str">
        <f>'Fatores de Emissão'!D68</f>
        <v>TJ</v>
      </c>
      <c r="E94" s="1085">
        <f>VLOOKUP($B94,'Fatores de Emissão'!$B$24:$Q$75,4,FALSE)</f>
        <v>50.4</v>
      </c>
      <c r="F94" s="1085">
        <f>F97</f>
        <v>54600</v>
      </c>
      <c r="G94" s="1086" t="str">
        <f>IF($F$53='Fatores de Emissão'!$J$23,'Fatores de Emissão'!J68*1000,IF($F$53='Fatores de Emissão'!$K$23,'Fatores de Emissão'!K68*1000,IF($F$53='Fatores de Emissão'!$L$23,'Fatores de Emissão'!L68*1000,IF($F$53='Fatores de Emissão'!$M$23,'Fatores de Emissão'!M68*1000,""))))</f>
        <v/>
      </c>
      <c r="H94" s="1086"/>
      <c r="I94" s="1087" t="str">
        <f>IF($C94=0,"-",F94*$C94)</f>
        <v>-</v>
      </c>
      <c r="J94" s="1087" t="str">
        <f>IF($C94=0,"-",G94*$C94)</f>
        <v>-</v>
      </c>
      <c r="K94" s="1087" t="str">
        <f t="shared" si="6"/>
        <v>-</v>
      </c>
      <c r="L94" s="1088" t="str">
        <f>IF(C94=0,"-",I94+CE!J94+CE!K94)</f>
        <v>-</v>
      </c>
    </row>
    <row r="95" spans="1:14" s="240" customFormat="1" ht="47.25" outlineLevel="1" x14ac:dyDescent="0.25">
      <c r="A95" s="282">
        <v>49</v>
      </c>
      <c r="B95" s="264" t="str">
        <f>'Fatores de Emissão'!$B$69</f>
        <v>Madeira, resíduos de madeira e outros resíduos sólidos</v>
      </c>
      <c r="C95" s="252">
        <f>SUMIF('Combustão Estacionária'!$C$71:$C$168,B95,'Combustão Estacionária'!$D$71:$D$168)</f>
        <v>0</v>
      </c>
      <c r="D95" s="326" t="str">
        <f>'Fatores de Emissão'!D69</f>
        <v>kg</v>
      </c>
      <c r="E95" s="280">
        <f>VLOOKUP($B95,'Fatores de Emissão'!$B$24:$Q$75,4,FALSE)</f>
        <v>14.7</v>
      </c>
      <c r="F95" s="280">
        <f>VLOOKUP($B95,'Fatores de Emissão'!$B$24:$Q$75,6,FALSE)*E95/1000000</f>
        <v>1.6464000000000001</v>
      </c>
      <c r="G95" s="318" t="str">
        <f>IF($F$53='Fatores de Emissão'!$J$23,'Fatores de Emissão'!J69*E95/1000000,IF($F$53='Fatores de Emissão'!$K$23,'Fatores de Emissão'!K69*E95/1000000,IF($F$53='Fatores de Emissão'!$L$23,'Fatores de Emissão'!L69*E95/1000000,IF($F$53='Fatores de Emissão'!$M$23,'Fatores de Emissão'!M69*E95/1000000,""))))</f>
        <v/>
      </c>
      <c r="H95" s="318"/>
      <c r="I95" s="279" t="str">
        <f t="shared" si="4"/>
        <v>-</v>
      </c>
      <c r="J95" s="279" t="str">
        <f t="shared" si="5"/>
        <v>-</v>
      </c>
      <c r="K95" s="279" t="str">
        <f t="shared" si="6"/>
        <v>-</v>
      </c>
      <c r="L95" s="1088" t="str">
        <f>IF(C95=0,"-",I95+CE!J95+CE!K95)</f>
        <v>-</v>
      </c>
    </row>
    <row r="96" spans="1:14" s="240" customFormat="1" ht="31.5" outlineLevel="1" x14ac:dyDescent="0.25">
      <c r="A96" s="282">
        <v>50</v>
      </c>
      <c r="B96" s="264" t="str">
        <f>'Fatores de Emissão'!$B$70</f>
        <v>Outra Biomassa Primária Sólida</v>
      </c>
      <c r="C96" s="252">
        <f>SUMIF('Combustão Estacionária'!$C$71:$C$168,B96,'Combustão Estacionária'!$D$71:$D$168)</f>
        <v>0</v>
      </c>
      <c r="D96" s="326" t="str">
        <f>'Fatores de Emissão'!D70</f>
        <v>kg</v>
      </c>
      <c r="E96" s="280">
        <f>VLOOKUP($B96,'Fatores de Emissão'!$B$24:$Q$75,4,FALSE)</f>
        <v>11.6</v>
      </c>
      <c r="F96" s="280">
        <f>VLOOKUP($B96,'Fatores de Emissão'!$B$24:$Q$75,6,FALSE)*E96/1000000</f>
        <v>1.1599999999999999</v>
      </c>
      <c r="G96" s="318" t="str">
        <f>IF($F$53='Fatores de Emissão'!$J$23,'Fatores de Emissão'!J70*E96/1000000,IF($F$53='Fatores de Emissão'!$K$23,'Fatores de Emissão'!K70*E96/1000000,IF($F$53='Fatores de Emissão'!$L$23,'Fatores de Emissão'!L70*E96/1000000,IF($F$53='Fatores de Emissão'!$M$23,'Fatores de Emissão'!M70*E96/1000000,""))))</f>
        <v/>
      </c>
      <c r="H96" s="318"/>
      <c r="I96" s="279" t="str">
        <f t="shared" si="4"/>
        <v>-</v>
      </c>
      <c r="J96" s="279" t="str">
        <f t="shared" si="5"/>
        <v>-</v>
      </c>
      <c r="K96" s="279" t="str">
        <f t="shared" si="6"/>
        <v>-</v>
      </c>
      <c r="L96" s="1088" t="str">
        <f>IF(C96=0,"-",I96+CE!J96+CE!K96)</f>
        <v>-</v>
      </c>
    </row>
    <row r="97" spans="1:14" s="1089" customFormat="1" ht="31.5" outlineLevel="1" x14ac:dyDescent="0.25">
      <c r="A97" s="1081"/>
      <c r="B97" s="1082" t="str">
        <f>'Fatores de Emissão'!B72</f>
        <v>Outros biocombustíveis gasosos</v>
      </c>
      <c r="C97" s="1083">
        <f>SUMIF('Combustão Estacionária'!$C$71:$C$168,B97,'Combustão Estacionária'!$D$71:$D$168)</f>
        <v>0</v>
      </c>
      <c r="D97" s="1084" t="str">
        <f>'Fatores de Emissão'!D72</f>
        <v>TJ</v>
      </c>
      <c r="E97" s="1085">
        <f>VLOOKUP($B97,'Fatores de Emissão'!$B$24:$Q$75,4,FALSE)</f>
        <v>0</v>
      </c>
      <c r="F97" s="1085">
        <f>'Fatores de Emissão'!I72</f>
        <v>54600</v>
      </c>
      <c r="G97" s="1086" t="str">
        <f>IF($F$53='Fatores de Emissão'!$J$23,'Fatores de Emissão'!J72*1000,IF($F$53='Fatores de Emissão'!$K$23,'Fatores de Emissão'!K72*1000,IF($F$53='Fatores de Emissão'!$L$23,'Fatores de Emissão'!L72*1000,IF($F$53='Fatores de Emissão'!$M$23,'Fatores de Emissão'!M72*1000,""))))</f>
        <v/>
      </c>
      <c r="H97" s="1086"/>
      <c r="I97" s="1087"/>
      <c r="J97" s="1087"/>
      <c r="K97" s="1087"/>
      <c r="L97" s="1088" t="str">
        <f>IF(C97=0,"-",I97+CE!J97+CE!K97)</f>
        <v>-</v>
      </c>
    </row>
    <row r="98" spans="1:14" s="240" customFormat="1" ht="31.5" outlineLevel="1" x14ac:dyDescent="0.25">
      <c r="A98" s="282">
        <v>51</v>
      </c>
      <c r="B98" s="264" t="str">
        <f>'Fatores de Emissão'!$B$71</f>
        <v>Outros Biocombustíveis Líquidos</v>
      </c>
      <c r="C98" s="252">
        <f>SUMIF('Combustão Estacionária'!$C$71:$C$168,B98,'Combustão Estacionária'!$D$71:$D$168)</f>
        <v>0</v>
      </c>
      <c r="D98" s="326" t="str">
        <f>'Fatores de Emissão'!D71</f>
        <v>kg</v>
      </c>
      <c r="E98" s="280">
        <f>VLOOKUP($B98,'Fatores de Emissão'!$B$24:$Q$75,4,FALSE)</f>
        <v>27.4</v>
      </c>
      <c r="F98" s="280">
        <f>VLOOKUP($B98,'Fatores de Emissão'!$B$24:$Q$75,6,FALSE)*E98/1000000</f>
        <v>2.1810399999999999</v>
      </c>
      <c r="G98" s="318" t="str">
        <f>IF($F$53='Fatores de Emissão'!$J$23,'Fatores de Emissão'!J71*E98/1000000,IF($F$53='Fatores de Emissão'!$K$23,'Fatores de Emissão'!K71*E98/1000000,IF($F$53='Fatores de Emissão'!$L$23,'Fatores de Emissão'!L71*E98/1000000,IF($F$53='Fatores de Emissão'!$M$23,'Fatores de Emissão'!M71*E98/1000000,""))))</f>
        <v/>
      </c>
      <c r="H98" s="318"/>
      <c r="I98" s="279" t="str">
        <f t="shared" si="4"/>
        <v>-</v>
      </c>
      <c r="J98" s="279" t="str">
        <f t="shared" si="5"/>
        <v>-</v>
      </c>
      <c r="K98" s="279" t="str">
        <f t="shared" si="6"/>
        <v>-</v>
      </c>
      <c r="L98" s="1088" t="str">
        <f>IF(C98=0,"-",I98+CE!J98+CE!K98)</f>
        <v>-</v>
      </c>
    </row>
    <row r="99" spans="1:14" s="240" customFormat="1" ht="31.5" outlineLevel="1" x14ac:dyDescent="0.25">
      <c r="A99" s="282">
        <v>53</v>
      </c>
      <c r="B99" s="264" t="str">
        <f>'Fatores de Emissão'!$B$73</f>
        <v>Resíduos Municipais (fração biodegradável)</v>
      </c>
      <c r="C99" s="252">
        <f>SUMIF('Combustão Estacionária'!$C$71:$C$168,B99,'Combustão Estacionária'!$D$71:$D$168)</f>
        <v>0</v>
      </c>
      <c r="D99" s="326" t="str">
        <f>'Fatores de Emissão'!D73</f>
        <v>kg</v>
      </c>
      <c r="E99" s="280">
        <f>VLOOKUP($B99,'Fatores de Emissão'!$B$24:$Q$75,4,FALSE)</f>
        <v>11.6</v>
      </c>
      <c r="F99" s="280">
        <f>VLOOKUP($B99,'Fatores de Emissão'!$B$24:$Q$75,6,FALSE)*E99/1000000</f>
        <v>1.1599999999999999</v>
      </c>
      <c r="G99" s="318" t="str">
        <f>IF($F$53='Fatores de Emissão'!$J$23,'Fatores de Emissão'!J73*E99/1000000,IF($F$53='Fatores de Emissão'!$K$23,'Fatores de Emissão'!K73*E99/1000000,IF($F$53='Fatores de Emissão'!$L$23,'Fatores de Emissão'!L73*E99/1000000,IF($F$53='Fatores de Emissão'!$M$23,'Fatores de Emissão'!M73*E99/1000000,""))))</f>
        <v/>
      </c>
      <c r="H99" s="318"/>
      <c r="I99" s="279" t="str">
        <f t="shared" si="4"/>
        <v>-</v>
      </c>
      <c r="J99" s="279" t="str">
        <f t="shared" si="5"/>
        <v>-</v>
      </c>
      <c r="K99" s="279" t="str">
        <f t="shared" si="6"/>
        <v>-</v>
      </c>
      <c r="L99" s="1088" t="str">
        <f>IF(C99=0,"-",I99+CE!J99+CE!K99)</f>
        <v>-</v>
      </c>
    </row>
    <row r="100" spans="1:14" s="1089" customFormat="1" outlineLevel="1" x14ac:dyDescent="0.25">
      <c r="A100" s="1081"/>
      <c r="B100" s="1082" t="s">
        <v>1212</v>
      </c>
      <c r="C100" s="252">
        <f>SUMIF('Combustão Estacionária'!$C$71:$C$168,B100,'Combustão Estacionária'!$D$71:$D$168)</f>
        <v>0</v>
      </c>
      <c r="D100" s="326" t="str">
        <f>'Fatores de Emissão'!D74</f>
        <v>TJ</v>
      </c>
      <c r="E100" s="280">
        <f>VLOOKUP($B100,'Fatores de Emissão'!$B$24:$Q$75,4,FALSE)</f>
        <v>0</v>
      </c>
      <c r="F100" s="280">
        <f>'Fatores de Emissão'!I74</f>
        <v>0</v>
      </c>
      <c r="G100" s="1086" t="str">
        <f>IF($F$53='Fatores de Emissão'!$J$23,'Fatores de Emissão'!J74*1000,IF($F$53='Fatores de Emissão'!$K$23,'Fatores de Emissão'!K74*1000,IF($F$53='Fatores de Emissão'!$L$23,'Fatores de Emissão'!L74*1000,IF($F$53='Fatores de Emissão'!$M$23,'Fatores de Emissão'!M74*1000,""))))</f>
        <v/>
      </c>
      <c r="H100" s="1086"/>
      <c r="I100" s="1087"/>
      <c r="J100" s="1087"/>
      <c r="K100" s="1087"/>
      <c r="L100" s="1088" t="str">
        <f>IF(C100=0,"-",I100+CE!J100+CE!K100)</f>
        <v>-</v>
      </c>
    </row>
    <row r="101" spans="1:14" s="240" customFormat="1" outlineLevel="1" x14ac:dyDescent="0.25">
      <c r="A101" s="282">
        <v>54</v>
      </c>
      <c r="B101" s="264" t="str">
        <f>'Fatores de Emissão'!$B$75</f>
        <v>Turfa</v>
      </c>
      <c r="C101" s="252">
        <f>SUMIF('Combustão Estacionária'!$C$71:$C$168,B101,'Combustão Estacionária'!$D$71:$D$168)</f>
        <v>0</v>
      </c>
      <c r="D101" s="326" t="str">
        <f>'Fatores de Emissão'!D75</f>
        <v>kg</v>
      </c>
      <c r="E101" s="280">
        <f>VLOOKUP($B101,'Fatores de Emissão'!$B$24:$Q$75,4,FALSE)</f>
        <v>10.8</v>
      </c>
      <c r="F101" s="280">
        <f>VLOOKUP($B101,'Fatores de Emissão'!$B$24:$Q$75,6,FALSE)*E101/1000000</f>
        <v>1.1448</v>
      </c>
      <c r="G101" s="318" t="str">
        <f>IF($F$53='Fatores de Emissão'!$J$23,'Fatores de Emissão'!J75*E101/1000000,IF($F$53='Fatores de Emissão'!$K$23,'Fatores de Emissão'!K75*E101/1000000,IF($F$53='Fatores de Emissão'!$L$23,'Fatores de Emissão'!L75*E101/1000000,IF($F$53='Fatores de Emissão'!$M$23,'Fatores de Emissão'!M75*E101/1000000,""))))</f>
        <v/>
      </c>
      <c r="H101" s="318"/>
      <c r="I101" s="279" t="str">
        <f t="shared" si="4"/>
        <v>-</v>
      </c>
      <c r="J101" s="279" t="str">
        <f t="shared" si="5"/>
        <v>-</v>
      </c>
      <c r="K101" s="279" t="str">
        <f t="shared" si="6"/>
        <v>-</v>
      </c>
      <c r="L101" s="1088" t="str">
        <f>IF(C101=0,"-",I101+CE!J101+CE!K101)</f>
        <v>-</v>
      </c>
    </row>
    <row r="102" spans="1:14" ht="16.899999999999999" customHeight="1" outlineLevel="1" x14ac:dyDescent="0.25">
      <c r="B102" s="320"/>
      <c r="C102" s="327" t="s">
        <v>446</v>
      </c>
      <c r="D102" s="322"/>
      <c r="E102" s="356"/>
      <c r="F102" s="322"/>
      <c r="G102" s="322"/>
      <c r="H102" s="328"/>
      <c r="I102" s="329">
        <f>SUM(I91:I101)</f>
        <v>0</v>
      </c>
      <c r="J102" s="329">
        <f>SUM(J91:J101)</f>
        <v>0</v>
      </c>
      <c r="K102" s="329">
        <f>SUM(K91:K101)</f>
        <v>0</v>
      </c>
      <c r="L102" s="329">
        <f>SUM(L91:L101)</f>
        <v>0</v>
      </c>
      <c r="M102" s="166"/>
    </row>
    <row r="103" spans="1:14" outlineLevel="1" x14ac:dyDescent="0.25">
      <c r="B103" s="166"/>
      <c r="D103" s="166"/>
      <c r="I103" s="177"/>
      <c r="J103" s="166"/>
      <c r="M103" s="166"/>
    </row>
    <row r="104" spans="1:14" x14ac:dyDescent="0.25">
      <c r="F104" s="241"/>
      <c r="J104" s="166"/>
      <c r="K104" s="240"/>
      <c r="M104" s="166"/>
      <c r="N104" s="268"/>
    </row>
    <row r="105" spans="1:14" x14ac:dyDescent="0.25">
      <c r="F105" s="241"/>
      <c r="J105" s="166"/>
      <c r="K105" s="240"/>
      <c r="M105" s="166"/>
      <c r="N105" s="268"/>
    </row>
    <row r="106" spans="1:14" x14ac:dyDescent="0.25">
      <c r="F106" s="241"/>
      <c r="J106" s="166"/>
      <c r="K106" s="240"/>
      <c r="M106" s="166"/>
      <c r="N106" s="268"/>
    </row>
    <row r="107" spans="1:14" outlineLevel="1" x14ac:dyDescent="0.25">
      <c r="B107" s="166" t="s">
        <v>602</v>
      </c>
      <c r="D107" s="166"/>
      <c r="I107" s="170"/>
      <c r="J107" s="166"/>
      <c r="M107" s="166"/>
    </row>
    <row r="108" spans="1:14" s="240" customFormat="1" ht="16.899999999999999" customHeight="1" outlineLevel="1" x14ac:dyDescent="0.25">
      <c r="B108" s="1227" t="s">
        <v>38</v>
      </c>
      <c r="C108" s="1227" t="s">
        <v>444</v>
      </c>
      <c r="D108" s="1230" t="s">
        <v>29</v>
      </c>
      <c r="F108" s="307" t="s">
        <v>443</v>
      </c>
      <c r="G108" s="308"/>
      <c r="H108" s="309"/>
      <c r="I108" s="178" t="s">
        <v>1084</v>
      </c>
      <c r="J108" s="178" t="s">
        <v>1085</v>
      </c>
      <c r="K108" s="178" t="s">
        <v>1086</v>
      </c>
      <c r="L108" s="178" t="s">
        <v>1087</v>
      </c>
      <c r="M108" s="178" t="s">
        <v>557</v>
      </c>
      <c r="N108" s="178" t="s">
        <v>558</v>
      </c>
    </row>
    <row r="109" spans="1:14" s="240" customFormat="1" ht="16.899999999999999" customHeight="1" outlineLevel="1" x14ac:dyDescent="0.25">
      <c r="B109" s="1228"/>
      <c r="C109" s="1228"/>
      <c r="D109" s="1231"/>
      <c r="F109" s="312">
        <f>'Combustão Estacionária'!D49</f>
        <v>0</v>
      </c>
      <c r="G109" s="313"/>
      <c r="H109" s="314"/>
      <c r="I109" s="291"/>
      <c r="J109" s="291"/>
      <c r="K109" s="291"/>
      <c r="L109" s="291"/>
      <c r="M109" s="291"/>
      <c r="N109" s="291"/>
    </row>
    <row r="110" spans="1:14" s="240" customFormat="1" ht="16.899999999999999" customHeight="1" outlineLevel="1" x14ac:dyDescent="0.25">
      <c r="B110" s="1229"/>
      <c r="C110" s="1229"/>
      <c r="D110" s="1232"/>
      <c r="F110" s="178" t="s">
        <v>1088</v>
      </c>
      <c r="G110" s="178" t="s">
        <v>1089</v>
      </c>
      <c r="H110" s="219" t="s">
        <v>1090</v>
      </c>
      <c r="I110" s="219" t="s">
        <v>180</v>
      </c>
      <c r="J110" s="219" t="s">
        <v>180</v>
      </c>
      <c r="K110" s="219" t="s">
        <v>180</v>
      </c>
      <c r="L110" s="219" t="s">
        <v>180</v>
      </c>
      <c r="M110" s="219" t="s">
        <v>585</v>
      </c>
      <c r="N110" s="219" t="s">
        <v>586</v>
      </c>
    </row>
    <row r="111" spans="1:14" s="240" customFormat="1" outlineLevel="1" x14ac:dyDescent="0.25">
      <c r="A111" s="282">
        <v>1</v>
      </c>
      <c r="B111" s="281" t="str">
        <f>'Fatores de Emissão'!$B$24</f>
        <v>Antracite</v>
      </c>
      <c r="C111" s="252">
        <f>SUMIF('Combustão Estacionária'!$C$184:$C$283,B111,'Combustão Estacionária'!$D$184:$D$283)</f>
        <v>0</v>
      </c>
      <c r="D111" s="317" t="str">
        <f>CE!D55</f>
        <v>Toneladas</v>
      </c>
      <c r="F111" s="330">
        <f>F55</f>
        <v>2572.1178</v>
      </c>
      <c r="G111" s="331" t="str">
        <f t="shared" ref="G111:G145" si="7">VLOOKUP($B111,$B$55:$K$101,6,FALSE)</f>
        <v/>
      </c>
      <c r="H111" s="331" t="str">
        <f t="shared" ref="H111:H145" si="8">VLOOKUP($B111,$B$55:$K$101,7,FALSE)</f>
        <v/>
      </c>
      <c r="I111" s="331" t="str">
        <f t="shared" ref="I111:I145" si="9">VLOOKUP($B111,$B$55:$K$101,8,FALSE)</f>
        <v>-</v>
      </c>
      <c r="J111" s="331" t="str">
        <f t="shared" ref="J111:J145" si="10">VLOOKUP($B111,$B$55:$K$101,9,FALSE)</f>
        <v>-</v>
      </c>
      <c r="K111" s="331" t="str">
        <f t="shared" ref="K111:K145" si="11">VLOOKUP($B111,$B$55:$K$101,10,FALSE)</f>
        <v>-</v>
      </c>
      <c r="L111" s="319">
        <f>SUM(I111:K111)</f>
        <v>0</v>
      </c>
      <c r="M111" s="252"/>
      <c r="N111" s="252">
        <f t="shared" ref="N111:N145" si="12">IF(M111="",0,M111*C111)</f>
        <v>0</v>
      </c>
    </row>
    <row r="112" spans="1:14" s="240" customFormat="1" outlineLevel="1" x14ac:dyDescent="0.25">
      <c r="A112" s="282">
        <v>3</v>
      </c>
      <c r="B112" s="281" t="str">
        <f>'Fatores de Emissão'!$B$25</f>
        <v>Betume</v>
      </c>
      <c r="C112" s="252">
        <f>SUMIF('Combustão Estacionária'!$C$184:$C$283,B112,'Combustão Estacionária'!$D$184:$D$283)</f>
        <v>0</v>
      </c>
      <c r="D112" s="317" t="str">
        <f>CE!D56</f>
        <v>Toneladas</v>
      </c>
      <c r="F112" s="330">
        <f t="shared" ref="F112:F145" si="13">F56</f>
        <v>3179.2572</v>
      </c>
      <c r="G112" s="331" t="str">
        <f t="shared" si="7"/>
        <v/>
      </c>
      <c r="H112" s="331" t="str">
        <f t="shared" si="8"/>
        <v/>
      </c>
      <c r="I112" s="331" t="str">
        <f t="shared" si="9"/>
        <v>-</v>
      </c>
      <c r="J112" s="331" t="str">
        <f t="shared" si="10"/>
        <v>-</v>
      </c>
      <c r="K112" s="331" t="str">
        <f t="shared" si="11"/>
        <v>-</v>
      </c>
      <c r="L112" s="319">
        <f t="shared" ref="L112:L145" si="14">SUM(I112:K112)</f>
        <v>0</v>
      </c>
      <c r="M112" s="252"/>
      <c r="N112" s="252">
        <f t="shared" si="12"/>
        <v>0</v>
      </c>
    </row>
    <row r="113" spans="1:14" s="240" customFormat="1" outlineLevel="1" x14ac:dyDescent="0.25">
      <c r="A113" s="282">
        <v>4</v>
      </c>
      <c r="B113" s="281" t="str">
        <f>'Fatores de Emissão'!$B$26</f>
        <v>Briquetes de linhite</v>
      </c>
      <c r="C113" s="252">
        <f>SUMIF('Combustão Estacionária'!$C$184:$C$283,B113,'Combustão Estacionária'!$D$184:$D$283)</f>
        <v>0</v>
      </c>
      <c r="D113" s="317" t="str">
        <f>CE!D57</f>
        <v>Toneladas</v>
      </c>
      <c r="F113" s="330">
        <f t="shared" si="13"/>
        <v>1911</v>
      </c>
      <c r="G113" s="331" t="str">
        <f t="shared" si="7"/>
        <v/>
      </c>
      <c r="H113" s="331" t="str">
        <f t="shared" si="8"/>
        <v/>
      </c>
      <c r="I113" s="331" t="str">
        <f t="shared" si="9"/>
        <v>-</v>
      </c>
      <c r="J113" s="331" t="str">
        <f t="shared" si="10"/>
        <v>-</v>
      </c>
      <c r="K113" s="331" t="str">
        <f t="shared" si="11"/>
        <v>-</v>
      </c>
      <c r="L113" s="319">
        <f t="shared" si="14"/>
        <v>0</v>
      </c>
      <c r="M113" s="252"/>
      <c r="N113" s="252">
        <f t="shared" si="12"/>
        <v>0</v>
      </c>
    </row>
    <row r="114" spans="1:14" s="240" customFormat="1" outlineLevel="1" x14ac:dyDescent="0.25">
      <c r="A114" s="282">
        <v>6</v>
      </c>
      <c r="B114" s="281" t="str">
        <f>'Fatores de Emissão'!$B$27</f>
        <v>Ceras Parafínicas</v>
      </c>
      <c r="C114" s="252">
        <f>SUMIF('Combustão Estacionária'!$C$184:$C$283,B114,'Combustão Estacionária'!$D$184:$D$283)</f>
        <v>0</v>
      </c>
      <c r="D114" s="317" t="str">
        <f>CE!D58</f>
        <v>Toneladas</v>
      </c>
      <c r="F114" s="330">
        <f t="shared" si="13"/>
        <v>2946.66</v>
      </c>
      <c r="G114" s="331" t="str">
        <f t="shared" si="7"/>
        <v/>
      </c>
      <c r="H114" s="331" t="str">
        <f t="shared" si="8"/>
        <v/>
      </c>
      <c r="I114" s="331" t="str">
        <f t="shared" si="9"/>
        <v>-</v>
      </c>
      <c r="J114" s="331" t="str">
        <f t="shared" si="10"/>
        <v>-</v>
      </c>
      <c r="K114" s="331" t="str">
        <f t="shared" si="11"/>
        <v>-</v>
      </c>
      <c r="L114" s="319">
        <f t="shared" si="14"/>
        <v>0</v>
      </c>
      <c r="M114" s="252"/>
      <c r="N114" s="252">
        <f t="shared" si="12"/>
        <v>0</v>
      </c>
    </row>
    <row r="115" spans="1:14" s="240" customFormat="1" outlineLevel="1" x14ac:dyDescent="0.25">
      <c r="A115" s="282">
        <v>7</v>
      </c>
      <c r="B115" s="281" t="str">
        <f>'Fatores de Emissão'!$B$43</f>
        <v>Gasolina para motores</v>
      </c>
      <c r="C115" s="252">
        <f>SUMIF('Combustão Estacionária'!$C$184:$C$283,B115,'Combustão Estacionária'!$D$184:$D$283)</f>
        <v>0</v>
      </c>
      <c r="D115" s="317" t="str">
        <f>CE!D59</f>
        <v>Litros</v>
      </c>
      <c r="F115" s="330">
        <f t="shared" si="13"/>
        <v>1.3992969374999997E-3</v>
      </c>
      <c r="G115" s="331" t="str">
        <f t="shared" si="7"/>
        <v/>
      </c>
      <c r="H115" s="331" t="str">
        <f t="shared" si="8"/>
        <v/>
      </c>
      <c r="I115" s="331" t="str">
        <f t="shared" si="9"/>
        <v>-</v>
      </c>
      <c r="J115" s="331" t="str">
        <f t="shared" si="10"/>
        <v>-</v>
      </c>
      <c r="K115" s="331" t="str">
        <f t="shared" si="11"/>
        <v>-</v>
      </c>
      <c r="L115" s="319">
        <f t="shared" si="14"/>
        <v>0</v>
      </c>
      <c r="M115" s="298">
        <f>'Categoria 3'!$B$12</f>
        <v>2.2411459459459466E-6</v>
      </c>
      <c r="N115" s="252">
        <f t="shared" si="12"/>
        <v>0</v>
      </c>
    </row>
    <row r="116" spans="1:14" s="240" customFormat="1" outlineLevel="1" x14ac:dyDescent="0.25">
      <c r="A116" s="282">
        <v>8</v>
      </c>
      <c r="B116" s="281" t="str">
        <f>'Fatores de Emissão'!$B$28</f>
        <v>Carvão de coque</v>
      </c>
      <c r="C116" s="252">
        <f>SUMIF('Combustão Estacionária'!$C$184:$C$283,B116,'Combustão Estacionária'!$D$184:$D$283)</f>
        <v>0</v>
      </c>
      <c r="D116" s="317" t="str">
        <f>CE!D60</f>
        <v>Toneladas</v>
      </c>
      <c r="F116" s="330">
        <f t="shared" si="13"/>
        <v>2614.3656000000001</v>
      </c>
      <c r="G116" s="331" t="str">
        <f t="shared" si="7"/>
        <v/>
      </c>
      <c r="H116" s="331" t="str">
        <f t="shared" si="8"/>
        <v/>
      </c>
      <c r="I116" s="331" t="str">
        <f t="shared" si="9"/>
        <v>-</v>
      </c>
      <c r="J116" s="331" t="str">
        <f t="shared" si="10"/>
        <v>-</v>
      </c>
      <c r="K116" s="331" t="str">
        <f t="shared" si="11"/>
        <v>-</v>
      </c>
      <c r="L116" s="319">
        <f t="shared" si="14"/>
        <v>0</v>
      </c>
      <c r="M116" s="252"/>
      <c r="N116" s="252">
        <f t="shared" si="12"/>
        <v>0</v>
      </c>
    </row>
    <row r="117" spans="1:14" s="240" customFormat="1" ht="31.5" outlineLevel="1" x14ac:dyDescent="0.25">
      <c r="A117" s="282">
        <v>9</v>
      </c>
      <c r="B117" s="281" t="str">
        <f>'Fatores de Emissão'!$B$29</f>
        <v>Coque de forno de coque e coque de linhite</v>
      </c>
      <c r="C117" s="252">
        <f>SUMIF('Combustão Estacionária'!$C$184:$C$283,B117,'Combustão Estacionária'!$D$184:$D$283)</f>
        <v>0</v>
      </c>
      <c r="D117" s="317" t="str">
        <f>CE!D61</f>
        <v>Toneladas</v>
      </c>
      <c r="F117" s="330">
        <f t="shared" si="13"/>
        <v>2972.7809999999999</v>
      </c>
      <c r="G117" s="331" t="str">
        <f t="shared" si="7"/>
        <v/>
      </c>
      <c r="H117" s="331" t="str">
        <f t="shared" si="8"/>
        <v/>
      </c>
      <c r="I117" s="331" t="str">
        <f t="shared" si="9"/>
        <v>-</v>
      </c>
      <c r="J117" s="331" t="str">
        <f t="shared" si="10"/>
        <v>-</v>
      </c>
      <c r="K117" s="331" t="str">
        <f t="shared" si="11"/>
        <v>-</v>
      </c>
      <c r="L117" s="319">
        <f t="shared" si="14"/>
        <v>0</v>
      </c>
      <c r="M117" s="252"/>
      <c r="N117" s="252">
        <f t="shared" si="12"/>
        <v>0</v>
      </c>
    </row>
    <row r="118" spans="1:14" s="240" customFormat="1" outlineLevel="1" x14ac:dyDescent="0.25">
      <c r="A118" s="282">
        <v>10</v>
      </c>
      <c r="B118" s="281" t="str">
        <f>'Fatores de Emissão'!$B$30</f>
        <v>Coque de Petróleo</v>
      </c>
      <c r="C118" s="252">
        <f>SUMIF('Combustão Estacionária'!$C$184:$C$283,B118,'Combustão Estacionária'!$D$184:$D$283)</f>
        <v>0</v>
      </c>
      <c r="D118" s="317" t="str">
        <f>CE!D62</f>
        <v>Toneladas</v>
      </c>
      <c r="F118" s="330">
        <f t="shared" si="13"/>
        <v>3033.7125000000001</v>
      </c>
      <c r="G118" s="331" t="str">
        <f t="shared" si="7"/>
        <v/>
      </c>
      <c r="H118" s="331" t="str">
        <f t="shared" si="8"/>
        <v/>
      </c>
      <c r="I118" s="331" t="str">
        <f t="shared" si="9"/>
        <v>-</v>
      </c>
      <c r="J118" s="331" t="str">
        <f t="shared" si="10"/>
        <v>-</v>
      </c>
      <c r="K118" s="331" t="str">
        <f t="shared" si="11"/>
        <v>-</v>
      </c>
      <c r="L118" s="319">
        <f t="shared" si="14"/>
        <v>0</v>
      </c>
      <c r="M118" s="252"/>
      <c r="N118" s="252">
        <f t="shared" si="12"/>
        <v>0</v>
      </c>
    </row>
    <row r="119" spans="1:14" s="240" customFormat="1" outlineLevel="1" x14ac:dyDescent="0.25">
      <c r="A119" s="282">
        <v>11</v>
      </c>
      <c r="B119" s="281" t="str">
        <f>'Fatores de Emissão'!$B$31</f>
        <v>Etano</v>
      </c>
      <c r="C119" s="252">
        <f>SUMIF('Combustão Estacionária'!$C$184:$C$283,B119,'Combustão Estacionária'!$D$184:$D$283)</f>
        <v>0</v>
      </c>
      <c r="D119" s="317" t="str">
        <f>CE!D63</f>
        <v>kg</v>
      </c>
      <c r="F119" s="330">
        <f t="shared" si="13"/>
        <v>2.8582399999999999</v>
      </c>
      <c r="G119" s="331" t="str">
        <f t="shared" si="7"/>
        <v/>
      </c>
      <c r="H119" s="331" t="str">
        <f t="shared" si="8"/>
        <v/>
      </c>
      <c r="I119" s="331" t="str">
        <f t="shared" si="9"/>
        <v>-</v>
      </c>
      <c r="J119" s="331" t="str">
        <f t="shared" si="10"/>
        <v>-</v>
      </c>
      <c r="K119" s="331" t="str">
        <f t="shared" si="11"/>
        <v>-</v>
      </c>
      <c r="L119" s="319">
        <f t="shared" si="14"/>
        <v>0</v>
      </c>
      <c r="M119" s="252"/>
      <c r="N119" s="252">
        <f t="shared" si="12"/>
        <v>0</v>
      </c>
    </row>
    <row r="120" spans="1:14" s="240" customFormat="1" outlineLevel="1" x14ac:dyDescent="0.25">
      <c r="A120" s="282">
        <v>12</v>
      </c>
      <c r="B120" s="281" t="str">
        <f>'Fatores de Emissão'!$B$32</f>
        <v>Fuelóleo</v>
      </c>
      <c r="C120" s="252">
        <f>SUMIF('Combustão Estacionária'!$C$184:$C$283,B120,'Combustão Estacionária'!$D$184:$D$283)</f>
        <v>0</v>
      </c>
      <c r="D120" s="317" t="str">
        <f>CE!D64</f>
        <v>Litros</v>
      </c>
      <c r="F120" s="330">
        <f t="shared" si="13"/>
        <v>2.9078647488000007</v>
      </c>
      <c r="G120" s="331" t="str">
        <f t="shared" si="7"/>
        <v/>
      </c>
      <c r="H120" s="331" t="str">
        <f t="shared" si="8"/>
        <v/>
      </c>
      <c r="I120" s="331" t="str">
        <f t="shared" si="9"/>
        <v>-</v>
      </c>
      <c r="J120" s="331" t="str">
        <f t="shared" si="10"/>
        <v>-</v>
      </c>
      <c r="K120" s="331" t="str">
        <f t="shared" si="11"/>
        <v>-</v>
      </c>
      <c r="L120" s="319">
        <f t="shared" si="14"/>
        <v>0</v>
      </c>
      <c r="M120" s="298">
        <f>'Categoria 3'!$B$12</f>
        <v>2.2411459459459466E-6</v>
      </c>
      <c r="N120" s="252">
        <f t="shared" si="12"/>
        <v>0</v>
      </c>
    </row>
    <row r="121" spans="1:14" s="240" customFormat="1" outlineLevel="1" x14ac:dyDescent="0.25">
      <c r="A121" s="282">
        <v>13</v>
      </c>
      <c r="B121" s="281" t="str">
        <f>'Fatores de Emissão'!$B$33</f>
        <v>Gás de Alto Forno</v>
      </c>
      <c r="C121" s="252">
        <f>SUMIF('Combustão Estacionária'!$C$184:$C$283,B121,'Combustão Estacionária'!$D$184:$D$283)</f>
        <v>0</v>
      </c>
      <c r="D121" s="317" t="str">
        <f>CE!D65</f>
        <v>Toneladas</v>
      </c>
      <c r="F121" s="330">
        <f t="shared" si="13"/>
        <v>646.75</v>
      </c>
      <c r="G121" s="331" t="str">
        <f t="shared" si="7"/>
        <v/>
      </c>
      <c r="H121" s="331" t="str">
        <f t="shared" si="8"/>
        <v/>
      </c>
      <c r="I121" s="331" t="str">
        <f t="shared" si="9"/>
        <v>-</v>
      </c>
      <c r="J121" s="331" t="str">
        <f t="shared" si="10"/>
        <v>-</v>
      </c>
      <c r="K121" s="331" t="str">
        <f t="shared" si="11"/>
        <v>-</v>
      </c>
      <c r="L121" s="319">
        <f t="shared" si="14"/>
        <v>0</v>
      </c>
      <c r="M121" s="252"/>
      <c r="N121" s="252">
        <f t="shared" si="12"/>
        <v>0</v>
      </c>
    </row>
    <row r="122" spans="1:14" s="240" customFormat="1" outlineLevel="1" x14ac:dyDescent="0.25">
      <c r="A122" s="282">
        <v>14</v>
      </c>
      <c r="B122" s="281" t="str">
        <f>'Fatores de Emissão'!$B$34</f>
        <v xml:space="preserve">Gás de Coqueria </v>
      </c>
      <c r="C122" s="252">
        <f>SUMIF('Combustão Estacionária'!$C$184:$C$283,B122,'Combustão Estacionária'!$D$184:$D$283)</f>
        <v>0</v>
      </c>
      <c r="D122" s="317" t="str">
        <f>CE!D66</f>
        <v>Toneladas</v>
      </c>
      <c r="F122" s="330">
        <f t="shared" si="13"/>
        <v>1709.6886</v>
      </c>
      <c r="G122" s="331" t="str">
        <f t="shared" si="7"/>
        <v/>
      </c>
      <c r="H122" s="331" t="str">
        <f t="shared" si="8"/>
        <v/>
      </c>
      <c r="I122" s="331" t="str">
        <f t="shared" si="9"/>
        <v>-</v>
      </c>
      <c r="J122" s="331" t="str">
        <f t="shared" si="10"/>
        <v>-</v>
      </c>
      <c r="K122" s="331" t="str">
        <f t="shared" si="11"/>
        <v>-</v>
      </c>
      <c r="L122" s="319">
        <f t="shared" si="14"/>
        <v>0</v>
      </c>
      <c r="M122" s="252"/>
      <c r="N122" s="252">
        <f t="shared" si="12"/>
        <v>0</v>
      </c>
    </row>
    <row r="123" spans="1:14" s="240" customFormat="1" ht="31.5" outlineLevel="1" x14ac:dyDescent="0.25">
      <c r="A123" s="282">
        <v>15</v>
      </c>
      <c r="B123" s="281" t="str">
        <f>'Fatores de Emissão'!$B$35</f>
        <v>Gás produzido em fábricas</v>
      </c>
      <c r="C123" s="252">
        <f>SUMIF('Combustão Estacionária'!$C$184:$C$283,B123,'Combustão Estacionária'!$D$184:$D$283)</f>
        <v>0</v>
      </c>
      <c r="D123" s="317" t="str">
        <f>CE!D67</f>
        <v>kg</v>
      </c>
      <c r="F123" s="330">
        <f t="shared" si="13"/>
        <v>1.7298900000000001</v>
      </c>
      <c r="G123" s="331" t="str">
        <f t="shared" si="7"/>
        <v/>
      </c>
      <c r="H123" s="331" t="str">
        <f t="shared" si="8"/>
        <v/>
      </c>
      <c r="I123" s="331" t="str">
        <f t="shared" si="9"/>
        <v>-</v>
      </c>
      <c r="J123" s="331" t="str">
        <f t="shared" si="10"/>
        <v>-</v>
      </c>
      <c r="K123" s="331" t="str">
        <f t="shared" si="11"/>
        <v>-</v>
      </c>
      <c r="L123" s="319">
        <f t="shared" si="14"/>
        <v>0</v>
      </c>
      <c r="M123" s="252"/>
      <c r="N123" s="252">
        <f t="shared" si="12"/>
        <v>0</v>
      </c>
    </row>
    <row r="124" spans="1:14" s="240" customFormat="1" ht="31.5" outlineLevel="1" x14ac:dyDescent="0.25">
      <c r="A124" s="282">
        <v>16</v>
      </c>
      <c r="B124" s="281" t="str">
        <f>'Fatores de Emissão'!$B$36</f>
        <v>Gás de forno de aciaria de oxigénio</v>
      </c>
      <c r="C124" s="252">
        <f>SUMIF('Combustão Estacionária'!$C$184:$C$283,B124,'Combustão Estacionária'!$D$184:$D$283)</f>
        <v>0</v>
      </c>
      <c r="D124" s="317" t="str">
        <f>CE!D68</f>
        <v>Toneladas</v>
      </c>
      <c r="F124" s="330">
        <f t="shared" si="13"/>
        <v>1219.78</v>
      </c>
      <c r="G124" s="331" t="str">
        <f t="shared" si="7"/>
        <v/>
      </c>
      <c r="H124" s="331" t="str">
        <f t="shared" si="8"/>
        <v/>
      </c>
      <c r="I124" s="331" t="str">
        <f t="shared" si="9"/>
        <v>-</v>
      </c>
      <c r="J124" s="331" t="str">
        <f t="shared" si="10"/>
        <v>-</v>
      </c>
      <c r="K124" s="331" t="str">
        <f t="shared" si="11"/>
        <v>-</v>
      </c>
      <c r="L124" s="319">
        <f t="shared" si="14"/>
        <v>0</v>
      </c>
      <c r="M124" s="252"/>
      <c r="N124" s="252">
        <f t="shared" si="12"/>
        <v>0</v>
      </c>
    </row>
    <row r="125" spans="1:14" s="240" customFormat="1" ht="31.5" outlineLevel="1" x14ac:dyDescent="0.25">
      <c r="A125" s="282">
        <v>17</v>
      </c>
      <c r="B125" s="281" t="str">
        <f>'Fatores de Emissão'!$B$37</f>
        <v>GPL - Gás de Petróleo Liquefeito</v>
      </c>
      <c r="C125" s="252">
        <f>SUMIF('Combustão Estacionária'!$C$184:$C$283,B125,'Combustão Estacionária'!$D$184:$D$283)</f>
        <v>0</v>
      </c>
      <c r="D125" s="317" t="str">
        <f>CE!D69</f>
        <v>Litros</v>
      </c>
      <c r="F125" s="330">
        <f t="shared" si="13"/>
        <v>1.47030625635</v>
      </c>
      <c r="G125" s="331" t="str">
        <f t="shared" si="7"/>
        <v/>
      </c>
      <c r="H125" s="331" t="str">
        <f t="shared" si="8"/>
        <v/>
      </c>
      <c r="I125" s="331" t="str">
        <f t="shared" si="9"/>
        <v>-</v>
      </c>
      <c r="J125" s="331" t="str">
        <f t="shared" si="10"/>
        <v>-</v>
      </c>
      <c r="K125" s="331" t="str">
        <f t="shared" si="11"/>
        <v>-</v>
      </c>
      <c r="L125" s="319">
        <f t="shared" si="14"/>
        <v>0</v>
      </c>
      <c r="M125" s="252"/>
      <c r="N125" s="252">
        <f t="shared" si="12"/>
        <v>0</v>
      </c>
    </row>
    <row r="126" spans="1:14" s="240" customFormat="1" ht="31.5" outlineLevel="1" x14ac:dyDescent="0.25">
      <c r="A126" s="282">
        <v>18</v>
      </c>
      <c r="B126" s="281" t="str">
        <f>'Fatores de Emissão'!$B$38</f>
        <v>Gás de Refinaria (não liquefeito)</v>
      </c>
      <c r="C126" s="252">
        <f>SUMIF('Combustão Estacionária'!$C$184:$C$283,B126,'Combustão Estacionária'!$D$184:$D$283)</f>
        <v>0</v>
      </c>
      <c r="D126" s="317" t="str">
        <f>CE!D70</f>
        <v>Toneladas</v>
      </c>
      <c r="F126" s="330">
        <f t="shared" si="13"/>
        <v>3107.83275</v>
      </c>
      <c r="G126" s="331" t="str">
        <f t="shared" si="7"/>
        <v/>
      </c>
      <c r="H126" s="331" t="str">
        <f t="shared" si="8"/>
        <v/>
      </c>
      <c r="I126" s="331" t="str">
        <f t="shared" si="9"/>
        <v>-</v>
      </c>
      <c r="J126" s="331" t="str">
        <f t="shared" si="10"/>
        <v>-</v>
      </c>
      <c r="K126" s="331" t="str">
        <f t="shared" si="11"/>
        <v>-</v>
      </c>
      <c r="L126" s="319">
        <f t="shared" si="14"/>
        <v>0</v>
      </c>
      <c r="M126" s="298">
        <f>'Categoria 3'!$B$12</f>
        <v>2.2411459459459466E-6</v>
      </c>
      <c r="N126" s="252">
        <f t="shared" si="12"/>
        <v>0</v>
      </c>
    </row>
    <row r="127" spans="1:14" s="240" customFormat="1" outlineLevel="1" x14ac:dyDescent="0.25">
      <c r="A127" s="282">
        <v>19</v>
      </c>
      <c r="B127" s="281" t="str">
        <f>'Fatores de Emissão'!$B$39</f>
        <v>Gás Natural</v>
      </c>
      <c r="C127" s="252">
        <f>SUMIF('Combustão Estacionária'!$C$184:$C$283,B127,'Combustão Estacionária'!$D$184:$D$283)</f>
        <v>0</v>
      </c>
      <c r="D127" s="317" t="str">
        <f>CE!D71</f>
        <v>m3</v>
      </c>
      <c r="F127" s="330">
        <f t="shared" si="13"/>
        <v>2.1156729217799999</v>
      </c>
      <c r="G127" s="331" t="str">
        <f t="shared" si="7"/>
        <v/>
      </c>
      <c r="H127" s="331" t="str">
        <f t="shared" si="8"/>
        <v/>
      </c>
      <c r="I127" s="331" t="str">
        <f t="shared" si="9"/>
        <v>-</v>
      </c>
      <c r="J127" s="331" t="str">
        <f t="shared" si="10"/>
        <v>-</v>
      </c>
      <c r="K127" s="331" t="str">
        <f t="shared" si="11"/>
        <v>-</v>
      </c>
      <c r="L127" s="319">
        <f t="shared" si="14"/>
        <v>0</v>
      </c>
      <c r="M127" s="299">
        <v>1.759262433046875E-5</v>
      </c>
      <c r="N127" s="252">
        <f t="shared" si="12"/>
        <v>0</v>
      </c>
    </row>
    <row r="128" spans="1:14" s="240" customFormat="1" ht="31.5" outlineLevel="1" x14ac:dyDescent="0.25">
      <c r="A128" s="282">
        <v>20</v>
      </c>
      <c r="B128" s="281" t="str">
        <f>'Fatores de Emissão'!$B$40</f>
        <v>Gás Natural (superior a 93% de metano)</v>
      </c>
      <c r="C128" s="252">
        <f>SUMIF('Combustão Estacionária'!$C$184:$C$283,B128,'Combustão Estacionária'!$D$184:$D$283)</f>
        <v>0</v>
      </c>
      <c r="D128" s="317" t="str">
        <f>CE!D72</f>
        <v>m³</v>
      </c>
      <c r="F128" s="330">
        <f t="shared" si="13"/>
        <v>1.88496</v>
      </c>
      <c r="G128" s="331" t="str">
        <f t="shared" si="7"/>
        <v/>
      </c>
      <c r="H128" s="331" t="str">
        <f t="shared" si="8"/>
        <v/>
      </c>
      <c r="I128" s="331" t="str">
        <f t="shared" si="9"/>
        <v>-</v>
      </c>
      <c r="J128" s="331" t="str">
        <f t="shared" si="10"/>
        <v>-</v>
      </c>
      <c r="K128" s="331" t="str">
        <f t="shared" si="11"/>
        <v>-</v>
      </c>
      <c r="L128" s="319">
        <f t="shared" si="14"/>
        <v>0</v>
      </c>
      <c r="M128" s="299">
        <v>1.759262433046875E-5</v>
      </c>
      <c r="N128" s="252">
        <f t="shared" si="12"/>
        <v>0</v>
      </c>
    </row>
    <row r="129" spans="1:14" s="240" customFormat="1" ht="31.5" outlineLevel="1" x14ac:dyDescent="0.25">
      <c r="A129" s="282">
        <v>21</v>
      </c>
      <c r="B129" s="281" t="str">
        <f>'Fatores de Emissão'!$B$41</f>
        <v>LGN - Gás Natural Liquefeito</v>
      </c>
      <c r="C129" s="252">
        <f>SUMIF('Combustão Estacionária'!$C$184:$C$283,B129,'Combustão Estacionária'!$D$184:$D$283)</f>
        <v>0</v>
      </c>
      <c r="D129" s="317" t="str">
        <f>CE!D73</f>
        <v>kg</v>
      </c>
      <c r="F129" s="330">
        <f t="shared" si="13"/>
        <v>2.8652700000000002</v>
      </c>
      <c r="G129" s="331" t="str">
        <f t="shared" si="7"/>
        <v/>
      </c>
      <c r="H129" s="331" t="str">
        <f t="shared" si="8"/>
        <v/>
      </c>
      <c r="I129" s="331" t="str">
        <f t="shared" si="9"/>
        <v>-</v>
      </c>
      <c r="J129" s="331" t="str">
        <f t="shared" si="10"/>
        <v>-</v>
      </c>
      <c r="K129" s="331" t="str">
        <f t="shared" si="11"/>
        <v>-</v>
      </c>
      <c r="L129" s="319">
        <f t="shared" si="14"/>
        <v>0</v>
      </c>
      <c r="M129" s="300"/>
      <c r="N129" s="252">
        <f t="shared" si="12"/>
        <v>0</v>
      </c>
    </row>
    <row r="130" spans="1:14" s="240" customFormat="1" ht="31.5" outlineLevel="1" x14ac:dyDescent="0.25">
      <c r="A130" s="282">
        <v>22</v>
      </c>
      <c r="B130" s="281" t="str">
        <f>'Fatores de Emissão'!$B$42</f>
        <v>Gasóleo / óleo diesel (fuelóleo destilado)</v>
      </c>
      <c r="C130" s="252">
        <f>SUMIF('Combustão Estacionária'!$C$184:$C$283,B130,'Combustão Estacionária'!$D$184:$D$283)</f>
        <v>0</v>
      </c>
      <c r="D130" s="317" t="str">
        <f>CE!D74</f>
        <v>Litros</v>
      </c>
      <c r="F130" s="330">
        <f t="shared" si="13"/>
        <v>2.6279834724</v>
      </c>
      <c r="G130" s="331" t="str">
        <f t="shared" si="7"/>
        <v/>
      </c>
      <c r="H130" s="331" t="str">
        <f t="shared" si="8"/>
        <v/>
      </c>
      <c r="I130" s="331" t="str">
        <f t="shared" si="9"/>
        <v>-</v>
      </c>
      <c r="J130" s="331" t="str">
        <f t="shared" si="10"/>
        <v>-</v>
      </c>
      <c r="K130" s="331" t="str">
        <f t="shared" si="11"/>
        <v>-</v>
      </c>
      <c r="L130" s="319">
        <f t="shared" si="14"/>
        <v>0</v>
      </c>
      <c r="M130" s="298">
        <f>'Categoria 3'!$B$12</f>
        <v>2.2411459459459466E-6</v>
      </c>
      <c r="N130" s="252">
        <f t="shared" si="12"/>
        <v>0</v>
      </c>
    </row>
    <row r="131" spans="1:14" s="240" customFormat="1" outlineLevel="1" x14ac:dyDescent="0.25">
      <c r="A131" s="282">
        <v>23</v>
      </c>
      <c r="B131" s="281" t="str">
        <f>'Fatores de Emissão'!$B$44</f>
        <v>Gasolina de Aviação</v>
      </c>
      <c r="C131" s="252">
        <f>SUMIF('Combustão Estacionária'!$C$184:$C$283,B131,'Combustão Estacionária'!$D$184:$D$283)</f>
        <v>0</v>
      </c>
      <c r="D131" s="317" t="str">
        <f>CE!D75</f>
        <v>Litros</v>
      </c>
      <c r="F131" s="330">
        <f t="shared" si="13"/>
        <v>1.4134312499999998E-2</v>
      </c>
      <c r="G131" s="331" t="str">
        <f t="shared" si="7"/>
        <v/>
      </c>
      <c r="H131" s="331" t="str">
        <f t="shared" si="8"/>
        <v/>
      </c>
      <c r="I131" s="331" t="str">
        <f t="shared" si="9"/>
        <v>-</v>
      </c>
      <c r="J131" s="331" t="str">
        <f t="shared" si="10"/>
        <v>-</v>
      </c>
      <c r="K131" s="331" t="str">
        <f t="shared" si="11"/>
        <v>-</v>
      </c>
      <c r="L131" s="319">
        <f t="shared" si="14"/>
        <v>0</v>
      </c>
      <c r="M131" s="298">
        <f>'Categoria 3'!$B$12</f>
        <v>2.2411459459459466E-6</v>
      </c>
      <c r="N131" s="252">
        <f t="shared" si="12"/>
        <v>0</v>
      </c>
    </row>
    <row r="132" spans="1:14" s="240" customFormat="1" ht="47.25" outlineLevel="1" x14ac:dyDescent="0.25">
      <c r="A132" s="282">
        <v>24</v>
      </c>
      <c r="B132" s="281" t="str">
        <f>'Fatores de Emissão'!$B$45</f>
        <v>Gasolina tipo Jet Fuel (nafta tipo Jet Fuel ou JP4)</v>
      </c>
      <c r="C132" s="252">
        <f>SUMIF('Combustão Estacionária'!$C$184:$C$283,B132,'Combustão Estacionária'!$D$184:$D$283)</f>
        <v>0</v>
      </c>
      <c r="D132" s="317" t="str">
        <f>CE!D76</f>
        <v>Litros</v>
      </c>
      <c r="F132" s="330">
        <f t="shared" si="13"/>
        <v>1.4134312499999998E-2</v>
      </c>
      <c r="G132" s="331" t="str">
        <f t="shared" si="7"/>
        <v/>
      </c>
      <c r="H132" s="331" t="str">
        <f t="shared" si="8"/>
        <v/>
      </c>
      <c r="I132" s="331" t="str">
        <f t="shared" si="9"/>
        <v>-</v>
      </c>
      <c r="J132" s="331" t="str">
        <f t="shared" si="10"/>
        <v>-</v>
      </c>
      <c r="K132" s="331" t="str">
        <f t="shared" si="11"/>
        <v>-</v>
      </c>
      <c r="L132" s="319">
        <f t="shared" si="14"/>
        <v>0</v>
      </c>
      <c r="M132" s="252"/>
      <c r="N132" s="252">
        <f t="shared" si="12"/>
        <v>0</v>
      </c>
    </row>
    <row r="133" spans="1:14" s="240" customFormat="1" outlineLevel="1" x14ac:dyDescent="0.25">
      <c r="A133" s="282">
        <v>25</v>
      </c>
      <c r="B133" s="281" t="str">
        <f>'Fatores de Emissão'!$B$46</f>
        <v>Linhite</v>
      </c>
      <c r="C133" s="252">
        <f>SUMIF('Combustão Estacionária'!$C$184:$C$283,B133,'Combustão Estacionária'!$D$184:$D$283)</f>
        <v>0</v>
      </c>
      <c r="D133" s="317" t="str">
        <f>CE!D77</f>
        <v>Toneladas</v>
      </c>
      <c r="F133" s="330">
        <f t="shared" si="13"/>
        <v>796.7890000000001</v>
      </c>
      <c r="G133" s="331" t="str">
        <f t="shared" si="7"/>
        <v/>
      </c>
      <c r="H133" s="331" t="str">
        <f t="shared" si="8"/>
        <v/>
      </c>
      <c r="I133" s="331" t="str">
        <f t="shared" si="9"/>
        <v>-</v>
      </c>
      <c r="J133" s="331" t="str">
        <f t="shared" si="10"/>
        <v>-</v>
      </c>
      <c r="K133" s="331" t="str">
        <f t="shared" si="11"/>
        <v>-</v>
      </c>
      <c r="L133" s="319">
        <f t="shared" si="14"/>
        <v>0</v>
      </c>
      <c r="M133" s="252"/>
      <c r="N133" s="252">
        <f t="shared" si="12"/>
        <v>0</v>
      </c>
    </row>
    <row r="134" spans="1:14" s="240" customFormat="1" outlineLevel="1" x14ac:dyDescent="0.25">
      <c r="A134" s="282">
        <v>26</v>
      </c>
      <c r="B134" s="281" t="str">
        <f>'Fatores de Emissão'!$B$47</f>
        <v>Linhite preta</v>
      </c>
      <c r="C134" s="252">
        <f>SUMIF('Combustão Estacionária'!$C$184:$C$283,B134,'Combustão Estacionária'!$D$184:$D$283)</f>
        <v>0</v>
      </c>
      <c r="D134" s="317" t="str">
        <f>CE!D78</f>
        <v>kg</v>
      </c>
      <c r="F134" s="330">
        <f t="shared" si="13"/>
        <v>1.5670500000000001</v>
      </c>
      <c r="G134" s="331" t="str">
        <f t="shared" si="7"/>
        <v/>
      </c>
      <c r="H134" s="331" t="str">
        <f t="shared" si="8"/>
        <v/>
      </c>
      <c r="I134" s="331" t="str">
        <f t="shared" si="9"/>
        <v>-</v>
      </c>
      <c r="J134" s="331" t="str">
        <f t="shared" si="10"/>
        <v>-</v>
      </c>
      <c r="K134" s="331" t="str">
        <f t="shared" si="11"/>
        <v>-</v>
      </c>
      <c r="L134" s="319">
        <f t="shared" si="14"/>
        <v>0</v>
      </c>
      <c r="M134" s="252"/>
      <c r="N134" s="252">
        <f t="shared" si="12"/>
        <v>0</v>
      </c>
    </row>
    <row r="135" spans="1:14" s="240" customFormat="1" outlineLevel="1" x14ac:dyDescent="0.25">
      <c r="A135" s="282">
        <v>27</v>
      </c>
      <c r="B135" s="281" t="str">
        <f>'Fatores de Emissão'!$B$48</f>
        <v>Lubrificantes</v>
      </c>
      <c r="C135" s="252">
        <f>SUMIF('Combustão Estacionária'!$C$184:$C$283,B135,'Combustão Estacionária'!$D$184:$D$283)</f>
        <v>0</v>
      </c>
      <c r="D135" s="317" t="str">
        <f>CE!D79</f>
        <v>kg</v>
      </c>
      <c r="F135" s="330">
        <f t="shared" si="13"/>
        <v>2.9466600000000001</v>
      </c>
      <c r="G135" s="331" t="str">
        <f t="shared" si="7"/>
        <v/>
      </c>
      <c r="H135" s="331" t="str">
        <f t="shared" si="8"/>
        <v/>
      </c>
      <c r="I135" s="331" t="str">
        <f t="shared" si="9"/>
        <v>-</v>
      </c>
      <c r="J135" s="331" t="str">
        <f t="shared" si="10"/>
        <v>-</v>
      </c>
      <c r="K135" s="331" t="str">
        <f t="shared" si="11"/>
        <v>-</v>
      </c>
      <c r="L135" s="319">
        <f t="shared" si="14"/>
        <v>0</v>
      </c>
      <c r="M135" s="298">
        <f>'Categoria 3'!$B$12</f>
        <v>2.2411459459459466E-6</v>
      </c>
      <c r="N135" s="252">
        <f t="shared" si="12"/>
        <v>0</v>
      </c>
    </row>
    <row r="136" spans="1:14" s="240" customFormat="1" ht="31.5" outlineLevel="1" x14ac:dyDescent="0.25">
      <c r="A136" s="282">
        <v>28</v>
      </c>
      <c r="B136" s="281" t="str">
        <f>'Fatores de Emissão'!$B$49</f>
        <v>Matérias-primas para refinarias</v>
      </c>
      <c r="C136" s="252">
        <f>SUMIF('Combustão Estacionária'!$C$184:$C$283,B136,'Combustão Estacionária'!$D$184:$D$283)</f>
        <v>0</v>
      </c>
      <c r="D136" s="317" t="str">
        <f>CE!D80</f>
        <v>Toneladas</v>
      </c>
      <c r="F136" s="330">
        <f t="shared" si="13"/>
        <v>3120.3809999999999</v>
      </c>
      <c r="G136" s="331" t="str">
        <f t="shared" si="7"/>
        <v/>
      </c>
      <c r="H136" s="331" t="str">
        <f t="shared" si="8"/>
        <v/>
      </c>
      <c r="I136" s="331" t="str">
        <f t="shared" si="9"/>
        <v>-</v>
      </c>
      <c r="J136" s="331" t="str">
        <f t="shared" si="10"/>
        <v>-</v>
      </c>
      <c r="K136" s="331" t="str">
        <f t="shared" si="11"/>
        <v>-</v>
      </c>
      <c r="L136" s="319">
        <f t="shared" si="14"/>
        <v>0</v>
      </c>
      <c r="M136" s="298"/>
      <c r="N136" s="252">
        <f t="shared" si="12"/>
        <v>0</v>
      </c>
    </row>
    <row r="137" spans="1:14" s="240" customFormat="1" outlineLevel="1" x14ac:dyDescent="0.25">
      <c r="A137" s="282">
        <v>29</v>
      </c>
      <c r="B137" s="281" t="str">
        <f>'Fatores de Emissão'!$B$50</f>
        <v xml:space="preserve">Nafta </v>
      </c>
      <c r="C137" s="252">
        <f>SUMIF('Combustão Estacionária'!$C$184:$C$283,B137,'Combustão Estacionária'!$D$184:$D$283)</f>
        <v>0</v>
      </c>
      <c r="D137" s="317" t="str">
        <f>CE!D81</f>
        <v>Litros</v>
      </c>
      <c r="F137" s="330">
        <f t="shared" si="13"/>
        <v>2.5026544125000001</v>
      </c>
      <c r="G137" s="331" t="str">
        <f t="shared" si="7"/>
        <v/>
      </c>
      <c r="H137" s="331" t="str">
        <f t="shared" si="8"/>
        <v/>
      </c>
      <c r="I137" s="331" t="str">
        <f t="shared" si="9"/>
        <v>-</v>
      </c>
      <c r="J137" s="331" t="str">
        <f t="shared" si="10"/>
        <v>-</v>
      </c>
      <c r="K137" s="331" t="str">
        <f t="shared" si="11"/>
        <v>-</v>
      </c>
      <c r="L137" s="319">
        <f t="shared" si="14"/>
        <v>0</v>
      </c>
      <c r="M137" s="298">
        <f>'Categoria 3'!$B$12</f>
        <v>2.2411459459459466E-6</v>
      </c>
      <c r="N137" s="252">
        <f t="shared" si="12"/>
        <v>0</v>
      </c>
    </row>
    <row r="138" spans="1:14" s="240" customFormat="1" outlineLevel="1" x14ac:dyDescent="0.25">
      <c r="A138" s="282">
        <v>30</v>
      </c>
      <c r="B138" s="281" t="str">
        <f>'Fatores de Emissão'!$B$51</f>
        <v>Óleo de Xisto</v>
      </c>
      <c r="C138" s="252">
        <f>SUMIF('Combustão Estacionária'!$C$184:$C$283,B138,'Combustão Estacionária'!$D$184:$D$283)</f>
        <v>0</v>
      </c>
      <c r="D138" s="317" t="str">
        <f>CE!D82</f>
        <v>kg</v>
      </c>
      <c r="F138" s="330">
        <f t="shared" si="13"/>
        <v>2.7648027000000002</v>
      </c>
      <c r="G138" s="331" t="str">
        <f t="shared" si="7"/>
        <v/>
      </c>
      <c r="H138" s="331" t="str">
        <f t="shared" si="8"/>
        <v/>
      </c>
      <c r="I138" s="331" t="str">
        <f t="shared" si="9"/>
        <v>-</v>
      </c>
      <c r="J138" s="331" t="str">
        <f t="shared" si="10"/>
        <v>-</v>
      </c>
      <c r="K138" s="331" t="str">
        <f t="shared" si="11"/>
        <v>-</v>
      </c>
      <c r="L138" s="319">
        <f t="shared" si="14"/>
        <v>0</v>
      </c>
      <c r="M138" s="252"/>
      <c r="N138" s="252">
        <f t="shared" si="12"/>
        <v>0</v>
      </c>
    </row>
    <row r="139" spans="1:14" s="240" customFormat="1" outlineLevel="1" x14ac:dyDescent="0.25">
      <c r="A139" s="282">
        <v>31</v>
      </c>
      <c r="B139" s="281" t="str">
        <f>'Fatores de Emissão'!$B$52</f>
        <v>Óleos Usados</v>
      </c>
      <c r="C139" s="252">
        <f>SUMIF('Combustão Estacionária'!$C$184:$C$283,B139,'Combustão Estacionária'!$D$184:$D$283)</f>
        <v>0</v>
      </c>
      <c r="D139" s="317" t="str">
        <f>CE!D83</f>
        <v>kg</v>
      </c>
      <c r="F139" s="330">
        <f t="shared" si="13"/>
        <v>2.9171934000000004</v>
      </c>
      <c r="G139" s="331" t="str">
        <f t="shared" si="7"/>
        <v/>
      </c>
      <c r="H139" s="331" t="str">
        <f t="shared" si="8"/>
        <v/>
      </c>
      <c r="I139" s="331" t="str">
        <f t="shared" si="9"/>
        <v>-</v>
      </c>
      <c r="J139" s="331" t="str">
        <f t="shared" si="10"/>
        <v>-</v>
      </c>
      <c r="K139" s="331" t="str">
        <f t="shared" si="11"/>
        <v>-</v>
      </c>
      <c r="L139" s="319">
        <f t="shared" si="14"/>
        <v>0</v>
      </c>
      <c r="M139" s="252"/>
      <c r="N139" s="252">
        <f t="shared" si="12"/>
        <v>0</v>
      </c>
    </row>
    <row r="140" spans="1:14" s="240" customFormat="1" outlineLevel="1" x14ac:dyDescent="0.25">
      <c r="A140" s="282">
        <v>32</v>
      </c>
      <c r="B140" s="281" t="str">
        <f>'Fatores de Emissão'!$B$53</f>
        <v>Orimulsão</v>
      </c>
      <c r="C140" s="252">
        <f>SUMIF('Combustão Estacionária'!$C$184:$C$283,B140,'Combustão Estacionária'!$D$184:$D$283)</f>
        <v>0</v>
      </c>
      <c r="D140" s="317" t="str">
        <f>CE!D84</f>
        <v>kg</v>
      </c>
      <c r="F140" s="330">
        <f t="shared" si="13"/>
        <v>2.1147499999999999</v>
      </c>
      <c r="G140" s="331" t="str">
        <f t="shared" si="7"/>
        <v/>
      </c>
      <c r="H140" s="331" t="str">
        <f t="shared" si="8"/>
        <v/>
      </c>
      <c r="I140" s="331" t="str">
        <f t="shared" si="9"/>
        <v>-</v>
      </c>
      <c r="J140" s="331" t="str">
        <f t="shared" si="10"/>
        <v>-</v>
      </c>
      <c r="K140" s="331" t="str">
        <f t="shared" si="11"/>
        <v>-</v>
      </c>
      <c r="L140" s="319">
        <f t="shared" si="14"/>
        <v>0</v>
      </c>
      <c r="M140" s="252"/>
      <c r="N140" s="252">
        <f t="shared" si="12"/>
        <v>0</v>
      </c>
    </row>
    <row r="141" spans="1:14" s="240" customFormat="1" ht="31.5" outlineLevel="1" x14ac:dyDescent="0.25">
      <c r="A141" s="282">
        <v>33</v>
      </c>
      <c r="B141" s="281" t="str">
        <f>'Fatores de Emissão'!$B$54</f>
        <v>Outros Carvões Betuminosos</v>
      </c>
      <c r="C141" s="252">
        <f>SUMIF('Combustão Estacionária'!$C$184:$C$283,B141,'Combustão Estacionária'!$D$184:$D$283)</f>
        <v>0</v>
      </c>
      <c r="D141" s="317" t="str">
        <f>CE!D85</f>
        <v>Toneladas</v>
      </c>
      <c r="F141" s="330">
        <f t="shared" si="13"/>
        <v>3137.2387199999998</v>
      </c>
      <c r="G141" s="331" t="str">
        <f t="shared" si="7"/>
        <v/>
      </c>
      <c r="H141" s="331" t="str">
        <f t="shared" si="8"/>
        <v/>
      </c>
      <c r="I141" s="331" t="str">
        <f t="shared" si="9"/>
        <v>-</v>
      </c>
      <c r="J141" s="331" t="str">
        <f t="shared" si="10"/>
        <v>-</v>
      </c>
      <c r="K141" s="331" t="str">
        <f t="shared" si="11"/>
        <v>-</v>
      </c>
      <c r="L141" s="319">
        <f t="shared" si="14"/>
        <v>0</v>
      </c>
      <c r="M141" s="252"/>
      <c r="N141" s="252">
        <f t="shared" si="12"/>
        <v>0</v>
      </c>
    </row>
    <row r="142" spans="1:14" s="240" customFormat="1" outlineLevel="1" x14ac:dyDescent="0.25">
      <c r="A142" s="282">
        <v>34</v>
      </c>
      <c r="B142" s="281" t="str">
        <f>'Fatores de Emissão'!$B$55</f>
        <v>Petróleo Bruto</v>
      </c>
      <c r="C142" s="252">
        <f>SUMIF('Combustão Estacionária'!$C$184:$C$283,B142,'Combustão Estacionária'!$D$184:$D$283)</f>
        <v>0</v>
      </c>
      <c r="D142" s="317" t="str">
        <f>CE!D86</f>
        <v>Litros</v>
      </c>
      <c r="F142" s="330">
        <f t="shared" si="13"/>
        <v>2.1489374560499996</v>
      </c>
      <c r="G142" s="331" t="str">
        <f t="shared" si="7"/>
        <v/>
      </c>
      <c r="H142" s="331" t="str">
        <f t="shared" si="8"/>
        <v/>
      </c>
      <c r="I142" s="331" t="str">
        <f t="shared" si="9"/>
        <v>-</v>
      </c>
      <c r="J142" s="331" t="str">
        <f t="shared" si="10"/>
        <v>-</v>
      </c>
      <c r="K142" s="331" t="str">
        <f t="shared" si="11"/>
        <v>-</v>
      </c>
      <c r="L142" s="319">
        <f t="shared" si="14"/>
        <v>0</v>
      </c>
      <c r="M142" s="298">
        <f>'Categoria 3'!$B$12</f>
        <v>2.2411459459459466E-6</v>
      </c>
      <c r="N142" s="252">
        <f t="shared" si="12"/>
        <v>0</v>
      </c>
    </row>
    <row r="143" spans="1:14" s="240" customFormat="1" outlineLevel="1" x14ac:dyDescent="0.25">
      <c r="A143" s="282">
        <v>35</v>
      </c>
      <c r="B143" s="281" t="str">
        <f>'Fatores de Emissão'!$B$56</f>
        <v>Querosene tipo Jet Fuel</v>
      </c>
      <c r="C143" s="252">
        <f>SUMIF('Combustão Estacionária'!$C$184:$C$283,B143,'Combustão Estacionária'!$D$184:$D$283)</f>
        <v>0</v>
      </c>
      <c r="D143" s="317" t="str">
        <f>CE!D87</f>
        <v>Litros</v>
      </c>
      <c r="F143" s="330">
        <f t="shared" si="13"/>
        <v>2.5035592725</v>
      </c>
      <c r="G143" s="331" t="str">
        <f t="shared" si="7"/>
        <v/>
      </c>
      <c r="H143" s="331" t="str">
        <f t="shared" si="8"/>
        <v/>
      </c>
      <c r="I143" s="331" t="str">
        <f t="shared" si="9"/>
        <v>-</v>
      </c>
      <c r="J143" s="331" t="str">
        <f t="shared" si="10"/>
        <v>-</v>
      </c>
      <c r="K143" s="331" t="str">
        <f t="shared" si="11"/>
        <v>-</v>
      </c>
      <c r="L143" s="319">
        <f t="shared" si="14"/>
        <v>0</v>
      </c>
      <c r="M143" s="298">
        <f>'Categoria 3'!$B$12</f>
        <v>2.2411459459459466E-6</v>
      </c>
      <c r="N143" s="252">
        <f t="shared" si="12"/>
        <v>0</v>
      </c>
    </row>
    <row r="144" spans="1:14" s="240" customFormat="1" ht="47.25" outlineLevel="1" x14ac:dyDescent="0.25">
      <c r="A144" s="282">
        <v>36</v>
      </c>
      <c r="B144" s="281" t="str">
        <f>'Fatores de Emissão'!$B$57</f>
        <v>Resíduos municipais (fração não biodegradável)</v>
      </c>
      <c r="C144" s="252">
        <f>SUMIF('Combustão Estacionária'!$C$184:$C$283,B144,'Combustão Estacionária'!$D$184:$D$283)</f>
        <v>0</v>
      </c>
      <c r="D144" s="317" t="str">
        <f>CE!D88</f>
        <v>Toneladas</v>
      </c>
      <c r="F144" s="330">
        <f t="shared" si="13"/>
        <v>898.66</v>
      </c>
      <c r="G144" s="331" t="str">
        <f t="shared" si="7"/>
        <v/>
      </c>
      <c r="H144" s="331" t="str">
        <f t="shared" si="8"/>
        <v/>
      </c>
      <c r="I144" s="331" t="str">
        <f t="shared" si="9"/>
        <v>-</v>
      </c>
      <c r="J144" s="331" t="str">
        <f t="shared" si="10"/>
        <v>-</v>
      </c>
      <c r="K144" s="331" t="str">
        <f t="shared" si="11"/>
        <v>-</v>
      </c>
      <c r="L144" s="319">
        <f t="shared" si="14"/>
        <v>0</v>
      </c>
      <c r="M144" s="252"/>
      <c r="N144" s="252">
        <f t="shared" si="12"/>
        <v>0</v>
      </c>
    </row>
    <row r="145" spans="1:14" s="240" customFormat="1" ht="31.5" outlineLevel="1" x14ac:dyDescent="0.25">
      <c r="A145" s="282">
        <v>37</v>
      </c>
      <c r="B145" s="281" t="str">
        <f>'Fatores de Emissão'!$B$58</f>
        <v>Xisto Betuminoso e Areias Betuminosas</v>
      </c>
      <c r="C145" s="252">
        <f>SUMIF('Combustão Estacionária'!$C$184:$C$283,B145,'Combustão Estacionária'!$D$184:$D$283)</f>
        <v>0</v>
      </c>
      <c r="D145" s="317" t="str">
        <f>CE!D89</f>
        <v>kg</v>
      </c>
      <c r="F145" s="330">
        <f t="shared" si="13"/>
        <v>0.90610000000000002</v>
      </c>
      <c r="G145" s="331" t="str">
        <f t="shared" si="7"/>
        <v/>
      </c>
      <c r="H145" s="331" t="str">
        <f t="shared" si="8"/>
        <v/>
      </c>
      <c r="I145" s="331" t="str">
        <f t="shared" si="9"/>
        <v>-</v>
      </c>
      <c r="J145" s="331" t="str">
        <f t="shared" si="10"/>
        <v>-</v>
      </c>
      <c r="K145" s="331" t="str">
        <f t="shared" si="11"/>
        <v>-</v>
      </c>
      <c r="L145" s="319">
        <f t="shared" si="14"/>
        <v>0</v>
      </c>
      <c r="M145" s="252"/>
      <c r="N145" s="252">
        <f t="shared" si="12"/>
        <v>0</v>
      </c>
    </row>
    <row r="146" spans="1:14" s="240" customFormat="1" ht="16.899999999999999" customHeight="1" outlineLevel="1" x14ac:dyDescent="0.25">
      <c r="A146" s="282"/>
      <c r="B146" s="320"/>
      <c r="C146" s="321" t="s">
        <v>445</v>
      </c>
      <c r="D146" s="322"/>
      <c r="F146" s="322"/>
      <c r="G146" s="322"/>
      <c r="H146" s="328"/>
      <c r="I146" s="324">
        <f>SUM(I111:I145)</f>
        <v>0</v>
      </c>
      <c r="J146" s="324">
        <f>SUM(J111:J145)</f>
        <v>0</v>
      </c>
      <c r="K146" s="324">
        <f>SUM(K111:K145)</f>
        <v>0</v>
      </c>
      <c r="L146" s="324">
        <f>SUM(L111:L145)</f>
        <v>0</v>
      </c>
      <c r="M146" s="252"/>
      <c r="N146" s="325">
        <f>SUM(N111:N145)</f>
        <v>0</v>
      </c>
    </row>
    <row r="147" spans="1:14" s="240" customFormat="1" outlineLevel="1" x14ac:dyDescent="0.25">
      <c r="A147" s="282">
        <v>44</v>
      </c>
      <c r="B147" s="264" t="str">
        <f>'Fatores de Emissão'!$B$66</f>
        <v>Biodiesel e Biogasolina</v>
      </c>
      <c r="C147" s="252">
        <f>SUMIF('Combustão Estacionária'!$C$184:$C$283,B147,'Combustão Estacionária'!$D$184:$D$283)</f>
        <v>0</v>
      </c>
      <c r="D147" s="326" t="str">
        <f>CE!D92</f>
        <v>kg</v>
      </c>
      <c r="F147" s="318">
        <f>F92</f>
        <v>1.9116</v>
      </c>
      <c r="G147" s="331" t="str">
        <f t="shared" ref="G147:G156" si="15">VLOOKUP($B147,$B$55:$K$101,6,FALSE)</f>
        <v/>
      </c>
      <c r="H147" s="331">
        <f t="shared" ref="H147:H156" si="16">VLOOKUP($B147,$B$55:$K$101,7,FALSE)</f>
        <v>0</v>
      </c>
      <c r="I147" s="331" t="str">
        <f t="shared" ref="I147:I156" si="17">VLOOKUP($B147,$B$55:$K$101,8,FALSE)</f>
        <v>-</v>
      </c>
      <c r="J147" s="331" t="str">
        <f t="shared" ref="J147:J156" si="18">VLOOKUP($B147,$B$55:$K$101,9,FALSE)</f>
        <v>-</v>
      </c>
      <c r="K147" s="331" t="str">
        <f t="shared" ref="K147:K156" si="19">VLOOKUP($B147,$B$55:$K$101,10,FALSE)</f>
        <v>-</v>
      </c>
      <c r="L147" s="319">
        <f t="shared" ref="L147" si="20">SUM(I147:K147)</f>
        <v>0</v>
      </c>
    </row>
    <row r="148" spans="1:14" s="240" customFormat="1" outlineLevel="1" x14ac:dyDescent="0.25">
      <c r="A148" s="282">
        <v>45</v>
      </c>
      <c r="B148" s="264" t="str">
        <f>'Fatores de Emissão'!$B$67</f>
        <v>Carvão Vegetal</v>
      </c>
      <c r="C148" s="252">
        <f>SUMIF('Combustão Estacionária'!$C$184:$C$283,B148,'Combustão Estacionária'!$D$184:$D$283)</f>
        <v>0</v>
      </c>
      <c r="D148" s="326" t="str">
        <f>CE!D93</f>
        <v>kg</v>
      </c>
      <c r="F148" s="318">
        <f>F93</f>
        <v>3.3039999999999998</v>
      </c>
      <c r="G148" s="331" t="str">
        <f t="shared" si="15"/>
        <v/>
      </c>
      <c r="H148" s="331">
        <f t="shared" si="16"/>
        <v>0</v>
      </c>
      <c r="I148" s="331" t="str">
        <f t="shared" si="17"/>
        <v>-</v>
      </c>
      <c r="J148" s="331" t="str">
        <f t="shared" si="18"/>
        <v>-</v>
      </c>
      <c r="K148" s="331" t="str">
        <f t="shared" si="19"/>
        <v>-</v>
      </c>
      <c r="L148" s="319">
        <f t="shared" ref="L148:L156" si="21">SUM(I148:K148)</f>
        <v>0</v>
      </c>
    </row>
    <row r="149" spans="1:14" s="240" customFormat="1" ht="31.5" outlineLevel="1" x14ac:dyDescent="0.25">
      <c r="A149" s="282">
        <v>47</v>
      </c>
      <c r="B149" s="264" t="str">
        <f>'Fatores de Emissão'!$B$68</f>
        <v>Gases de Lamas de Depuração</v>
      </c>
      <c r="C149" s="252">
        <f>SUMIF('Combustão Estacionária'!$C$184:$C$283,B149,'Combustão Estacionária'!$D$184:$D$283)</f>
        <v>0</v>
      </c>
      <c r="D149" s="326" t="str">
        <f>CE!D94</f>
        <v>TJ</v>
      </c>
      <c r="F149" s="318">
        <f>F94</f>
        <v>54600</v>
      </c>
      <c r="G149" s="331" t="str">
        <f t="shared" si="15"/>
        <v/>
      </c>
      <c r="H149" s="331">
        <f t="shared" si="16"/>
        <v>0</v>
      </c>
      <c r="I149" s="331" t="str">
        <f t="shared" si="17"/>
        <v>-</v>
      </c>
      <c r="J149" s="331" t="str">
        <f t="shared" si="18"/>
        <v>-</v>
      </c>
      <c r="K149" s="331" t="str">
        <f t="shared" si="19"/>
        <v>-</v>
      </c>
      <c r="L149" s="319">
        <f t="shared" si="21"/>
        <v>0</v>
      </c>
    </row>
    <row r="150" spans="1:14" s="240" customFormat="1" ht="47.25" outlineLevel="1" x14ac:dyDescent="0.25">
      <c r="A150" s="282">
        <v>49</v>
      </c>
      <c r="B150" s="264" t="str">
        <f>'Fatores de Emissão'!$B$69</f>
        <v>Madeira, resíduos de madeira e outros resíduos sólidos</v>
      </c>
      <c r="C150" s="252">
        <f>SUMIF('Combustão Estacionária'!$C$184:$C$283,B150,'Combustão Estacionária'!$D$184:$D$283)</f>
        <v>0</v>
      </c>
      <c r="D150" s="326" t="str">
        <f>CE!D95</f>
        <v>kg</v>
      </c>
      <c r="F150" s="318">
        <f>F95</f>
        <v>1.6464000000000001</v>
      </c>
      <c r="G150" s="331" t="str">
        <f t="shared" si="15"/>
        <v/>
      </c>
      <c r="H150" s="331">
        <f t="shared" si="16"/>
        <v>0</v>
      </c>
      <c r="I150" s="331" t="str">
        <f t="shared" si="17"/>
        <v>-</v>
      </c>
      <c r="J150" s="331" t="str">
        <f t="shared" si="18"/>
        <v>-</v>
      </c>
      <c r="K150" s="331" t="str">
        <f t="shared" si="19"/>
        <v>-</v>
      </c>
      <c r="L150" s="319">
        <f t="shared" si="21"/>
        <v>0</v>
      </c>
    </row>
    <row r="151" spans="1:14" s="240" customFormat="1" ht="31.5" outlineLevel="1" x14ac:dyDescent="0.25">
      <c r="A151" s="282">
        <v>50</v>
      </c>
      <c r="B151" s="264" t="str">
        <f>'Fatores de Emissão'!$B$70</f>
        <v>Outra Biomassa Primária Sólida</v>
      </c>
      <c r="C151" s="252">
        <f>SUMIF('Combustão Estacionária'!$C$184:$C$283,B151,'Combustão Estacionária'!$D$184:$D$283)</f>
        <v>0</v>
      </c>
      <c r="D151" s="326" t="str">
        <f>CE!D96</f>
        <v>kg</v>
      </c>
      <c r="F151" s="318">
        <f>F96</f>
        <v>1.1599999999999999</v>
      </c>
      <c r="G151" s="331" t="str">
        <f t="shared" si="15"/>
        <v/>
      </c>
      <c r="H151" s="331">
        <f t="shared" si="16"/>
        <v>0</v>
      </c>
      <c r="I151" s="331" t="str">
        <f t="shared" si="17"/>
        <v>-</v>
      </c>
      <c r="J151" s="331" t="str">
        <f t="shared" si="18"/>
        <v>-</v>
      </c>
      <c r="K151" s="331" t="str">
        <f t="shared" si="19"/>
        <v>-</v>
      </c>
      <c r="L151" s="319">
        <f t="shared" si="21"/>
        <v>0</v>
      </c>
    </row>
    <row r="152" spans="1:14" s="240" customFormat="1" ht="31.5" outlineLevel="1" x14ac:dyDescent="0.25">
      <c r="A152" s="282">
        <v>51</v>
      </c>
      <c r="B152" s="264" t="str">
        <f>'Fatores de Emissão'!$B$71</f>
        <v>Outros Biocombustíveis Líquidos</v>
      </c>
      <c r="C152" s="252">
        <f>SUMIF('Combustão Estacionária'!$C$184:$C$283,B152,'Combustão Estacionária'!$D$184:$D$283)</f>
        <v>0</v>
      </c>
      <c r="D152" s="326" t="str">
        <f>CE!D98</f>
        <v>kg</v>
      </c>
      <c r="F152" s="318">
        <f>F98</f>
        <v>2.1810399999999999</v>
      </c>
      <c r="G152" s="331" t="str">
        <f t="shared" si="15"/>
        <v/>
      </c>
      <c r="H152" s="331">
        <f t="shared" si="16"/>
        <v>0</v>
      </c>
      <c r="I152" s="331" t="str">
        <f t="shared" si="17"/>
        <v>-</v>
      </c>
      <c r="J152" s="331" t="str">
        <f t="shared" si="18"/>
        <v>-</v>
      </c>
      <c r="K152" s="331" t="str">
        <f t="shared" si="19"/>
        <v>-</v>
      </c>
      <c r="L152" s="319">
        <f t="shared" si="21"/>
        <v>0</v>
      </c>
    </row>
    <row r="153" spans="1:14" s="240" customFormat="1" ht="31.5" outlineLevel="1" x14ac:dyDescent="0.25">
      <c r="A153" s="282"/>
      <c r="B153" s="264" t="str">
        <f>'Fatores de Emissão'!$B$72</f>
        <v>Outros biocombustíveis gasosos</v>
      </c>
      <c r="C153" s="252">
        <f>SUMIF('Combustão Estacionária'!$C$184:$C$283,B153,'Combustão Estacionária'!$D$184:$D$283)</f>
        <v>0</v>
      </c>
      <c r="D153" s="326" t="str">
        <f>D97</f>
        <v>TJ</v>
      </c>
      <c r="F153" s="318">
        <f>F97</f>
        <v>54600</v>
      </c>
      <c r="G153" s="331" t="str">
        <f t="shared" si="15"/>
        <v/>
      </c>
      <c r="H153" s="331">
        <f t="shared" si="16"/>
        <v>0</v>
      </c>
      <c r="I153" s="331">
        <f t="shared" si="17"/>
        <v>0</v>
      </c>
      <c r="J153" s="331">
        <f t="shared" si="18"/>
        <v>0</v>
      </c>
      <c r="K153" s="331">
        <f t="shared" si="19"/>
        <v>0</v>
      </c>
      <c r="L153" s="319">
        <f t="shared" si="21"/>
        <v>0</v>
      </c>
    </row>
    <row r="154" spans="1:14" s="240" customFormat="1" ht="31.5" outlineLevel="1" x14ac:dyDescent="0.25">
      <c r="A154" s="282">
        <v>53</v>
      </c>
      <c r="B154" s="264" t="str">
        <f>'Fatores de Emissão'!$B$73</f>
        <v>Resíduos Municipais (fração biodegradável)</v>
      </c>
      <c r="C154" s="252">
        <f>SUMIF('Combustão Estacionária'!$C$184:$C$283,B154,'Combustão Estacionária'!$D$184:$D$283)</f>
        <v>0</v>
      </c>
      <c r="D154" s="326" t="str">
        <f>CE!D99</f>
        <v>kg</v>
      </c>
      <c r="F154" s="318">
        <f>F99</f>
        <v>1.1599999999999999</v>
      </c>
      <c r="G154" s="331" t="str">
        <f t="shared" si="15"/>
        <v/>
      </c>
      <c r="H154" s="331">
        <f t="shared" si="16"/>
        <v>0</v>
      </c>
      <c r="I154" s="331" t="str">
        <f t="shared" si="17"/>
        <v>-</v>
      </c>
      <c r="J154" s="331" t="str">
        <f t="shared" si="18"/>
        <v>-</v>
      </c>
      <c r="K154" s="331" t="str">
        <f t="shared" si="19"/>
        <v>-</v>
      </c>
      <c r="L154" s="319">
        <f t="shared" si="21"/>
        <v>0</v>
      </c>
    </row>
    <row r="155" spans="1:14" s="240" customFormat="1" outlineLevel="1" x14ac:dyDescent="0.25">
      <c r="A155" s="282"/>
      <c r="B155" s="264" t="str">
        <f>'Fatores de Emissão'!$B$74</f>
        <v>Desconhecido</v>
      </c>
      <c r="C155" s="252">
        <f>SUMIF('Combustão Estacionária'!$C$184:$C$283,B155,'Combustão Estacionária'!$D$184:$D$283)</f>
        <v>0</v>
      </c>
      <c r="D155" s="326" t="str">
        <f>D100</f>
        <v>TJ</v>
      </c>
      <c r="F155" s="318">
        <f>F100</f>
        <v>0</v>
      </c>
      <c r="G155" s="331" t="str">
        <f t="shared" si="15"/>
        <v/>
      </c>
      <c r="H155" s="331">
        <f t="shared" si="16"/>
        <v>0</v>
      </c>
      <c r="I155" s="331">
        <f t="shared" si="17"/>
        <v>0</v>
      </c>
      <c r="J155" s="331">
        <f t="shared" si="18"/>
        <v>0</v>
      </c>
      <c r="K155" s="331">
        <f t="shared" si="19"/>
        <v>0</v>
      </c>
      <c r="L155" s="319">
        <f t="shared" si="21"/>
        <v>0</v>
      </c>
    </row>
    <row r="156" spans="1:14" s="240" customFormat="1" outlineLevel="1" x14ac:dyDescent="0.25">
      <c r="A156" s="282">
        <v>54</v>
      </c>
      <c r="B156" s="264" t="str">
        <f>'Fatores de Emissão'!$B$75</f>
        <v>Turfa</v>
      </c>
      <c r="C156" s="252">
        <f>SUMIF('Combustão Estacionária'!$C$184:$C$283,B156,'Combustão Estacionária'!$D$184:$D$283)</f>
        <v>0</v>
      </c>
      <c r="D156" s="326" t="str">
        <f>CE!D101</f>
        <v>kg</v>
      </c>
      <c r="F156" s="318">
        <f>F101</f>
        <v>1.1448</v>
      </c>
      <c r="G156" s="331" t="str">
        <f t="shared" si="15"/>
        <v/>
      </c>
      <c r="H156" s="331">
        <f t="shared" si="16"/>
        <v>0</v>
      </c>
      <c r="I156" s="331" t="str">
        <f t="shared" si="17"/>
        <v>-</v>
      </c>
      <c r="J156" s="331" t="str">
        <f t="shared" si="18"/>
        <v>-</v>
      </c>
      <c r="K156" s="331" t="str">
        <f t="shared" si="19"/>
        <v>-</v>
      </c>
      <c r="L156" s="319">
        <f t="shared" si="21"/>
        <v>0</v>
      </c>
    </row>
    <row r="157" spans="1:14" ht="16.899999999999999" customHeight="1" outlineLevel="1" x14ac:dyDescent="0.25">
      <c r="B157" s="320"/>
      <c r="C157" s="327" t="s">
        <v>446</v>
      </c>
      <c r="D157" s="322"/>
      <c r="F157" s="322"/>
      <c r="G157" s="322"/>
      <c r="H157" s="328"/>
      <c r="I157" s="329">
        <f>SUM(I147:I156)</f>
        <v>0</v>
      </c>
      <c r="J157" s="329">
        <f>SUM(J147:J156)</f>
        <v>0</v>
      </c>
      <c r="K157" s="329">
        <f>SUM(K147:K156)</f>
        <v>0</v>
      </c>
      <c r="L157" s="329">
        <f>SUM(L147:L156)</f>
        <v>0</v>
      </c>
      <c r="M157" s="166"/>
    </row>
    <row r="158" spans="1:14" outlineLevel="1" x14ac:dyDescent="0.25">
      <c r="B158" s="166"/>
      <c r="D158" s="166"/>
      <c r="J158" s="166"/>
      <c r="M158" s="166"/>
    </row>
    <row r="159" spans="1:14" x14ac:dyDescent="0.25">
      <c r="F159" s="241"/>
      <c r="J159" s="166"/>
      <c r="K159" s="240"/>
      <c r="M159" s="166"/>
      <c r="N159" s="268"/>
    </row>
    <row r="160" spans="1:14" x14ac:dyDescent="0.25">
      <c r="F160" s="241"/>
      <c r="J160" s="166"/>
      <c r="K160" s="240"/>
      <c r="M160" s="166"/>
      <c r="N160" s="268"/>
    </row>
    <row r="161" spans="6:14" x14ac:dyDescent="0.25">
      <c r="F161" s="241"/>
      <c r="J161" s="166"/>
      <c r="K161" s="240"/>
      <c r="M161" s="166"/>
      <c r="N161" s="268"/>
    </row>
  </sheetData>
  <sortState xmlns:xlrd2="http://schemas.microsoft.com/office/spreadsheetml/2017/richdata2" ref="C10:D50">
    <sortCondition ref="C10:C50"/>
  </sortState>
  <mergeCells count="5">
    <mergeCell ref="L10:M11"/>
    <mergeCell ref="Q10:R10"/>
    <mergeCell ref="B108:B110"/>
    <mergeCell ref="C108:C110"/>
    <mergeCell ref="D108:D11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B3BF-0E43-46EF-A382-8C630CCC3006}">
  <sheetPr>
    <tabColor theme="4"/>
  </sheetPr>
  <dimension ref="A1:P886"/>
  <sheetViews>
    <sheetView showGridLines="0" zoomScale="80" zoomScaleNormal="80" workbookViewId="0">
      <selection activeCell="B31" sqref="B31"/>
    </sheetView>
  </sheetViews>
  <sheetFormatPr defaultColWidth="8.75" defaultRowHeight="15.75" zeroHeight="1" outlineLevelRow="2" x14ac:dyDescent="0.25"/>
  <cols>
    <col min="1" max="1" width="11.625" style="166" customWidth="1"/>
    <col min="2" max="2" width="22.25" style="166" customWidth="1"/>
    <col min="3" max="3" width="51.5" style="166" customWidth="1"/>
    <col min="4" max="4" width="52.5" style="166" customWidth="1"/>
    <col min="5" max="5" width="41.875" style="166" customWidth="1"/>
    <col min="6" max="6" width="22.625" style="166" customWidth="1"/>
    <col min="7" max="7" width="41.375" style="166" customWidth="1"/>
    <col min="8" max="8" width="23.25" style="166" customWidth="1"/>
    <col min="9" max="9" width="20.75" style="166" customWidth="1"/>
    <col min="10" max="10" width="17.625" style="166" customWidth="1"/>
    <col min="11" max="11" width="24.75" style="166" customWidth="1"/>
    <col min="12" max="12" width="13.375" style="166" customWidth="1"/>
    <col min="13" max="13" width="16.75" style="166" customWidth="1"/>
    <col min="14" max="14" width="32.375" style="166" customWidth="1"/>
    <col min="15" max="15" width="26.625" style="166" customWidth="1"/>
    <col min="16" max="16" width="20.875" style="166" customWidth="1"/>
    <col min="17" max="17" width="38.75" style="166" customWidth="1"/>
    <col min="18" max="18" width="40.5" style="166" bestFit="1" customWidth="1"/>
    <col min="19" max="19" width="18" style="166" customWidth="1"/>
    <col min="20" max="20" width="16" style="166" customWidth="1"/>
    <col min="21" max="31" width="8.75" style="166"/>
    <col min="32" max="32" width="9.875" style="166" customWidth="1"/>
    <col min="33" max="33" width="8.5" style="166" customWidth="1"/>
    <col min="34" max="34" width="16.875" style="166" customWidth="1"/>
    <col min="35" max="35" width="14.375" style="166" customWidth="1"/>
    <col min="36" max="45" width="8.75" style="166"/>
    <col min="46" max="46" width="8.875" style="166" customWidth="1"/>
    <col min="47" max="47" width="14" style="166" bestFit="1" customWidth="1"/>
    <col min="48" max="48" width="14.125" style="166" customWidth="1"/>
    <col min="49" max="49" width="12" style="166" customWidth="1"/>
    <col min="50" max="50" width="11.75" style="166" customWidth="1"/>
    <col min="51" max="51" width="11.125" style="166" customWidth="1"/>
    <col min="52" max="52" width="9.375" style="166" customWidth="1"/>
    <col min="53" max="53" width="8.5" style="166" customWidth="1"/>
    <col min="54" max="54" width="8.75" style="166" customWidth="1"/>
    <col min="55" max="55" width="10.25" style="166" customWidth="1"/>
    <col min="56" max="56" width="8.75" style="166"/>
    <col min="57" max="57" width="9.75" style="166" customWidth="1"/>
    <col min="58" max="60" width="8.75" style="166"/>
    <col min="61" max="61" width="9" style="166" customWidth="1"/>
    <col min="62" max="62" width="10.75" style="166" customWidth="1"/>
    <col min="63" max="63" width="12.625" style="166" customWidth="1"/>
    <col min="64" max="64" width="8.875" style="166" customWidth="1"/>
    <col min="65" max="65" width="9.375" style="166" customWidth="1"/>
    <col min="66" max="69" width="8.75" style="166"/>
    <col min="70" max="70" width="9.25" style="166" customWidth="1"/>
    <col min="71" max="16384" width="8.75" style="166"/>
  </cols>
  <sheetData>
    <row r="1" spans="2:15" x14ac:dyDescent="0.25"/>
    <row r="2" spans="2:15" x14ac:dyDescent="0.25"/>
    <row r="3" spans="2:15" x14ac:dyDescent="0.25"/>
    <row r="4" spans="2:15" x14ac:dyDescent="0.25"/>
    <row r="5" spans="2:15" x14ac:dyDescent="0.25"/>
    <row r="6" spans="2:15" x14ac:dyDescent="0.25"/>
    <row r="7" spans="2:15" ht="18.75" x14ac:dyDescent="0.3">
      <c r="E7" s="836"/>
      <c r="F7" s="836"/>
      <c r="G7" s="836"/>
      <c r="H7" s="836"/>
      <c r="I7" s="836"/>
    </row>
    <row r="8" spans="2:15" ht="24" customHeight="1" x14ac:dyDescent="0.25"/>
    <row r="9" spans="2:15" ht="18.75" x14ac:dyDescent="0.3">
      <c r="B9" s="775" t="str">
        <f>IF(Triagem!C28="", "Não indicou na TRIAGEM se esta folha de adequa ao projeto", IF(Triagem!C28="Não", "Não necessita de preencher esta folha", "Folha a ser preenchida"))</f>
        <v>Não indicou na TRIAGEM se esta folha de adequa ao projeto</v>
      </c>
    </row>
    <row r="10" spans="2:15" x14ac:dyDescent="0.25"/>
    <row r="11" spans="2:15" ht="26.25" customHeight="1" x14ac:dyDescent="0.25">
      <c r="B11" s="1163"/>
      <c r="C11" s="1163"/>
      <c r="D11" s="1163"/>
      <c r="E11" s="1163"/>
      <c r="F11" s="1163"/>
      <c r="G11" s="1163"/>
      <c r="H11" s="1163"/>
      <c r="I11" s="1163"/>
      <c r="J11" s="1163"/>
      <c r="K11" s="168"/>
      <c r="L11" s="168"/>
      <c r="M11" s="168"/>
      <c r="N11" s="168"/>
      <c r="O11" s="168"/>
    </row>
    <row r="12" spans="2:15" x14ac:dyDescent="0.25">
      <c r="B12" s="837" t="s">
        <v>0</v>
      </c>
      <c r="C12" s="778"/>
      <c r="D12" s="778"/>
      <c r="E12" s="778"/>
      <c r="F12" s="778"/>
      <c r="G12" s="778"/>
      <c r="H12" s="778"/>
      <c r="I12" s="778"/>
      <c r="J12" s="778"/>
      <c r="K12" s="778"/>
      <c r="L12" s="778"/>
    </row>
    <row r="13" spans="2:15" ht="20.25" customHeight="1" x14ac:dyDescent="0.25">
      <c r="B13" s="1241" t="s">
        <v>1712</v>
      </c>
      <c r="C13" s="1241"/>
      <c r="D13" s="1241"/>
      <c r="E13" s="1241"/>
      <c r="F13" s="1241"/>
      <c r="G13" s="1241"/>
      <c r="H13" s="1241"/>
      <c r="I13" s="1241"/>
      <c r="J13" s="1241"/>
      <c r="K13" s="778"/>
      <c r="L13" s="778"/>
    </row>
    <row r="14" spans="2:15" x14ac:dyDescent="0.25">
      <c r="B14" s="838" t="s">
        <v>1504</v>
      </c>
      <c r="C14" s="778"/>
      <c r="D14" s="778"/>
      <c r="E14" s="778"/>
      <c r="F14" s="778"/>
      <c r="G14" s="778"/>
      <c r="H14" s="778"/>
      <c r="I14" s="778"/>
      <c r="J14" s="778"/>
      <c r="K14" s="778"/>
      <c r="L14" s="778"/>
    </row>
    <row r="15" spans="2:15" x14ac:dyDescent="0.25">
      <c r="B15" s="838" t="s">
        <v>1505</v>
      </c>
      <c r="C15" s="778"/>
      <c r="D15" s="778"/>
      <c r="E15" s="778"/>
      <c r="F15" s="778"/>
      <c r="G15" s="778"/>
      <c r="H15" s="778"/>
      <c r="I15" s="778"/>
      <c r="J15" s="778"/>
      <c r="K15" s="778"/>
      <c r="L15" s="778"/>
    </row>
    <row r="16" spans="2:15" x14ac:dyDescent="0.25">
      <c r="B16" s="838" t="s">
        <v>1725</v>
      </c>
      <c r="C16" s="778"/>
      <c r="D16" s="778"/>
      <c r="E16" s="778"/>
      <c r="F16" s="778"/>
      <c r="G16" s="778"/>
      <c r="H16" s="778"/>
      <c r="I16" s="778"/>
      <c r="J16" s="778"/>
      <c r="K16" s="778"/>
      <c r="L16" s="778"/>
    </row>
    <row r="17" spans="1:16" x14ac:dyDescent="0.25">
      <c r="B17" s="839"/>
    </row>
    <row r="18" spans="1:16" x14ac:dyDescent="0.25">
      <c r="B18" s="839"/>
    </row>
    <row r="19" spans="1:16" s="332" customFormat="1" ht="30" customHeight="1" x14ac:dyDescent="0.25">
      <c r="A19" s="798"/>
      <c r="B19" s="231" t="s">
        <v>1584</v>
      </c>
    </row>
    <row r="20" spans="1:16" x14ac:dyDescent="0.25"/>
    <row r="21" spans="1:16" x14ac:dyDescent="0.25">
      <c r="B21" s="837" t="s">
        <v>24</v>
      </c>
      <c r="C21" s="778"/>
      <c r="D21" s="778"/>
      <c r="E21" s="778"/>
      <c r="F21" s="778"/>
      <c r="G21" s="778"/>
      <c r="H21" s="778"/>
      <c r="I21" s="778"/>
      <c r="J21" s="778"/>
      <c r="K21" s="778"/>
      <c r="L21" s="778"/>
    </row>
    <row r="22" spans="1:16" s="240" customFormat="1" x14ac:dyDescent="0.25">
      <c r="B22" s="840" t="s">
        <v>1600</v>
      </c>
      <c r="C22" s="841"/>
      <c r="D22" s="842"/>
      <c r="E22" s="842"/>
      <c r="F22" s="842"/>
      <c r="G22" s="842"/>
      <c r="H22" s="842"/>
      <c r="I22" s="842"/>
      <c r="J22" s="842"/>
      <c r="K22" s="842"/>
      <c r="L22" s="842"/>
    </row>
    <row r="23" spans="1:16" s="240" customFormat="1" x14ac:dyDescent="0.25">
      <c r="B23" s="844" t="s">
        <v>1629</v>
      </c>
      <c r="C23" s="841"/>
      <c r="D23" s="842"/>
      <c r="E23" s="842"/>
      <c r="F23" s="842"/>
      <c r="G23" s="842"/>
      <c r="H23" s="842"/>
      <c r="I23" s="842"/>
      <c r="J23" s="842"/>
      <c r="K23" s="842"/>
      <c r="L23" s="842"/>
    </row>
    <row r="24" spans="1:16" s="240" customFormat="1" x14ac:dyDescent="0.25">
      <c r="B24" s="844" t="s">
        <v>1630</v>
      </c>
      <c r="C24" s="841"/>
      <c r="D24" s="842"/>
      <c r="E24" s="842"/>
      <c r="F24" s="842"/>
      <c r="G24" s="842"/>
      <c r="H24" s="842"/>
      <c r="I24" s="842"/>
      <c r="J24" s="842"/>
      <c r="K24" s="842"/>
      <c r="L24" s="842"/>
      <c r="P24" s="235"/>
    </row>
    <row r="25" spans="1:16" s="240" customFormat="1" x14ac:dyDescent="0.25">
      <c r="P25" s="235"/>
    </row>
    <row r="26" spans="1:16" s="240" customFormat="1" x14ac:dyDescent="0.25">
      <c r="B26" s="765" t="s">
        <v>1585</v>
      </c>
      <c r="P26" s="235"/>
    </row>
    <row r="27" spans="1:16" s="240" customFormat="1" ht="28.5" customHeight="1" x14ac:dyDescent="0.25">
      <c r="B27" s="1184" t="s">
        <v>1592</v>
      </c>
      <c r="C27" s="1184" t="s">
        <v>1586</v>
      </c>
      <c r="D27" s="1242" t="s">
        <v>1695</v>
      </c>
      <c r="E27" s="1224"/>
      <c r="F27" s="1184" t="s">
        <v>1587</v>
      </c>
      <c r="G27" s="1233" t="s">
        <v>1588</v>
      </c>
      <c r="H27" s="1234"/>
      <c r="I27" s="1235"/>
      <c r="J27" s="1184" t="s">
        <v>1589</v>
      </c>
      <c r="K27" s="1184" t="s">
        <v>1590</v>
      </c>
      <c r="L27" s="1184" t="s">
        <v>1591</v>
      </c>
      <c r="M27" s="1184" t="s">
        <v>1634</v>
      </c>
    </row>
    <row r="28" spans="1:16" s="240" customFormat="1" ht="43.5" customHeight="1" x14ac:dyDescent="0.25">
      <c r="B28" s="1185"/>
      <c r="C28" s="1185"/>
      <c r="D28" s="745" t="s">
        <v>1692</v>
      </c>
      <c r="E28" s="1185" t="s">
        <v>1694</v>
      </c>
      <c r="F28" s="1185"/>
      <c r="G28" s="1191"/>
      <c r="H28" s="1236"/>
      <c r="I28" s="1237"/>
      <c r="J28" s="1185"/>
      <c r="K28" s="1185"/>
      <c r="L28" s="1185"/>
      <c r="M28" s="1185"/>
    </row>
    <row r="29" spans="1:16" s="240" customFormat="1" ht="28.5" customHeight="1" x14ac:dyDescent="0.25">
      <c r="B29" s="1186"/>
      <c r="C29" s="1186"/>
      <c r="D29" s="1076" t="str">
        <f>IF(COUNTIF(N31:N130,"Erro, confira o valor da distância percorrida")&gt;0,"Erro: confira of valores desta coluna","")</f>
        <v/>
      </c>
      <c r="E29" s="1186"/>
      <c r="F29" s="1186"/>
      <c r="G29" s="211" t="s">
        <v>1021</v>
      </c>
      <c r="H29" s="211" t="s">
        <v>1022</v>
      </c>
      <c r="I29" s="211" t="s">
        <v>1023</v>
      </c>
      <c r="J29" s="1186"/>
      <c r="K29" s="1186"/>
      <c r="L29" s="1186"/>
      <c r="M29" s="1186"/>
    </row>
    <row r="30" spans="1:16" s="849" customFormat="1" ht="50.25" customHeight="1" x14ac:dyDescent="0.25">
      <c r="A30" s="845" t="s">
        <v>36</v>
      </c>
      <c r="B30" s="846" t="s">
        <v>1593</v>
      </c>
      <c r="C30" s="846" t="s">
        <v>609</v>
      </c>
      <c r="D30" s="847">
        <v>1000</v>
      </c>
      <c r="E30" s="847"/>
      <c r="F30" s="846" t="s">
        <v>202</v>
      </c>
      <c r="G30" s="848">
        <v>0.26023000000000002</v>
      </c>
      <c r="H30" s="848">
        <v>8.4439999999999998E-5</v>
      </c>
      <c r="I30" s="848">
        <v>8.949999999999999E-6</v>
      </c>
      <c r="J30" s="848">
        <v>2.6023000000000002E-4</v>
      </c>
      <c r="K30" s="848">
        <v>2.3643200000000001E-6</v>
      </c>
      <c r="L30" s="848">
        <v>2.3717499999999998E-6</v>
      </c>
      <c r="M30" s="848">
        <v>2.6496607000000004E-4</v>
      </c>
    </row>
    <row r="31" spans="1:16" s="249" customFormat="1" ht="21" customHeight="1" x14ac:dyDescent="0.25">
      <c r="B31" s="278"/>
      <c r="C31" s="278"/>
      <c r="D31" s="1019"/>
      <c r="E31" s="1019"/>
      <c r="F31" s="1018" t="str">
        <f>IF(C31="","",VLOOKUP($C31,'Fatores de Emissão'!$D$86:$J$96,3,FALSE))</f>
        <v/>
      </c>
      <c r="G31" s="851" t="str">
        <f>IF(D31="","",VLOOKUP($C31,'Fatores de Emissão'!$D$86:$J$96,2,FALSE))</f>
        <v/>
      </c>
      <c r="H31" s="851" t="str">
        <f>IF(D31="","",VLOOKUP($C31,'Fatores de Emissão'!$D$86:$J$96,4,FALSE))</f>
        <v/>
      </c>
      <c r="I31" s="851" t="str">
        <f>IF(D31="","",VLOOKUP($C31,'Fatores de Emissão'!$D$86:$J$96,6,FALSE))</f>
        <v/>
      </c>
      <c r="J31" s="851" t="str">
        <f t="shared" ref="J31:J62" si="0">IFERROR(G31/1000*D31,"-")</f>
        <v>-</v>
      </c>
      <c r="K31" s="851" t="str">
        <f t="shared" ref="K31:K62" si="1">IFERROR(H31/1000*D31,"-")</f>
        <v>-</v>
      </c>
      <c r="L31" s="851" t="str">
        <f t="shared" ref="L31:L62" si="2">IFERROR(I31/1000*D31,"-")</f>
        <v>-</v>
      </c>
      <c r="M31" s="852" t="str">
        <f>IFERROR(IF(SUM(J31:L31)=0,"",J31+K31*'Fatores de Emissão'!$E$258+L31*'Fatores de Emissão'!$E$259),"")</f>
        <v/>
      </c>
      <c r="N31" s="1080" t="str">
        <f>IF(D31="","",IFERROR(D31*1,"Erro, confira o valor da distância percorrida"))</f>
        <v/>
      </c>
    </row>
    <row r="32" spans="1:16" s="268" customFormat="1" ht="21" customHeight="1" x14ac:dyDescent="0.25">
      <c r="B32" s="278"/>
      <c r="C32" s="278"/>
      <c r="D32" s="333"/>
      <c r="E32" s="333"/>
      <c r="F32" s="1018" t="str">
        <f>IF(C32="","",VLOOKUP($C32,'Fatores de Emissão'!$D$86:$J$96,3,FALSE))</f>
        <v/>
      </c>
      <c r="G32" s="851" t="str">
        <f>IF(D32="","",VLOOKUP($C32,'Fatores de Emissão'!$D$86:$J$96,2,FALSE))</f>
        <v/>
      </c>
      <c r="H32" s="851" t="str">
        <f>IF(D32="","",VLOOKUP($C32,'Fatores de Emissão'!$D$86:$J$96,4,FALSE))</f>
        <v/>
      </c>
      <c r="I32" s="851" t="str">
        <f>IF(D32="","",VLOOKUP($C32,'Fatores de Emissão'!$D$86:$J$96,6,FALSE))</f>
        <v/>
      </c>
      <c r="J32" s="851" t="str">
        <f t="shared" si="0"/>
        <v>-</v>
      </c>
      <c r="K32" s="851" t="str">
        <f t="shared" si="1"/>
        <v>-</v>
      </c>
      <c r="L32" s="851" t="str">
        <f t="shared" si="2"/>
        <v>-</v>
      </c>
      <c r="M32" s="852" t="str">
        <f>IFERROR(IF(SUM(J32:L32)=0,"",J32+K32*'Fatores de Emissão'!$E$258+L32*'Fatores de Emissão'!$E$259),"")</f>
        <v/>
      </c>
      <c r="N32" s="1080" t="str">
        <f t="shared" ref="N32:N95" si="3">IF(D32="","",IFERROR(D32*1,"Erro, confira o valor da distância percorrida"))</f>
        <v/>
      </c>
    </row>
    <row r="33" spans="2:14" s="268" customFormat="1" ht="21" customHeight="1" x14ac:dyDescent="0.25">
      <c r="B33" s="278"/>
      <c r="C33" s="278"/>
      <c r="D33" s="333"/>
      <c r="E33" s="333"/>
      <c r="F33" s="1018" t="str">
        <f>IF(C33="","",VLOOKUP($C33,'Fatores de Emissão'!$D$86:$J$96,3,FALSE))</f>
        <v/>
      </c>
      <c r="G33" s="851" t="str">
        <f>IF(D33="","",VLOOKUP($C33,'Fatores de Emissão'!$D$86:$J$96,2,FALSE))</f>
        <v/>
      </c>
      <c r="H33" s="851" t="str">
        <f>IF(D33="","",VLOOKUP($C33,'Fatores de Emissão'!$D$86:$J$96,4,FALSE))</f>
        <v/>
      </c>
      <c r="I33" s="851" t="str">
        <f>IF(D33="","",VLOOKUP($C33,'Fatores de Emissão'!$D$86:$J$96,6,FALSE))</f>
        <v/>
      </c>
      <c r="J33" s="851" t="str">
        <f t="shared" si="0"/>
        <v>-</v>
      </c>
      <c r="K33" s="851" t="str">
        <f t="shared" si="1"/>
        <v>-</v>
      </c>
      <c r="L33" s="851" t="str">
        <f t="shared" si="2"/>
        <v>-</v>
      </c>
      <c r="M33" s="852" t="str">
        <f>IFERROR(IF(SUM(J33:L33)=0,"",J33+K33*'Fatores de Emissão'!$E$258+L33*'Fatores de Emissão'!$E$259),"")</f>
        <v/>
      </c>
      <c r="N33" s="1080" t="str">
        <f t="shared" si="3"/>
        <v/>
      </c>
    </row>
    <row r="34" spans="2:14" s="249" customFormat="1" ht="21" customHeight="1" x14ac:dyDescent="0.25">
      <c r="B34" s="278"/>
      <c r="C34" s="278"/>
      <c r="D34" s="1019"/>
      <c r="E34" s="1019"/>
      <c r="F34" s="1018" t="str">
        <f>IF(C34="","",VLOOKUP($C34,'Fatores de Emissão'!$D$86:$J$96,3,FALSE))</f>
        <v/>
      </c>
      <c r="G34" s="851" t="str">
        <f>IF(D34="","",VLOOKUP($C34,'Fatores de Emissão'!$D$86:$J$96,2,FALSE))</f>
        <v/>
      </c>
      <c r="H34" s="851" t="str">
        <f>IF(D34="","",VLOOKUP($C34,'Fatores de Emissão'!$D$86:$J$96,4,FALSE))</f>
        <v/>
      </c>
      <c r="I34" s="851" t="str">
        <f>IF(D34="","",VLOOKUP($C34,'Fatores de Emissão'!$D$86:$J$96,6,FALSE))</f>
        <v/>
      </c>
      <c r="J34" s="851" t="str">
        <f t="shared" si="0"/>
        <v>-</v>
      </c>
      <c r="K34" s="851" t="str">
        <f t="shared" si="1"/>
        <v>-</v>
      </c>
      <c r="L34" s="851" t="str">
        <f t="shared" si="2"/>
        <v>-</v>
      </c>
      <c r="M34" s="852" t="str">
        <f>IFERROR(IF(SUM(J34:L34)=0,"",J34+K34*'Fatores de Emissão'!$E$258+L34*'Fatores de Emissão'!$E$259),"")</f>
        <v/>
      </c>
      <c r="N34" s="1080" t="str">
        <f t="shared" si="3"/>
        <v/>
      </c>
    </row>
    <row r="35" spans="2:14" s="249" customFormat="1" ht="21" customHeight="1" x14ac:dyDescent="0.25">
      <c r="B35" s="278"/>
      <c r="C35" s="278"/>
      <c r="D35" s="1019"/>
      <c r="E35" s="1019"/>
      <c r="F35" s="1018" t="str">
        <f>IF(C35="","",VLOOKUP($C35,'Fatores de Emissão'!$D$86:$J$96,3,FALSE))</f>
        <v/>
      </c>
      <c r="G35" s="851" t="str">
        <f>IF(D35="","",VLOOKUP($C35,'Fatores de Emissão'!$D$86:$J$96,2,FALSE))</f>
        <v/>
      </c>
      <c r="H35" s="851" t="str">
        <f>IF(D35="","",VLOOKUP($C35,'Fatores de Emissão'!$D$86:$J$96,4,FALSE))</f>
        <v/>
      </c>
      <c r="I35" s="851" t="str">
        <f>IF(D35="","",VLOOKUP($C35,'Fatores de Emissão'!$D$86:$J$96,6,FALSE))</f>
        <v/>
      </c>
      <c r="J35" s="851" t="str">
        <f t="shared" si="0"/>
        <v>-</v>
      </c>
      <c r="K35" s="851" t="str">
        <f t="shared" si="1"/>
        <v>-</v>
      </c>
      <c r="L35" s="851" t="str">
        <f t="shared" si="2"/>
        <v>-</v>
      </c>
      <c r="M35" s="852" t="str">
        <f>IFERROR(IF(SUM(J35:L35)=0,"",J35+K35*'Fatores de Emissão'!$E$258+L35*'Fatores de Emissão'!$E$259),"")</f>
        <v/>
      </c>
      <c r="N35" s="1080" t="str">
        <f t="shared" si="3"/>
        <v/>
      </c>
    </row>
    <row r="36" spans="2:14" s="249" customFormat="1" ht="21" customHeight="1" x14ac:dyDescent="0.25">
      <c r="B36" s="278"/>
      <c r="C36" s="278"/>
      <c r="D36" s="1019"/>
      <c r="E36" s="1019"/>
      <c r="F36" s="1018" t="str">
        <f>IF(C36="","",VLOOKUP($C36,'Fatores de Emissão'!$D$86:$J$96,3,FALSE))</f>
        <v/>
      </c>
      <c r="G36" s="851" t="str">
        <f>IF(D36="","",VLOOKUP($C36,'Fatores de Emissão'!$D$86:$J$96,2,FALSE))</f>
        <v/>
      </c>
      <c r="H36" s="851" t="str">
        <f>IF(D36="","",VLOOKUP($C36,'Fatores de Emissão'!$D$86:$J$96,4,FALSE))</f>
        <v/>
      </c>
      <c r="I36" s="851" t="str">
        <f>IF(D36="","",VLOOKUP($C36,'Fatores de Emissão'!$D$86:$J$96,6,FALSE))</f>
        <v/>
      </c>
      <c r="J36" s="851" t="str">
        <f t="shared" si="0"/>
        <v>-</v>
      </c>
      <c r="K36" s="851" t="str">
        <f t="shared" si="1"/>
        <v>-</v>
      </c>
      <c r="L36" s="851" t="str">
        <f t="shared" si="2"/>
        <v>-</v>
      </c>
      <c r="M36" s="852" t="str">
        <f>IFERROR(IF(SUM(J36:L36)=0,"",J36+K36*'Fatores de Emissão'!$E$258+L36*'Fatores de Emissão'!$E$259),"")</f>
        <v/>
      </c>
      <c r="N36" s="1080" t="str">
        <f t="shared" si="3"/>
        <v/>
      </c>
    </row>
    <row r="37" spans="2:14" s="249" customFormat="1" ht="21" customHeight="1" x14ac:dyDescent="0.25">
      <c r="B37" s="278"/>
      <c r="C37" s="278"/>
      <c r="D37" s="1019"/>
      <c r="E37" s="1019"/>
      <c r="F37" s="1018" t="str">
        <f>IF(C37="","",VLOOKUP($C37,'Fatores de Emissão'!$D$86:$J$96,3,FALSE))</f>
        <v/>
      </c>
      <c r="G37" s="851" t="str">
        <f>IF(D37="","",VLOOKUP($C37,'Fatores de Emissão'!$D$86:$J$96,2,FALSE))</f>
        <v/>
      </c>
      <c r="H37" s="851" t="str">
        <f>IF(D37="","",VLOOKUP($C37,'Fatores de Emissão'!$D$86:$J$96,4,FALSE))</f>
        <v/>
      </c>
      <c r="I37" s="851" t="str">
        <f>IF(D37="","",VLOOKUP($C37,'Fatores de Emissão'!$D$86:$J$96,6,FALSE))</f>
        <v/>
      </c>
      <c r="J37" s="851" t="str">
        <f t="shared" si="0"/>
        <v>-</v>
      </c>
      <c r="K37" s="851" t="str">
        <f t="shared" si="1"/>
        <v>-</v>
      </c>
      <c r="L37" s="851" t="str">
        <f t="shared" si="2"/>
        <v>-</v>
      </c>
      <c r="M37" s="852" t="str">
        <f>IFERROR(IF(SUM(J37:L37)=0,"",J37+K37*'Fatores de Emissão'!$E$258+L37*'Fatores de Emissão'!$E$259),"")</f>
        <v/>
      </c>
      <c r="N37" s="1080" t="str">
        <f t="shared" si="3"/>
        <v/>
      </c>
    </row>
    <row r="38" spans="2:14" s="249" customFormat="1" ht="21" customHeight="1" x14ac:dyDescent="0.25">
      <c r="B38" s="278"/>
      <c r="C38" s="278"/>
      <c r="D38" s="1019"/>
      <c r="E38" s="1019"/>
      <c r="F38" s="1018" t="str">
        <f>IF(C38="","",VLOOKUP($C38,'Fatores de Emissão'!$D$86:$J$96,3,FALSE))</f>
        <v/>
      </c>
      <c r="G38" s="851" t="str">
        <f>IF(D38="","",VLOOKUP($C38,'Fatores de Emissão'!$D$86:$J$96,2,FALSE))</f>
        <v/>
      </c>
      <c r="H38" s="851" t="str">
        <f>IF(D38="","",VLOOKUP($C38,'Fatores de Emissão'!$D$86:$J$96,4,FALSE))</f>
        <v/>
      </c>
      <c r="I38" s="851" t="str">
        <f>IF(D38="","",VLOOKUP($C38,'Fatores de Emissão'!$D$86:$J$96,6,FALSE))</f>
        <v/>
      </c>
      <c r="J38" s="851" t="str">
        <f t="shared" si="0"/>
        <v>-</v>
      </c>
      <c r="K38" s="851" t="str">
        <f t="shared" si="1"/>
        <v>-</v>
      </c>
      <c r="L38" s="851" t="str">
        <f t="shared" si="2"/>
        <v>-</v>
      </c>
      <c r="M38" s="852" t="str">
        <f>IFERROR(IF(SUM(J38:L38)=0,"",J38+K38*'Fatores de Emissão'!$E$258+L38*'Fatores de Emissão'!$E$259),"")</f>
        <v/>
      </c>
      <c r="N38" s="1080" t="str">
        <f t="shared" si="3"/>
        <v/>
      </c>
    </row>
    <row r="39" spans="2:14" s="249" customFormat="1" ht="21" customHeight="1" x14ac:dyDescent="0.25">
      <c r="B39" s="278"/>
      <c r="C39" s="278"/>
      <c r="D39" s="1019"/>
      <c r="E39" s="1019"/>
      <c r="F39" s="1018" t="str">
        <f>IF(C39="","",VLOOKUP($C39,'Fatores de Emissão'!$D$86:$J$96,3,FALSE))</f>
        <v/>
      </c>
      <c r="G39" s="851" t="str">
        <f>IF(D39="","",VLOOKUP($C39,'Fatores de Emissão'!$D$86:$J$96,2,FALSE))</f>
        <v/>
      </c>
      <c r="H39" s="851" t="str">
        <f>IF(D39="","",VLOOKUP($C39,'Fatores de Emissão'!$D$86:$J$96,4,FALSE))</f>
        <v/>
      </c>
      <c r="I39" s="851" t="str">
        <f>IF(D39="","",VLOOKUP($C39,'Fatores de Emissão'!$D$86:$J$96,6,FALSE))</f>
        <v/>
      </c>
      <c r="J39" s="851" t="str">
        <f t="shared" si="0"/>
        <v>-</v>
      </c>
      <c r="K39" s="851" t="str">
        <f t="shared" si="1"/>
        <v>-</v>
      </c>
      <c r="L39" s="851" t="str">
        <f t="shared" si="2"/>
        <v>-</v>
      </c>
      <c r="M39" s="852" t="str">
        <f>IFERROR(IF(SUM(J39:L39)=0,"",J39+K39*'Fatores de Emissão'!$E$258+L39*'Fatores de Emissão'!$E$259),"")</f>
        <v/>
      </c>
      <c r="N39" s="1080" t="str">
        <f t="shared" si="3"/>
        <v/>
      </c>
    </row>
    <row r="40" spans="2:14" s="249" customFormat="1" ht="21" customHeight="1" x14ac:dyDescent="0.25">
      <c r="B40" s="278"/>
      <c r="C40" s="278"/>
      <c r="D40" s="1019"/>
      <c r="E40" s="1019"/>
      <c r="F40" s="1018" t="str">
        <f>IF(C40="","",VLOOKUP($C40,'Fatores de Emissão'!$D$86:$J$96,3,FALSE))</f>
        <v/>
      </c>
      <c r="G40" s="851" t="str">
        <f>IF(D40="","",VLOOKUP($C40,'Fatores de Emissão'!$D$86:$J$96,2,FALSE))</f>
        <v/>
      </c>
      <c r="H40" s="851" t="str">
        <f>IF(D40="","",VLOOKUP($C40,'Fatores de Emissão'!$D$86:$J$96,4,FALSE))</f>
        <v/>
      </c>
      <c r="I40" s="851" t="str">
        <f>IF(D40="","",VLOOKUP($C40,'Fatores de Emissão'!$D$86:$J$96,6,FALSE))</f>
        <v/>
      </c>
      <c r="J40" s="851" t="str">
        <f t="shared" si="0"/>
        <v>-</v>
      </c>
      <c r="K40" s="851" t="str">
        <f t="shared" si="1"/>
        <v>-</v>
      </c>
      <c r="L40" s="851" t="str">
        <f t="shared" si="2"/>
        <v>-</v>
      </c>
      <c r="M40" s="852" t="str">
        <f>IFERROR(IF(SUM(J40:L40)=0,"",J40+K40*'Fatores de Emissão'!$E$258+L40*'Fatores de Emissão'!$E$259),"")</f>
        <v/>
      </c>
      <c r="N40" s="1080" t="str">
        <f t="shared" si="3"/>
        <v/>
      </c>
    </row>
    <row r="41" spans="2:14" s="249" customFormat="1" ht="21" customHeight="1" x14ac:dyDescent="0.25">
      <c r="B41" s="278"/>
      <c r="C41" s="278"/>
      <c r="D41" s="1019"/>
      <c r="E41" s="1019"/>
      <c r="F41" s="1018" t="str">
        <f>IF(C41="","",VLOOKUP($C41,'Fatores de Emissão'!$D$86:$J$96,3,FALSE))</f>
        <v/>
      </c>
      <c r="G41" s="851" t="str">
        <f>IF(D41="","",VLOOKUP($C41,'Fatores de Emissão'!$D$86:$J$96,2,FALSE))</f>
        <v/>
      </c>
      <c r="H41" s="851" t="str">
        <f>IF(D41="","",VLOOKUP($C41,'Fatores de Emissão'!$D$86:$J$96,4,FALSE))</f>
        <v/>
      </c>
      <c r="I41" s="851" t="str">
        <f>IF(D41="","",VLOOKUP($C41,'Fatores de Emissão'!$D$86:$J$96,6,FALSE))</f>
        <v/>
      </c>
      <c r="J41" s="851" t="str">
        <f t="shared" si="0"/>
        <v>-</v>
      </c>
      <c r="K41" s="851" t="str">
        <f t="shared" si="1"/>
        <v>-</v>
      </c>
      <c r="L41" s="851" t="str">
        <f t="shared" si="2"/>
        <v>-</v>
      </c>
      <c r="M41" s="852" t="str">
        <f>IFERROR(IF(SUM(J41:L41)=0,"",J41+K41*'Fatores de Emissão'!$E$258+L41*'Fatores de Emissão'!$E$259),"")</f>
        <v/>
      </c>
      <c r="N41" s="1080" t="str">
        <f t="shared" si="3"/>
        <v/>
      </c>
    </row>
    <row r="42" spans="2:14" s="249" customFormat="1" ht="21" hidden="1" customHeight="1" outlineLevel="1" x14ac:dyDescent="0.25">
      <c r="B42" s="278"/>
      <c r="C42" s="278"/>
      <c r="D42" s="1019"/>
      <c r="E42" s="1019"/>
      <c r="F42" s="1018" t="str">
        <f>IF(C42="","",VLOOKUP($C42,'Fatores de Emissão'!$D$86:$J$96,3,FALSE))</f>
        <v/>
      </c>
      <c r="G42" s="851" t="str">
        <f>IF(D42="","",VLOOKUP($C42,'Fatores de Emissão'!$D$86:$J$96,2,FALSE))</f>
        <v/>
      </c>
      <c r="H42" s="851" t="str">
        <f>IF(D42="","",VLOOKUP($C42,'Fatores de Emissão'!$D$86:$J$96,4,FALSE))</f>
        <v/>
      </c>
      <c r="I42" s="851" t="str">
        <f>IF(D42="","",VLOOKUP($C42,'Fatores de Emissão'!$D$86:$J$96,6,FALSE))</f>
        <v/>
      </c>
      <c r="J42" s="851" t="str">
        <f t="shared" si="0"/>
        <v>-</v>
      </c>
      <c r="K42" s="851" t="str">
        <f t="shared" si="1"/>
        <v>-</v>
      </c>
      <c r="L42" s="851" t="str">
        <f t="shared" si="2"/>
        <v>-</v>
      </c>
      <c r="M42" s="852" t="str">
        <f>IFERROR(IF(SUM(J42:L42)=0,"",J42+K42*'Fatores de Emissão'!$E$258+L42*'Fatores de Emissão'!$E$259),"")</f>
        <v/>
      </c>
      <c r="N42" s="1080" t="str">
        <f t="shared" si="3"/>
        <v/>
      </c>
    </row>
    <row r="43" spans="2:14" s="249" customFormat="1" ht="19.899999999999999" hidden="1" customHeight="1" outlineLevel="1" x14ac:dyDescent="0.25">
      <c r="B43" s="278"/>
      <c r="C43" s="278"/>
      <c r="D43" s="1019"/>
      <c r="E43" s="1019"/>
      <c r="F43" s="1018" t="str">
        <f>IF(C43="","",VLOOKUP($C43,'Fatores de Emissão'!$D$86:$J$96,3,FALSE))</f>
        <v/>
      </c>
      <c r="G43" s="851" t="str">
        <f>IF(D43="","",VLOOKUP($C43,'Fatores de Emissão'!$D$86:$J$96,2,FALSE))</f>
        <v/>
      </c>
      <c r="H43" s="851" t="str">
        <f>IF(D43="","",VLOOKUP($C43,'Fatores de Emissão'!$D$86:$J$96,4,FALSE))</f>
        <v/>
      </c>
      <c r="I43" s="851" t="str">
        <f>IF(D43="","",VLOOKUP($C43,'Fatores de Emissão'!$D$86:$J$96,6,FALSE))</f>
        <v/>
      </c>
      <c r="J43" s="851" t="str">
        <f t="shared" si="0"/>
        <v>-</v>
      </c>
      <c r="K43" s="851" t="str">
        <f t="shared" si="1"/>
        <v>-</v>
      </c>
      <c r="L43" s="851" t="str">
        <f t="shared" si="2"/>
        <v>-</v>
      </c>
      <c r="M43" s="852" t="str">
        <f>IFERROR(IF(SUM(J43:L43)=0,"",J43+K43*'Fatores de Emissão'!$E$258+L43*'Fatores de Emissão'!$E$259),"")</f>
        <v/>
      </c>
      <c r="N43" s="1080" t="str">
        <f t="shared" si="3"/>
        <v/>
      </c>
    </row>
    <row r="44" spans="2:14" s="249" customFormat="1" ht="19.899999999999999" hidden="1" customHeight="1" outlineLevel="1" x14ac:dyDescent="0.25">
      <c r="B44" s="278"/>
      <c r="C44" s="278"/>
      <c r="D44" s="1019"/>
      <c r="E44" s="1019"/>
      <c r="F44" s="1018" t="str">
        <f>IF(C44="","",VLOOKUP($C44,'Fatores de Emissão'!$D$86:$J$96,3,FALSE))</f>
        <v/>
      </c>
      <c r="G44" s="851" t="str">
        <f>IF(D44="","",VLOOKUP($C44,'Fatores de Emissão'!$D$86:$J$96,2,FALSE))</f>
        <v/>
      </c>
      <c r="H44" s="851" t="str">
        <f>IF(D44="","",VLOOKUP($C44,'Fatores de Emissão'!$D$86:$J$96,4,FALSE))</f>
        <v/>
      </c>
      <c r="I44" s="851" t="str">
        <f>IF(D44="","",VLOOKUP($C44,'Fatores de Emissão'!$D$86:$J$96,6,FALSE))</f>
        <v/>
      </c>
      <c r="J44" s="851" t="str">
        <f t="shared" si="0"/>
        <v>-</v>
      </c>
      <c r="K44" s="851" t="str">
        <f t="shared" si="1"/>
        <v>-</v>
      </c>
      <c r="L44" s="851" t="str">
        <f t="shared" si="2"/>
        <v>-</v>
      </c>
      <c r="M44" s="852" t="str">
        <f>IFERROR(IF(SUM(J44:L44)=0,"",J44+K44*'Fatores de Emissão'!$E$258+L44*'Fatores de Emissão'!$E$259),"")</f>
        <v/>
      </c>
      <c r="N44" s="1080" t="str">
        <f t="shared" si="3"/>
        <v/>
      </c>
    </row>
    <row r="45" spans="2:14" s="249" customFormat="1" ht="19.899999999999999" hidden="1" customHeight="1" outlineLevel="1" x14ac:dyDescent="0.25">
      <c r="B45" s="278"/>
      <c r="C45" s="278"/>
      <c r="D45" s="1019"/>
      <c r="E45" s="1019"/>
      <c r="F45" s="1018" t="str">
        <f>IF(C45="","",VLOOKUP($C45,'Fatores de Emissão'!$D$86:$J$96,3,FALSE))</f>
        <v/>
      </c>
      <c r="G45" s="851" t="str">
        <f>IF(D45="","",VLOOKUP($C45,'Fatores de Emissão'!$D$86:$J$96,2,FALSE))</f>
        <v/>
      </c>
      <c r="H45" s="851" t="str">
        <f>IF(D45="","",VLOOKUP($C45,'Fatores de Emissão'!$D$86:$J$96,4,FALSE))</f>
        <v/>
      </c>
      <c r="I45" s="851" t="str">
        <f>IF(D45="","",VLOOKUP($C45,'Fatores de Emissão'!$D$86:$J$96,6,FALSE))</f>
        <v/>
      </c>
      <c r="J45" s="851" t="str">
        <f t="shared" si="0"/>
        <v>-</v>
      </c>
      <c r="K45" s="851" t="str">
        <f t="shared" si="1"/>
        <v>-</v>
      </c>
      <c r="L45" s="851" t="str">
        <f t="shared" si="2"/>
        <v>-</v>
      </c>
      <c r="M45" s="852" t="str">
        <f>IFERROR(IF(SUM(J45:L45)=0,"",J45+K45*'Fatores de Emissão'!$E$258+L45*'Fatores de Emissão'!$E$259),"")</f>
        <v/>
      </c>
      <c r="N45" s="1080" t="str">
        <f t="shared" si="3"/>
        <v/>
      </c>
    </row>
    <row r="46" spans="2:14" s="249" customFormat="1" ht="19.899999999999999" hidden="1" customHeight="1" outlineLevel="1" x14ac:dyDescent="0.25">
      <c r="B46" s="278"/>
      <c r="C46" s="278"/>
      <c r="D46" s="1019"/>
      <c r="E46" s="1019"/>
      <c r="F46" s="1018" t="str">
        <f>IF(C46="","",VLOOKUP($C46,'Fatores de Emissão'!$D$86:$J$96,3,FALSE))</f>
        <v/>
      </c>
      <c r="G46" s="851" t="str">
        <f>IF(D46="","",VLOOKUP($C46,'Fatores de Emissão'!$D$86:$J$96,2,FALSE))</f>
        <v/>
      </c>
      <c r="H46" s="851" t="str">
        <f>IF(D46="","",VLOOKUP($C46,'Fatores de Emissão'!$D$86:$J$96,4,FALSE))</f>
        <v/>
      </c>
      <c r="I46" s="851" t="str">
        <f>IF(D46="","",VLOOKUP($C46,'Fatores de Emissão'!$D$86:$J$96,6,FALSE))</f>
        <v/>
      </c>
      <c r="J46" s="851" t="str">
        <f t="shared" si="0"/>
        <v>-</v>
      </c>
      <c r="K46" s="851" t="str">
        <f t="shared" si="1"/>
        <v>-</v>
      </c>
      <c r="L46" s="851" t="str">
        <f t="shared" si="2"/>
        <v>-</v>
      </c>
      <c r="M46" s="852" t="str">
        <f>IFERROR(IF(SUM(J46:L46)=0,"",J46+K46*'Fatores de Emissão'!$E$258+L46*'Fatores de Emissão'!$E$259),"")</f>
        <v/>
      </c>
      <c r="N46" s="1080" t="str">
        <f t="shared" si="3"/>
        <v/>
      </c>
    </row>
    <row r="47" spans="2:14" s="249" customFormat="1" ht="19.899999999999999" hidden="1" customHeight="1" outlineLevel="1" x14ac:dyDescent="0.25">
      <c r="B47" s="278"/>
      <c r="C47" s="278"/>
      <c r="D47" s="1019"/>
      <c r="E47" s="1019"/>
      <c r="F47" s="1018" t="str">
        <f>IF(C47="","",VLOOKUP($C47,'Fatores de Emissão'!$D$86:$J$96,3,FALSE))</f>
        <v/>
      </c>
      <c r="G47" s="851" t="str">
        <f>IF(D47="","",VLOOKUP($C47,'Fatores de Emissão'!$D$86:$J$96,2,FALSE))</f>
        <v/>
      </c>
      <c r="H47" s="851" t="str">
        <f>IF(D47="","",VLOOKUP($C47,'Fatores de Emissão'!$D$86:$J$96,4,FALSE))</f>
        <v/>
      </c>
      <c r="I47" s="851" t="str">
        <f>IF(D47="","",VLOOKUP($C47,'Fatores de Emissão'!$D$86:$J$96,6,FALSE))</f>
        <v/>
      </c>
      <c r="J47" s="851" t="str">
        <f t="shared" si="0"/>
        <v>-</v>
      </c>
      <c r="K47" s="851" t="str">
        <f t="shared" si="1"/>
        <v>-</v>
      </c>
      <c r="L47" s="851" t="str">
        <f t="shared" si="2"/>
        <v>-</v>
      </c>
      <c r="M47" s="852" t="str">
        <f>IFERROR(IF(SUM(J47:L47)=0,"",J47+K47*'Fatores de Emissão'!$E$258+L47*'Fatores de Emissão'!$E$259),"")</f>
        <v/>
      </c>
      <c r="N47" s="1080" t="str">
        <f t="shared" si="3"/>
        <v/>
      </c>
    </row>
    <row r="48" spans="2:14" s="249" customFormat="1" ht="19.899999999999999" hidden="1" customHeight="1" outlineLevel="1" x14ac:dyDescent="0.25">
      <c r="B48" s="278"/>
      <c r="C48" s="278"/>
      <c r="D48" s="1019"/>
      <c r="E48" s="1019"/>
      <c r="F48" s="1018" t="str">
        <f>IF(C48="","",VLOOKUP($C48,'Fatores de Emissão'!$D$86:$J$96,3,FALSE))</f>
        <v/>
      </c>
      <c r="G48" s="851" t="str">
        <f>IF(D48="","",VLOOKUP($C48,'Fatores de Emissão'!$D$86:$J$96,2,FALSE))</f>
        <v/>
      </c>
      <c r="H48" s="851" t="str">
        <f>IF(D48="","",VLOOKUP($C48,'Fatores de Emissão'!$D$86:$J$96,4,FALSE))</f>
        <v/>
      </c>
      <c r="I48" s="851" t="str">
        <f>IF(D48="","",VLOOKUP($C48,'Fatores de Emissão'!$D$86:$J$96,6,FALSE))</f>
        <v/>
      </c>
      <c r="J48" s="851" t="str">
        <f t="shared" si="0"/>
        <v>-</v>
      </c>
      <c r="K48" s="851" t="str">
        <f t="shared" si="1"/>
        <v>-</v>
      </c>
      <c r="L48" s="851" t="str">
        <f t="shared" si="2"/>
        <v>-</v>
      </c>
      <c r="M48" s="852" t="str">
        <f>IFERROR(IF(SUM(J48:L48)=0,"",J48+K48*'Fatores de Emissão'!$E$258+L48*'Fatores de Emissão'!$E$259),"")</f>
        <v/>
      </c>
      <c r="N48" s="1080" t="str">
        <f t="shared" si="3"/>
        <v/>
      </c>
    </row>
    <row r="49" spans="2:14" s="249" customFormat="1" ht="19.899999999999999" hidden="1" customHeight="1" outlineLevel="2" x14ac:dyDescent="0.25">
      <c r="B49" s="278"/>
      <c r="C49" s="278"/>
      <c r="D49" s="1019"/>
      <c r="E49" s="1019"/>
      <c r="F49" s="1018" t="str">
        <f>IF(C49="","",VLOOKUP($C49,'Fatores de Emissão'!$D$86:$J$96,3,FALSE))</f>
        <v/>
      </c>
      <c r="G49" s="851" t="str">
        <f>IF(D49="","",VLOOKUP($C49,'Fatores de Emissão'!$D$86:$J$96,2,FALSE))</f>
        <v/>
      </c>
      <c r="H49" s="851" t="str">
        <f>IF(D49="","",VLOOKUP($C49,'Fatores de Emissão'!$D$86:$J$96,4,FALSE))</f>
        <v/>
      </c>
      <c r="I49" s="851" t="str">
        <f>IF(D49="","",VLOOKUP($C49,'Fatores de Emissão'!$D$86:$J$96,6,FALSE))</f>
        <v/>
      </c>
      <c r="J49" s="851" t="str">
        <f t="shared" si="0"/>
        <v>-</v>
      </c>
      <c r="K49" s="851" t="str">
        <f t="shared" si="1"/>
        <v>-</v>
      </c>
      <c r="L49" s="851" t="str">
        <f t="shared" si="2"/>
        <v>-</v>
      </c>
      <c r="M49" s="852" t="str">
        <f>IFERROR(IF(SUM(J49:L49)=0,"",J49+K49*'Fatores de Emissão'!$E$258+L49*'Fatores de Emissão'!$E$259),"")</f>
        <v/>
      </c>
      <c r="N49" s="1080" t="str">
        <f t="shared" si="3"/>
        <v/>
      </c>
    </row>
    <row r="50" spans="2:14" s="249" customFormat="1" ht="19.899999999999999" hidden="1" customHeight="1" outlineLevel="2" x14ac:dyDescent="0.25">
      <c r="B50" s="278"/>
      <c r="C50" s="278"/>
      <c r="D50" s="1019"/>
      <c r="E50" s="1019"/>
      <c r="F50" s="1018" t="str">
        <f>IF(C50="","",VLOOKUP($C50,'Fatores de Emissão'!$D$86:$J$96,3,FALSE))</f>
        <v/>
      </c>
      <c r="G50" s="851" t="str">
        <f>IF(D50="","",VLOOKUP($C50,'Fatores de Emissão'!$D$86:$J$96,2,FALSE))</f>
        <v/>
      </c>
      <c r="H50" s="851" t="str">
        <f>IF(D50="","",VLOOKUP($C50,'Fatores de Emissão'!$D$86:$J$96,4,FALSE))</f>
        <v/>
      </c>
      <c r="I50" s="851" t="str">
        <f>IF(D50="","",VLOOKUP($C50,'Fatores de Emissão'!$D$86:$J$96,6,FALSE))</f>
        <v/>
      </c>
      <c r="J50" s="851" t="str">
        <f t="shared" si="0"/>
        <v>-</v>
      </c>
      <c r="K50" s="851" t="str">
        <f t="shared" si="1"/>
        <v>-</v>
      </c>
      <c r="L50" s="851" t="str">
        <f t="shared" si="2"/>
        <v>-</v>
      </c>
      <c r="M50" s="852" t="str">
        <f>IFERROR(IF(SUM(J50:L50)=0,"",J50+K50*'Fatores de Emissão'!$E$258+L50*'Fatores de Emissão'!$E$259),"")</f>
        <v/>
      </c>
      <c r="N50" s="1080" t="str">
        <f t="shared" si="3"/>
        <v/>
      </c>
    </row>
    <row r="51" spans="2:14" s="249" customFormat="1" ht="19.899999999999999" hidden="1" customHeight="1" outlineLevel="2" x14ac:dyDescent="0.25">
      <c r="B51" s="278"/>
      <c r="C51" s="278"/>
      <c r="D51" s="1019"/>
      <c r="E51" s="1019"/>
      <c r="F51" s="1018" t="str">
        <f>IF(C51="","",VLOOKUP($C51,'Fatores de Emissão'!$D$86:$J$96,3,FALSE))</f>
        <v/>
      </c>
      <c r="G51" s="851" t="str">
        <f>IF(D51="","",VLOOKUP($C51,'Fatores de Emissão'!$D$86:$J$96,2,FALSE))</f>
        <v/>
      </c>
      <c r="H51" s="851" t="str">
        <f>IF(D51="","",VLOOKUP($C51,'Fatores de Emissão'!$D$86:$J$96,4,FALSE))</f>
        <v/>
      </c>
      <c r="I51" s="851" t="str">
        <f>IF(D51="","",VLOOKUP($C51,'Fatores de Emissão'!$D$86:$J$96,6,FALSE))</f>
        <v/>
      </c>
      <c r="J51" s="851" t="str">
        <f t="shared" si="0"/>
        <v>-</v>
      </c>
      <c r="K51" s="851" t="str">
        <f t="shared" si="1"/>
        <v>-</v>
      </c>
      <c r="L51" s="851" t="str">
        <f t="shared" si="2"/>
        <v>-</v>
      </c>
      <c r="M51" s="852" t="str">
        <f>IFERROR(IF(SUM(J51:L51)=0,"",J51+K51*'Fatores de Emissão'!$E$258+L51*'Fatores de Emissão'!$E$259),"")</f>
        <v/>
      </c>
      <c r="N51" s="1080" t="str">
        <f t="shared" si="3"/>
        <v/>
      </c>
    </row>
    <row r="52" spans="2:14" s="249" customFormat="1" ht="19.899999999999999" hidden="1" customHeight="1" outlineLevel="2" x14ac:dyDescent="0.25">
      <c r="B52" s="278"/>
      <c r="C52" s="278"/>
      <c r="D52" s="1019"/>
      <c r="E52" s="1019"/>
      <c r="F52" s="1018" t="str">
        <f>IF(C52="","",VLOOKUP($C52,'Fatores de Emissão'!$D$86:$J$96,3,FALSE))</f>
        <v/>
      </c>
      <c r="G52" s="851" t="str">
        <f>IF(D52="","",VLOOKUP($C52,'Fatores de Emissão'!$D$86:$J$96,2,FALSE))</f>
        <v/>
      </c>
      <c r="H52" s="851" t="str">
        <f>IF(D52="","",VLOOKUP($C52,'Fatores de Emissão'!$D$86:$J$96,4,FALSE))</f>
        <v/>
      </c>
      <c r="I52" s="851" t="str">
        <f>IF(D52="","",VLOOKUP($C52,'Fatores de Emissão'!$D$86:$J$96,6,FALSE))</f>
        <v/>
      </c>
      <c r="J52" s="851" t="str">
        <f t="shared" si="0"/>
        <v>-</v>
      </c>
      <c r="K52" s="851" t="str">
        <f t="shared" si="1"/>
        <v>-</v>
      </c>
      <c r="L52" s="851" t="str">
        <f t="shared" si="2"/>
        <v>-</v>
      </c>
      <c r="M52" s="852" t="str">
        <f>IFERROR(IF(SUM(J52:L52)=0,"",J52+K52*'Fatores de Emissão'!$E$258+L52*'Fatores de Emissão'!$E$259),"")</f>
        <v/>
      </c>
      <c r="N52" s="1080" t="str">
        <f t="shared" si="3"/>
        <v/>
      </c>
    </row>
    <row r="53" spans="2:14" s="249" customFormat="1" ht="19.899999999999999" hidden="1" customHeight="1" outlineLevel="2" x14ac:dyDescent="0.25">
      <c r="B53" s="278"/>
      <c r="C53" s="278"/>
      <c r="D53" s="1019"/>
      <c r="E53" s="1019"/>
      <c r="F53" s="1018" t="str">
        <f>IF(C53="","",VLOOKUP($C53,'Fatores de Emissão'!$D$86:$J$96,3,FALSE))</f>
        <v/>
      </c>
      <c r="G53" s="851" t="str">
        <f>IF(D53="","",VLOOKUP($C53,'Fatores de Emissão'!$D$86:$J$96,2,FALSE))</f>
        <v/>
      </c>
      <c r="H53" s="851" t="str">
        <f>IF(D53="","",VLOOKUP($C53,'Fatores de Emissão'!$D$86:$J$96,4,FALSE))</f>
        <v/>
      </c>
      <c r="I53" s="851" t="str">
        <f>IF(D53="","",VLOOKUP($C53,'Fatores de Emissão'!$D$86:$J$96,6,FALSE))</f>
        <v/>
      </c>
      <c r="J53" s="851" t="str">
        <f t="shared" si="0"/>
        <v>-</v>
      </c>
      <c r="K53" s="851" t="str">
        <f t="shared" si="1"/>
        <v>-</v>
      </c>
      <c r="L53" s="851" t="str">
        <f t="shared" si="2"/>
        <v>-</v>
      </c>
      <c r="M53" s="852" t="str">
        <f>IFERROR(IF(SUM(J53:L53)=0,"",J53+K53*'Fatores de Emissão'!$E$258+L53*'Fatores de Emissão'!$E$259),"")</f>
        <v/>
      </c>
      <c r="N53" s="1080" t="str">
        <f t="shared" si="3"/>
        <v/>
      </c>
    </row>
    <row r="54" spans="2:14" s="249" customFormat="1" ht="19.899999999999999" hidden="1" customHeight="1" outlineLevel="2" x14ac:dyDescent="0.25">
      <c r="B54" s="278"/>
      <c r="C54" s="278"/>
      <c r="D54" s="1019"/>
      <c r="E54" s="1019"/>
      <c r="F54" s="1018" t="str">
        <f>IF(C54="","",VLOOKUP($C54,'Fatores de Emissão'!$D$86:$J$96,3,FALSE))</f>
        <v/>
      </c>
      <c r="G54" s="851" t="str">
        <f>IF(D54="","",VLOOKUP($C54,'Fatores de Emissão'!$D$86:$J$96,2,FALSE))</f>
        <v/>
      </c>
      <c r="H54" s="851" t="str">
        <f>IF(D54="","",VLOOKUP($C54,'Fatores de Emissão'!$D$86:$J$96,4,FALSE))</f>
        <v/>
      </c>
      <c r="I54" s="851" t="str">
        <f>IF(D54="","",VLOOKUP($C54,'Fatores de Emissão'!$D$86:$J$96,6,FALSE))</f>
        <v/>
      </c>
      <c r="J54" s="851" t="str">
        <f t="shared" si="0"/>
        <v>-</v>
      </c>
      <c r="K54" s="851" t="str">
        <f t="shared" si="1"/>
        <v>-</v>
      </c>
      <c r="L54" s="851" t="str">
        <f t="shared" si="2"/>
        <v>-</v>
      </c>
      <c r="M54" s="852" t="str">
        <f>IFERROR(IF(SUM(J54:L54)=0,"",J54+K54*'Fatores de Emissão'!$E$258+L54*'Fatores de Emissão'!$E$259),"")</f>
        <v/>
      </c>
      <c r="N54" s="1080" t="str">
        <f t="shared" si="3"/>
        <v/>
      </c>
    </row>
    <row r="55" spans="2:14" s="249" customFormat="1" ht="19.899999999999999" hidden="1" customHeight="1" outlineLevel="2" x14ac:dyDescent="0.25">
      <c r="B55" s="278"/>
      <c r="C55" s="278"/>
      <c r="D55" s="1019"/>
      <c r="E55" s="1019"/>
      <c r="F55" s="1018" t="str">
        <f>IF(C55="","",VLOOKUP($C55,'Fatores de Emissão'!$D$86:$J$96,3,FALSE))</f>
        <v/>
      </c>
      <c r="G55" s="851" t="str">
        <f>IF(D55="","",VLOOKUP($C55,'Fatores de Emissão'!$D$86:$J$96,2,FALSE))</f>
        <v/>
      </c>
      <c r="H55" s="851" t="str">
        <f>IF(D55="","",VLOOKUP($C55,'Fatores de Emissão'!$D$86:$J$96,4,FALSE))</f>
        <v/>
      </c>
      <c r="I55" s="851" t="str">
        <f>IF(D55="","",VLOOKUP($C55,'Fatores de Emissão'!$D$86:$J$96,6,FALSE))</f>
        <v/>
      </c>
      <c r="J55" s="851" t="str">
        <f t="shared" si="0"/>
        <v>-</v>
      </c>
      <c r="K55" s="851" t="str">
        <f t="shared" si="1"/>
        <v>-</v>
      </c>
      <c r="L55" s="851" t="str">
        <f t="shared" si="2"/>
        <v>-</v>
      </c>
      <c r="M55" s="852" t="str">
        <f>IFERROR(IF(SUM(J55:L55)=0,"",J55+K55*'Fatores de Emissão'!$E$258+L55*'Fatores de Emissão'!$E$259),"")</f>
        <v/>
      </c>
      <c r="N55" s="1080" t="str">
        <f t="shared" si="3"/>
        <v/>
      </c>
    </row>
    <row r="56" spans="2:14" s="249" customFormat="1" ht="19.899999999999999" hidden="1" customHeight="1" outlineLevel="2" x14ac:dyDescent="0.25">
      <c r="B56" s="278"/>
      <c r="C56" s="278"/>
      <c r="D56" s="1019"/>
      <c r="E56" s="1019"/>
      <c r="F56" s="1018" t="str">
        <f>IF(C56="","",VLOOKUP($C56,'Fatores de Emissão'!$D$86:$J$96,3,FALSE))</f>
        <v/>
      </c>
      <c r="G56" s="851" t="str">
        <f>IF(D56="","",VLOOKUP($C56,'Fatores de Emissão'!$D$86:$J$96,2,FALSE))</f>
        <v/>
      </c>
      <c r="H56" s="851" t="str">
        <f>IF(D56="","",VLOOKUP($C56,'Fatores de Emissão'!$D$86:$J$96,4,FALSE))</f>
        <v/>
      </c>
      <c r="I56" s="851" t="str">
        <f>IF(D56="","",VLOOKUP($C56,'Fatores de Emissão'!$D$86:$J$96,6,FALSE))</f>
        <v/>
      </c>
      <c r="J56" s="851" t="str">
        <f t="shared" si="0"/>
        <v>-</v>
      </c>
      <c r="K56" s="851" t="str">
        <f t="shared" si="1"/>
        <v>-</v>
      </c>
      <c r="L56" s="851" t="str">
        <f t="shared" si="2"/>
        <v>-</v>
      </c>
      <c r="M56" s="852" t="str">
        <f>IFERROR(IF(SUM(J56:L56)=0,"",J56+K56*'Fatores de Emissão'!$E$258+L56*'Fatores de Emissão'!$E$259),"")</f>
        <v/>
      </c>
      <c r="N56" s="1080" t="str">
        <f t="shared" si="3"/>
        <v/>
      </c>
    </row>
    <row r="57" spans="2:14" s="249" customFormat="1" ht="19.899999999999999" hidden="1" customHeight="1" outlineLevel="2" x14ac:dyDescent="0.25">
      <c r="B57" s="278"/>
      <c r="C57" s="278"/>
      <c r="D57" s="1019"/>
      <c r="E57" s="1019"/>
      <c r="F57" s="1018" t="str">
        <f>IF(C57="","",VLOOKUP($C57,'Fatores de Emissão'!$D$86:$J$96,3,FALSE))</f>
        <v/>
      </c>
      <c r="G57" s="851" t="str">
        <f>IF(D57="","",VLOOKUP($C57,'Fatores de Emissão'!$D$86:$J$96,2,FALSE))</f>
        <v/>
      </c>
      <c r="H57" s="851" t="str">
        <f>IF(D57="","",VLOOKUP($C57,'Fatores de Emissão'!$D$86:$J$96,4,FALSE))</f>
        <v/>
      </c>
      <c r="I57" s="851" t="str">
        <f>IF(D57="","",VLOOKUP($C57,'Fatores de Emissão'!$D$86:$J$96,6,FALSE))</f>
        <v/>
      </c>
      <c r="J57" s="851" t="str">
        <f t="shared" si="0"/>
        <v>-</v>
      </c>
      <c r="K57" s="851" t="str">
        <f t="shared" si="1"/>
        <v>-</v>
      </c>
      <c r="L57" s="851" t="str">
        <f t="shared" si="2"/>
        <v>-</v>
      </c>
      <c r="M57" s="852" t="str">
        <f>IFERROR(IF(SUM(J57:L57)=0,"",J57+K57*'Fatores de Emissão'!$E$258+L57*'Fatores de Emissão'!$E$259),"")</f>
        <v/>
      </c>
      <c r="N57" s="1080" t="str">
        <f t="shared" si="3"/>
        <v/>
      </c>
    </row>
    <row r="58" spans="2:14" s="249" customFormat="1" ht="19.899999999999999" hidden="1" customHeight="1" outlineLevel="2" x14ac:dyDescent="0.25">
      <c r="B58" s="278"/>
      <c r="C58" s="278"/>
      <c r="D58" s="1019"/>
      <c r="E58" s="1019"/>
      <c r="F58" s="1018" t="str">
        <f>IF(C58="","",VLOOKUP($C58,'Fatores de Emissão'!$D$86:$J$96,3,FALSE))</f>
        <v/>
      </c>
      <c r="G58" s="851" t="str">
        <f>IF(D58="","",VLOOKUP($C58,'Fatores de Emissão'!$D$86:$J$96,2,FALSE))</f>
        <v/>
      </c>
      <c r="H58" s="851" t="str">
        <f>IF(D58="","",VLOOKUP($C58,'Fatores de Emissão'!$D$86:$J$96,4,FALSE))</f>
        <v/>
      </c>
      <c r="I58" s="851" t="str">
        <f>IF(D58="","",VLOOKUP($C58,'Fatores de Emissão'!$D$86:$J$96,6,FALSE))</f>
        <v/>
      </c>
      <c r="J58" s="851" t="str">
        <f t="shared" si="0"/>
        <v>-</v>
      </c>
      <c r="K58" s="851" t="str">
        <f t="shared" si="1"/>
        <v>-</v>
      </c>
      <c r="L58" s="851" t="str">
        <f t="shared" si="2"/>
        <v>-</v>
      </c>
      <c r="M58" s="852" t="str">
        <f>IFERROR(IF(SUM(J58:L58)=0,"",J58+K58*'Fatores de Emissão'!$E$258+L58*'Fatores de Emissão'!$E$259),"")</f>
        <v/>
      </c>
      <c r="N58" s="1080" t="str">
        <f t="shared" si="3"/>
        <v/>
      </c>
    </row>
    <row r="59" spans="2:14" s="249" customFormat="1" ht="19.899999999999999" hidden="1" customHeight="1" outlineLevel="2" x14ac:dyDescent="0.25">
      <c r="B59" s="278"/>
      <c r="C59" s="278"/>
      <c r="D59" s="1019"/>
      <c r="E59" s="1019"/>
      <c r="F59" s="1018" t="str">
        <f>IF(C59="","",VLOOKUP($C59,'Fatores de Emissão'!$D$86:$J$96,3,FALSE))</f>
        <v/>
      </c>
      <c r="G59" s="851" t="str">
        <f>IF(D59="","",VLOOKUP($C59,'Fatores de Emissão'!$D$86:$J$96,2,FALSE))</f>
        <v/>
      </c>
      <c r="H59" s="851" t="str">
        <f>IF(D59="","",VLOOKUP($C59,'Fatores de Emissão'!$D$86:$J$96,4,FALSE))</f>
        <v/>
      </c>
      <c r="I59" s="851" t="str">
        <f>IF(D59="","",VLOOKUP($C59,'Fatores de Emissão'!$D$86:$J$96,6,FALSE))</f>
        <v/>
      </c>
      <c r="J59" s="851" t="str">
        <f t="shared" si="0"/>
        <v>-</v>
      </c>
      <c r="K59" s="851" t="str">
        <f t="shared" si="1"/>
        <v>-</v>
      </c>
      <c r="L59" s="851" t="str">
        <f t="shared" si="2"/>
        <v>-</v>
      </c>
      <c r="M59" s="852" t="str">
        <f>IFERROR(IF(SUM(J59:L59)=0,"",J59+K59*'Fatores de Emissão'!$E$258+L59*'Fatores de Emissão'!$E$259),"")</f>
        <v/>
      </c>
      <c r="N59" s="1080" t="str">
        <f t="shared" si="3"/>
        <v/>
      </c>
    </row>
    <row r="60" spans="2:14" s="249" customFormat="1" ht="19.899999999999999" hidden="1" customHeight="1" outlineLevel="2" x14ac:dyDescent="0.25">
      <c r="B60" s="278"/>
      <c r="C60" s="278"/>
      <c r="D60" s="1019"/>
      <c r="E60" s="1019"/>
      <c r="F60" s="1018" t="str">
        <f>IF(C60="","",VLOOKUP($C60,'Fatores de Emissão'!$D$86:$J$96,3,FALSE))</f>
        <v/>
      </c>
      <c r="G60" s="851" t="str">
        <f>IF(D60="","",VLOOKUP($C60,'Fatores de Emissão'!$D$86:$J$96,2,FALSE))</f>
        <v/>
      </c>
      <c r="H60" s="851" t="str">
        <f>IF(D60="","",VLOOKUP($C60,'Fatores de Emissão'!$D$86:$J$96,4,FALSE))</f>
        <v/>
      </c>
      <c r="I60" s="851" t="str">
        <f>IF(D60="","",VLOOKUP($C60,'Fatores de Emissão'!$D$86:$J$96,6,FALSE))</f>
        <v/>
      </c>
      <c r="J60" s="851" t="str">
        <f t="shared" si="0"/>
        <v>-</v>
      </c>
      <c r="K60" s="851" t="str">
        <f t="shared" si="1"/>
        <v>-</v>
      </c>
      <c r="L60" s="851" t="str">
        <f t="shared" si="2"/>
        <v>-</v>
      </c>
      <c r="M60" s="852" t="str">
        <f>IFERROR(IF(SUM(J60:L60)=0,"",J60+K60*'Fatores de Emissão'!$E$258+L60*'Fatores de Emissão'!$E$259),"")</f>
        <v/>
      </c>
      <c r="N60" s="1080" t="str">
        <f t="shared" si="3"/>
        <v/>
      </c>
    </row>
    <row r="61" spans="2:14" s="249" customFormat="1" ht="19.899999999999999" hidden="1" customHeight="1" outlineLevel="2" x14ac:dyDescent="0.25">
      <c r="B61" s="278"/>
      <c r="C61" s="278"/>
      <c r="D61" s="1019"/>
      <c r="E61" s="1019"/>
      <c r="F61" s="1018" t="str">
        <f>IF(C61="","",VLOOKUP($C61,'Fatores de Emissão'!$D$86:$J$96,3,FALSE))</f>
        <v/>
      </c>
      <c r="G61" s="851" t="str">
        <f>IF(D61="","",VLOOKUP($C61,'Fatores de Emissão'!$D$86:$J$96,2,FALSE))</f>
        <v/>
      </c>
      <c r="H61" s="851" t="str">
        <f>IF(D61="","",VLOOKUP($C61,'Fatores de Emissão'!$D$86:$J$96,4,FALSE))</f>
        <v/>
      </c>
      <c r="I61" s="851" t="str">
        <f>IF(D61="","",VLOOKUP($C61,'Fatores de Emissão'!$D$86:$J$96,6,FALSE))</f>
        <v/>
      </c>
      <c r="J61" s="851" t="str">
        <f t="shared" si="0"/>
        <v>-</v>
      </c>
      <c r="K61" s="851" t="str">
        <f t="shared" si="1"/>
        <v>-</v>
      </c>
      <c r="L61" s="851" t="str">
        <f t="shared" si="2"/>
        <v>-</v>
      </c>
      <c r="M61" s="852" t="str">
        <f>IFERROR(IF(SUM(J61:L61)=0,"",J61+K61*'Fatores de Emissão'!$E$258+L61*'Fatores de Emissão'!$E$259),"")</f>
        <v/>
      </c>
      <c r="N61" s="1080" t="str">
        <f t="shared" si="3"/>
        <v/>
      </c>
    </row>
    <row r="62" spans="2:14" s="249" customFormat="1" ht="19.899999999999999" hidden="1" customHeight="1" outlineLevel="2" x14ac:dyDescent="0.25">
      <c r="B62" s="278"/>
      <c r="C62" s="278"/>
      <c r="D62" s="1019"/>
      <c r="E62" s="1019"/>
      <c r="F62" s="1018" t="str">
        <f>IF(C62="","",VLOOKUP($C62,'Fatores de Emissão'!$D$86:$J$96,3,FALSE))</f>
        <v/>
      </c>
      <c r="G62" s="851" t="str">
        <f>IF(D62="","",VLOOKUP($C62,'Fatores de Emissão'!$D$86:$J$96,2,FALSE))</f>
        <v/>
      </c>
      <c r="H62" s="851" t="str">
        <f>IF(D62="","",VLOOKUP($C62,'Fatores de Emissão'!$D$86:$J$96,4,FALSE))</f>
        <v/>
      </c>
      <c r="I62" s="851" t="str">
        <f>IF(D62="","",VLOOKUP($C62,'Fatores de Emissão'!$D$86:$J$96,6,FALSE))</f>
        <v/>
      </c>
      <c r="J62" s="851" t="str">
        <f t="shared" si="0"/>
        <v>-</v>
      </c>
      <c r="K62" s="851" t="str">
        <f t="shared" si="1"/>
        <v>-</v>
      </c>
      <c r="L62" s="851" t="str">
        <f t="shared" si="2"/>
        <v>-</v>
      </c>
      <c r="M62" s="852" t="str">
        <f>IFERROR(IF(SUM(J62:L62)=0,"",J62+K62*'Fatores de Emissão'!$E$258+L62*'Fatores de Emissão'!$E$259),"")</f>
        <v/>
      </c>
      <c r="N62" s="1080" t="str">
        <f t="shared" si="3"/>
        <v/>
      </c>
    </row>
    <row r="63" spans="2:14" s="249" customFormat="1" ht="19.899999999999999" hidden="1" customHeight="1" outlineLevel="2" x14ac:dyDescent="0.25">
      <c r="B63" s="278"/>
      <c r="C63" s="278"/>
      <c r="D63" s="1019"/>
      <c r="E63" s="1019"/>
      <c r="F63" s="1018" t="str">
        <f>IF(C63="","",VLOOKUP($C63,'Fatores de Emissão'!$D$86:$J$96,3,FALSE))</f>
        <v/>
      </c>
      <c r="G63" s="851" t="str">
        <f>IF(D63="","",VLOOKUP($C63,'Fatores de Emissão'!$D$86:$J$96,2,FALSE))</f>
        <v/>
      </c>
      <c r="H63" s="851" t="str">
        <f>IF(D63="","",VLOOKUP($C63,'Fatores de Emissão'!$D$86:$J$96,4,FALSE))</f>
        <v/>
      </c>
      <c r="I63" s="851" t="str">
        <f>IF(D63="","",VLOOKUP($C63,'Fatores de Emissão'!$D$86:$J$96,6,FALSE))</f>
        <v/>
      </c>
      <c r="J63" s="851" t="str">
        <f t="shared" ref="J63:J94" si="4">IFERROR(G63/1000*D63,"-")</f>
        <v>-</v>
      </c>
      <c r="K63" s="851" t="str">
        <f t="shared" ref="K63:K94" si="5">IFERROR(H63/1000*D63,"-")</f>
        <v>-</v>
      </c>
      <c r="L63" s="851" t="str">
        <f t="shared" ref="L63:L94" si="6">IFERROR(I63/1000*D63,"-")</f>
        <v>-</v>
      </c>
      <c r="M63" s="852" t="str">
        <f>IFERROR(IF(SUM(J63:L63)=0,"",J63+K63*'Fatores de Emissão'!$E$258+L63*'Fatores de Emissão'!$E$259),"")</f>
        <v/>
      </c>
      <c r="N63" s="1080" t="str">
        <f t="shared" si="3"/>
        <v/>
      </c>
    </row>
    <row r="64" spans="2:14" s="249" customFormat="1" ht="19.899999999999999" hidden="1" customHeight="1" outlineLevel="2" x14ac:dyDescent="0.25">
      <c r="B64" s="278"/>
      <c r="C64" s="278"/>
      <c r="D64" s="1019"/>
      <c r="E64" s="1019"/>
      <c r="F64" s="1018" t="str">
        <f>IF(C64="","",VLOOKUP($C64,'Fatores de Emissão'!$D$86:$J$96,3,FALSE))</f>
        <v/>
      </c>
      <c r="G64" s="851" t="str">
        <f>IF(D64="","",VLOOKUP($C64,'Fatores de Emissão'!$D$86:$J$96,2,FALSE))</f>
        <v/>
      </c>
      <c r="H64" s="851" t="str">
        <f>IF(D64="","",VLOOKUP($C64,'Fatores de Emissão'!$D$86:$J$96,4,FALSE))</f>
        <v/>
      </c>
      <c r="I64" s="851" t="str">
        <f>IF(D64="","",VLOOKUP($C64,'Fatores de Emissão'!$D$86:$J$96,6,FALSE))</f>
        <v/>
      </c>
      <c r="J64" s="851" t="str">
        <f t="shared" si="4"/>
        <v>-</v>
      </c>
      <c r="K64" s="851" t="str">
        <f t="shared" si="5"/>
        <v>-</v>
      </c>
      <c r="L64" s="851" t="str">
        <f t="shared" si="6"/>
        <v>-</v>
      </c>
      <c r="M64" s="852" t="str">
        <f>IFERROR(IF(SUM(J64:L64)=0,"",J64+K64*'Fatores de Emissão'!$E$258+L64*'Fatores de Emissão'!$E$259),"")</f>
        <v/>
      </c>
      <c r="N64" s="1080" t="str">
        <f t="shared" si="3"/>
        <v/>
      </c>
    </row>
    <row r="65" spans="2:14" s="249" customFormat="1" ht="19.899999999999999" hidden="1" customHeight="1" outlineLevel="2" x14ac:dyDescent="0.25">
      <c r="B65" s="278"/>
      <c r="C65" s="278"/>
      <c r="D65" s="1019"/>
      <c r="E65" s="1019"/>
      <c r="F65" s="1018" t="str">
        <f>IF(C65="","",VLOOKUP($C65,'Fatores de Emissão'!$D$86:$J$96,3,FALSE))</f>
        <v/>
      </c>
      <c r="G65" s="851" t="str">
        <f>IF(D65="","",VLOOKUP($C65,'Fatores de Emissão'!$D$86:$J$96,2,FALSE))</f>
        <v/>
      </c>
      <c r="H65" s="851" t="str">
        <f>IF(D65="","",VLOOKUP($C65,'Fatores de Emissão'!$D$86:$J$96,4,FALSE))</f>
        <v/>
      </c>
      <c r="I65" s="851" t="str">
        <f>IF(D65="","",VLOOKUP($C65,'Fatores de Emissão'!$D$86:$J$96,6,FALSE))</f>
        <v/>
      </c>
      <c r="J65" s="851" t="str">
        <f t="shared" si="4"/>
        <v>-</v>
      </c>
      <c r="K65" s="851" t="str">
        <f t="shared" si="5"/>
        <v>-</v>
      </c>
      <c r="L65" s="851" t="str">
        <f t="shared" si="6"/>
        <v>-</v>
      </c>
      <c r="M65" s="852" t="str">
        <f>IFERROR(IF(SUM(J65:L65)=0,"",J65+K65*'Fatores de Emissão'!$E$258+L65*'Fatores de Emissão'!$E$259),"")</f>
        <v/>
      </c>
      <c r="N65" s="1080" t="str">
        <f t="shared" si="3"/>
        <v/>
      </c>
    </row>
    <row r="66" spans="2:14" s="249" customFormat="1" ht="19.899999999999999" hidden="1" customHeight="1" outlineLevel="2" x14ac:dyDescent="0.25">
      <c r="B66" s="278"/>
      <c r="C66" s="278"/>
      <c r="D66" s="1019"/>
      <c r="E66" s="1019"/>
      <c r="F66" s="1018" t="str">
        <f>IF(C66="","",VLOOKUP($C66,'Fatores de Emissão'!$D$86:$J$96,3,FALSE))</f>
        <v/>
      </c>
      <c r="G66" s="851" t="str">
        <f>IF(D66="","",VLOOKUP($C66,'Fatores de Emissão'!$D$86:$J$96,2,FALSE))</f>
        <v/>
      </c>
      <c r="H66" s="851" t="str">
        <f>IF(D66="","",VLOOKUP($C66,'Fatores de Emissão'!$D$86:$J$96,4,FALSE))</f>
        <v/>
      </c>
      <c r="I66" s="851" t="str">
        <f>IF(D66="","",VLOOKUP($C66,'Fatores de Emissão'!$D$86:$J$96,6,FALSE))</f>
        <v/>
      </c>
      <c r="J66" s="851" t="str">
        <f t="shared" si="4"/>
        <v>-</v>
      </c>
      <c r="K66" s="851" t="str">
        <f t="shared" si="5"/>
        <v>-</v>
      </c>
      <c r="L66" s="851" t="str">
        <f t="shared" si="6"/>
        <v>-</v>
      </c>
      <c r="M66" s="852" t="str">
        <f>IFERROR(IF(SUM(J66:L66)=0,"",J66+K66*'Fatores de Emissão'!$E$258+L66*'Fatores de Emissão'!$E$259),"")</f>
        <v/>
      </c>
      <c r="N66" s="1080" t="str">
        <f t="shared" si="3"/>
        <v/>
      </c>
    </row>
    <row r="67" spans="2:14" s="249" customFormat="1" ht="19.899999999999999" hidden="1" customHeight="1" outlineLevel="2" x14ac:dyDescent="0.25">
      <c r="B67" s="278"/>
      <c r="C67" s="278"/>
      <c r="D67" s="1019"/>
      <c r="E67" s="1019"/>
      <c r="F67" s="1018" t="str">
        <f>IF(C67="","",VLOOKUP($C67,'Fatores de Emissão'!$D$86:$J$96,3,FALSE))</f>
        <v/>
      </c>
      <c r="G67" s="851" t="str">
        <f>IF(D67="","",VLOOKUP($C67,'Fatores de Emissão'!$D$86:$J$96,2,FALSE))</f>
        <v/>
      </c>
      <c r="H67" s="851" t="str">
        <f>IF(D67="","",VLOOKUP($C67,'Fatores de Emissão'!$D$86:$J$96,4,FALSE))</f>
        <v/>
      </c>
      <c r="I67" s="851" t="str">
        <f>IF(D67="","",VLOOKUP($C67,'Fatores de Emissão'!$D$86:$J$96,6,FALSE))</f>
        <v/>
      </c>
      <c r="J67" s="851" t="str">
        <f t="shared" si="4"/>
        <v>-</v>
      </c>
      <c r="K67" s="851" t="str">
        <f t="shared" si="5"/>
        <v>-</v>
      </c>
      <c r="L67" s="851" t="str">
        <f t="shared" si="6"/>
        <v>-</v>
      </c>
      <c r="M67" s="852" t="str">
        <f>IFERROR(IF(SUM(J67:L67)=0,"",J67+K67*'Fatores de Emissão'!$E$258+L67*'Fatores de Emissão'!$E$259),"")</f>
        <v/>
      </c>
      <c r="N67" s="1080" t="str">
        <f t="shared" si="3"/>
        <v/>
      </c>
    </row>
    <row r="68" spans="2:14" s="249" customFormat="1" ht="19.899999999999999" hidden="1" customHeight="1" outlineLevel="2" x14ac:dyDescent="0.25">
      <c r="B68" s="278"/>
      <c r="C68" s="278"/>
      <c r="D68" s="1019"/>
      <c r="E68" s="1019"/>
      <c r="F68" s="1018" t="str">
        <f>IF(C68="","",VLOOKUP($C68,'Fatores de Emissão'!$D$86:$J$96,3,FALSE))</f>
        <v/>
      </c>
      <c r="G68" s="851" t="str">
        <f>IF(D68="","",VLOOKUP($C68,'Fatores de Emissão'!$D$86:$J$96,2,FALSE))</f>
        <v/>
      </c>
      <c r="H68" s="851" t="str">
        <f>IF(D68="","",VLOOKUP($C68,'Fatores de Emissão'!$D$86:$J$96,4,FALSE))</f>
        <v/>
      </c>
      <c r="I68" s="851" t="str">
        <f>IF(D68="","",VLOOKUP($C68,'Fatores de Emissão'!$D$86:$J$96,6,FALSE))</f>
        <v/>
      </c>
      <c r="J68" s="851" t="str">
        <f t="shared" si="4"/>
        <v>-</v>
      </c>
      <c r="K68" s="851" t="str">
        <f t="shared" si="5"/>
        <v>-</v>
      </c>
      <c r="L68" s="851" t="str">
        <f t="shared" si="6"/>
        <v>-</v>
      </c>
      <c r="M68" s="852" t="str">
        <f>IFERROR(IF(SUM(J68:L68)=0,"",J68+K68*'Fatores de Emissão'!$E$258+L68*'Fatores de Emissão'!$E$259),"")</f>
        <v/>
      </c>
      <c r="N68" s="1080" t="str">
        <f t="shared" si="3"/>
        <v/>
      </c>
    </row>
    <row r="69" spans="2:14" s="249" customFormat="1" ht="19.899999999999999" hidden="1" customHeight="1" outlineLevel="2" x14ac:dyDescent="0.25">
      <c r="B69" s="278"/>
      <c r="C69" s="278"/>
      <c r="D69" s="1019"/>
      <c r="E69" s="1019"/>
      <c r="F69" s="1018" t="str">
        <f>IF(C69="","",VLOOKUP($C69,'Fatores de Emissão'!$D$86:$J$96,3,FALSE))</f>
        <v/>
      </c>
      <c r="G69" s="851" t="str">
        <f>IF(D69="","",VLOOKUP($C69,'Fatores de Emissão'!$D$86:$J$96,2,FALSE))</f>
        <v/>
      </c>
      <c r="H69" s="851" t="str">
        <f>IF(D69="","",VLOOKUP($C69,'Fatores de Emissão'!$D$86:$J$96,4,FALSE))</f>
        <v/>
      </c>
      <c r="I69" s="851" t="str">
        <f>IF(D69="","",VLOOKUP($C69,'Fatores de Emissão'!$D$86:$J$96,6,FALSE))</f>
        <v/>
      </c>
      <c r="J69" s="851" t="str">
        <f t="shared" si="4"/>
        <v>-</v>
      </c>
      <c r="K69" s="851" t="str">
        <f t="shared" si="5"/>
        <v>-</v>
      </c>
      <c r="L69" s="851" t="str">
        <f t="shared" si="6"/>
        <v>-</v>
      </c>
      <c r="M69" s="852" t="str">
        <f>IFERROR(IF(SUM(J69:L69)=0,"",J69+K69*'Fatores de Emissão'!$E$258+L69*'Fatores de Emissão'!$E$259),"")</f>
        <v/>
      </c>
      <c r="N69" s="1080" t="str">
        <f t="shared" si="3"/>
        <v/>
      </c>
    </row>
    <row r="70" spans="2:14" s="249" customFormat="1" ht="19.899999999999999" hidden="1" customHeight="1" outlineLevel="2" x14ac:dyDescent="0.25">
      <c r="B70" s="278"/>
      <c r="C70" s="278"/>
      <c r="D70" s="1019"/>
      <c r="E70" s="1019"/>
      <c r="F70" s="1018" t="str">
        <f>IF(C70="","",VLOOKUP($C70,'Fatores de Emissão'!$D$86:$J$96,3,FALSE))</f>
        <v/>
      </c>
      <c r="G70" s="851" t="str">
        <f>IF(D70="","",VLOOKUP($C70,'Fatores de Emissão'!$D$86:$J$96,2,FALSE))</f>
        <v/>
      </c>
      <c r="H70" s="851" t="str">
        <f>IF(D70="","",VLOOKUP($C70,'Fatores de Emissão'!$D$86:$J$96,4,FALSE))</f>
        <v/>
      </c>
      <c r="I70" s="851" t="str">
        <f>IF(D70="","",VLOOKUP($C70,'Fatores de Emissão'!$D$86:$J$96,6,FALSE))</f>
        <v/>
      </c>
      <c r="J70" s="851" t="str">
        <f t="shared" si="4"/>
        <v>-</v>
      </c>
      <c r="K70" s="851" t="str">
        <f t="shared" si="5"/>
        <v>-</v>
      </c>
      <c r="L70" s="851" t="str">
        <f t="shared" si="6"/>
        <v>-</v>
      </c>
      <c r="M70" s="852" t="str">
        <f>IFERROR(IF(SUM(J70:L70)=0,"",J70+K70*'Fatores de Emissão'!$E$258+L70*'Fatores de Emissão'!$E$259),"")</f>
        <v/>
      </c>
      <c r="N70" s="1080" t="str">
        <f t="shared" si="3"/>
        <v/>
      </c>
    </row>
    <row r="71" spans="2:14" s="249" customFormat="1" ht="19.899999999999999" hidden="1" customHeight="1" outlineLevel="2" x14ac:dyDescent="0.25">
      <c r="B71" s="278"/>
      <c r="C71" s="278"/>
      <c r="D71" s="1019"/>
      <c r="E71" s="1019"/>
      <c r="F71" s="1018" t="str">
        <f>IF(C71="","",VLOOKUP($C71,'Fatores de Emissão'!$D$86:$J$96,3,FALSE))</f>
        <v/>
      </c>
      <c r="G71" s="851" t="str">
        <f>IF(D71="","",VLOOKUP($C71,'Fatores de Emissão'!$D$86:$J$96,2,FALSE))</f>
        <v/>
      </c>
      <c r="H71" s="851" t="str">
        <f>IF(D71="","",VLOOKUP($C71,'Fatores de Emissão'!$D$86:$J$96,4,FALSE))</f>
        <v/>
      </c>
      <c r="I71" s="851" t="str">
        <f>IF(D71="","",VLOOKUP($C71,'Fatores de Emissão'!$D$86:$J$96,6,FALSE))</f>
        <v/>
      </c>
      <c r="J71" s="851" t="str">
        <f t="shared" si="4"/>
        <v>-</v>
      </c>
      <c r="K71" s="851" t="str">
        <f t="shared" si="5"/>
        <v>-</v>
      </c>
      <c r="L71" s="851" t="str">
        <f t="shared" si="6"/>
        <v>-</v>
      </c>
      <c r="M71" s="852" t="str">
        <f>IFERROR(IF(SUM(J71:L71)=0,"",J71+K71*'Fatores de Emissão'!$E$258+L71*'Fatores de Emissão'!$E$259),"")</f>
        <v/>
      </c>
      <c r="N71" s="1080" t="str">
        <f t="shared" si="3"/>
        <v/>
      </c>
    </row>
    <row r="72" spans="2:14" s="249" customFormat="1" ht="19.899999999999999" hidden="1" customHeight="1" outlineLevel="2" x14ac:dyDescent="0.25">
      <c r="B72" s="278"/>
      <c r="C72" s="278"/>
      <c r="D72" s="1019"/>
      <c r="E72" s="1019"/>
      <c r="F72" s="1018" t="str">
        <f>IF(C72="","",VLOOKUP($C72,'Fatores de Emissão'!$D$86:$J$96,3,FALSE))</f>
        <v/>
      </c>
      <c r="G72" s="851" t="str">
        <f>IF(D72="","",VLOOKUP($C72,'Fatores de Emissão'!$D$86:$J$96,2,FALSE))</f>
        <v/>
      </c>
      <c r="H72" s="851" t="str">
        <f>IF(D72="","",VLOOKUP($C72,'Fatores de Emissão'!$D$86:$J$96,4,FALSE))</f>
        <v/>
      </c>
      <c r="I72" s="851" t="str">
        <f>IF(D72="","",VLOOKUP($C72,'Fatores de Emissão'!$D$86:$J$96,6,FALSE))</f>
        <v/>
      </c>
      <c r="J72" s="851" t="str">
        <f t="shared" si="4"/>
        <v>-</v>
      </c>
      <c r="K72" s="851" t="str">
        <f t="shared" si="5"/>
        <v>-</v>
      </c>
      <c r="L72" s="851" t="str">
        <f t="shared" si="6"/>
        <v>-</v>
      </c>
      <c r="M72" s="852" t="str">
        <f>IFERROR(IF(SUM(J72:L72)=0,"",J72+K72*'Fatores de Emissão'!$E$258+L72*'Fatores de Emissão'!$E$259),"")</f>
        <v/>
      </c>
      <c r="N72" s="1080" t="str">
        <f t="shared" si="3"/>
        <v/>
      </c>
    </row>
    <row r="73" spans="2:14" s="249" customFormat="1" ht="19.899999999999999" hidden="1" customHeight="1" outlineLevel="2" x14ac:dyDescent="0.25">
      <c r="B73" s="278"/>
      <c r="C73" s="278"/>
      <c r="D73" s="1019"/>
      <c r="E73" s="1019"/>
      <c r="F73" s="1018" t="str">
        <f>IF(C73="","",VLOOKUP($C73,'Fatores de Emissão'!$D$86:$J$96,3,FALSE))</f>
        <v/>
      </c>
      <c r="G73" s="851" t="str">
        <f>IF(D73="","",VLOOKUP($C73,'Fatores de Emissão'!$D$86:$J$96,2,FALSE))</f>
        <v/>
      </c>
      <c r="H73" s="851" t="str">
        <f>IF(D73="","",VLOOKUP($C73,'Fatores de Emissão'!$D$86:$J$96,4,FALSE))</f>
        <v/>
      </c>
      <c r="I73" s="851" t="str">
        <f>IF(D73="","",VLOOKUP($C73,'Fatores de Emissão'!$D$86:$J$96,6,FALSE))</f>
        <v/>
      </c>
      <c r="J73" s="851" t="str">
        <f t="shared" si="4"/>
        <v>-</v>
      </c>
      <c r="K73" s="851" t="str">
        <f t="shared" si="5"/>
        <v>-</v>
      </c>
      <c r="L73" s="851" t="str">
        <f t="shared" si="6"/>
        <v>-</v>
      </c>
      <c r="M73" s="852" t="str">
        <f>IFERROR(IF(SUM(J73:L73)=0,"",J73+K73*'Fatores de Emissão'!$E$258+L73*'Fatores de Emissão'!$E$259),"")</f>
        <v/>
      </c>
      <c r="N73" s="1080" t="str">
        <f t="shared" si="3"/>
        <v/>
      </c>
    </row>
    <row r="74" spans="2:14" s="249" customFormat="1" ht="19.899999999999999" hidden="1" customHeight="1" outlineLevel="2" x14ac:dyDescent="0.25">
      <c r="B74" s="278"/>
      <c r="C74" s="278"/>
      <c r="D74" s="1019"/>
      <c r="E74" s="1019"/>
      <c r="F74" s="1018" t="str">
        <f>IF(C74="","",VLOOKUP($C74,'Fatores de Emissão'!$D$86:$J$96,3,FALSE))</f>
        <v/>
      </c>
      <c r="G74" s="851" t="str">
        <f>IF(D74="","",VLOOKUP($C74,'Fatores de Emissão'!$D$86:$J$96,2,FALSE))</f>
        <v/>
      </c>
      <c r="H74" s="851" t="str">
        <f>IF(D74="","",VLOOKUP($C74,'Fatores de Emissão'!$D$86:$J$96,4,FALSE))</f>
        <v/>
      </c>
      <c r="I74" s="851" t="str">
        <f>IF(D74="","",VLOOKUP($C74,'Fatores de Emissão'!$D$86:$J$96,6,FALSE))</f>
        <v/>
      </c>
      <c r="J74" s="851" t="str">
        <f t="shared" si="4"/>
        <v>-</v>
      </c>
      <c r="K74" s="851" t="str">
        <f t="shared" si="5"/>
        <v>-</v>
      </c>
      <c r="L74" s="851" t="str">
        <f t="shared" si="6"/>
        <v>-</v>
      </c>
      <c r="M74" s="852" t="str">
        <f>IFERROR(IF(SUM(J74:L74)=0,"",J74+K74*'Fatores de Emissão'!$E$258+L74*'Fatores de Emissão'!$E$259),"")</f>
        <v/>
      </c>
      <c r="N74" s="1080" t="str">
        <f t="shared" si="3"/>
        <v/>
      </c>
    </row>
    <row r="75" spans="2:14" s="249" customFormat="1" ht="19.899999999999999" hidden="1" customHeight="1" outlineLevel="2" x14ac:dyDescent="0.25">
      <c r="B75" s="278"/>
      <c r="C75" s="278"/>
      <c r="D75" s="1019"/>
      <c r="E75" s="1019"/>
      <c r="F75" s="1018" t="str">
        <f>IF(C75="","",VLOOKUP($C75,'Fatores de Emissão'!$D$86:$J$96,3,FALSE))</f>
        <v/>
      </c>
      <c r="G75" s="851" t="str">
        <f>IF(D75="","",VLOOKUP($C75,'Fatores de Emissão'!$D$86:$J$96,2,FALSE))</f>
        <v/>
      </c>
      <c r="H75" s="851" t="str">
        <f>IF(D75="","",VLOOKUP($C75,'Fatores de Emissão'!$D$86:$J$96,4,FALSE))</f>
        <v/>
      </c>
      <c r="I75" s="851" t="str">
        <f>IF(D75="","",VLOOKUP($C75,'Fatores de Emissão'!$D$86:$J$96,6,FALSE))</f>
        <v/>
      </c>
      <c r="J75" s="851" t="str">
        <f t="shared" si="4"/>
        <v>-</v>
      </c>
      <c r="K75" s="851" t="str">
        <f t="shared" si="5"/>
        <v>-</v>
      </c>
      <c r="L75" s="851" t="str">
        <f t="shared" si="6"/>
        <v>-</v>
      </c>
      <c r="M75" s="852" t="str">
        <f>IFERROR(IF(SUM(J75:L75)=0,"",J75+K75*'Fatores de Emissão'!$E$258+L75*'Fatores de Emissão'!$E$259),"")</f>
        <v/>
      </c>
      <c r="N75" s="1080" t="str">
        <f t="shared" si="3"/>
        <v/>
      </c>
    </row>
    <row r="76" spans="2:14" s="249" customFormat="1" ht="19.899999999999999" hidden="1" customHeight="1" outlineLevel="2" x14ac:dyDescent="0.25">
      <c r="B76" s="278"/>
      <c r="C76" s="278"/>
      <c r="D76" s="1019"/>
      <c r="E76" s="1019"/>
      <c r="F76" s="1018" t="str">
        <f>IF(C76="","",VLOOKUP($C76,'Fatores de Emissão'!$D$86:$J$96,3,FALSE))</f>
        <v/>
      </c>
      <c r="G76" s="851" t="str">
        <f>IF(D76="","",VLOOKUP($C76,'Fatores de Emissão'!$D$86:$J$96,2,FALSE))</f>
        <v/>
      </c>
      <c r="H76" s="851" t="str">
        <f>IF(D76="","",VLOOKUP($C76,'Fatores de Emissão'!$D$86:$J$96,4,FALSE))</f>
        <v/>
      </c>
      <c r="I76" s="851" t="str">
        <f>IF(D76="","",VLOOKUP($C76,'Fatores de Emissão'!$D$86:$J$96,6,FALSE))</f>
        <v/>
      </c>
      <c r="J76" s="851" t="str">
        <f t="shared" si="4"/>
        <v>-</v>
      </c>
      <c r="K76" s="851" t="str">
        <f t="shared" si="5"/>
        <v>-</v>
      </c>
      <c r="L76" s="851" t="str">
        <f t="shared" si="6"/>
        <v>-</v>
      </c>
      <c r="M76" s="852" t="str">
        <f>IFERROR(IF(SUM(J76:L76)=0,"",J76+K76*'Fatores de Emissão'!$E$258+L76*'Fatores de Emissão'!$E$259),"")</f>
        <v/>
      </c>
      <c r="N76" s="1080" t="str">
        <f t="shared" si="3"/>
        <v/>
      </c>
    </row>
    <row r="77" spans="2:14" s="249" customFormat="1" ht="19.899999999999999" hidden="1" customHeight="1" outlineLevel="2" x14ac:dyDescent="0.25">
      <c r="B77" s="278"/>
      <c r="C77" s="278"/>
      <c r="D77" s="1019"/>
      <c r="E77" s="1019"/>
      <c r="F77" s="1018" t="str">
        <f>IF(C77="","",VLOOKUP($C77,'Fatores de Emissão'!$D$86:$J$96,3,FALSE))</f>
        <v/>
      </c>
      <c r="G77" s="851" t="str">
        <f>IF(D77="","",VLOOKUP($C77,'Fatores de Emissão'!$D$86:$J$96,2,FALSE))</f>
        <v/>
      </c>
      <c r="H77" s="851" t="str">
        <f>IF(D77="","",VLOOKUP($C77,'Fatores de Emissão'!$D$86:$J$96,4,FALSE))</f>
        <v/>
      </c>
      <c r="I77" s="851" t="str">
        <f>IF(D77="","",VLOOKUP($C77,'Fatores de Emissão'!$D$86:$J$96,6,FALSE))</f>
        <v/>
      </c>
      <c r="J77" s="851" t="str">
        <f t="shared" si="4"/>
        <v>-</v>
      </c>
      <c r="K77" s="851" t="str">
        <f t="shared" si="5"/>
        <v>-</v>
      </c>
      <c r="L77" s="851" t="str">
        <f t="shared" si="6"/>
        <v>-</v>
      </c>
      <c r="M77" s="852" t="str">
        <f>IFERROR(IF(SUM(J77:L77)=0,"",J77+K77*'Fatores de Emissão'!$E$258+L77*'Fatores de Emissão'!$E$259),"")</f>
        <v/>
      </c>
      <c r="N77" s="1080" t="str">
        <f t="shared" si="3"/>
        <v/>
      </c>
    </row>
    <row r="78" spans="2:14" s="249" customFormat="1" ht="19.899999999999999" hidden="1" customHeight="1" outlineLevel="2" x14ac:dyDescent="0.25">
      <c r="B78" s="278"/>
      <c r="C78" s="278"/>
      <c r="D78" s="1019"/>
      <c r="E78" s="1019"/>
      <c r="F78" s="1018" t="str">
        <f>IF(C78="","",VLOOKUP($C78,'Fatores de Emissão'!$D$86:$J$96,3,FALSE))</f>
        <v/>
      </c>
      <c r="G78" s="851" t="str">
        <f>IF(D78="","",VLOOKUP($C78,'Fatores de Emissão'!$D$86:$J$96,2,FALSE))</f>
        <v/>
      </c>
      <c r="H78" s="851" t="str">
        <f>IF(D78="","",VLOOKUP($C78,'Fatores de Emissão'!$D$86:$J$96,4,FALSE))</f>
        <v/>
      </c>
      <c r="I78" s="851" t="str">
        <f>IF(D78="","",VLOOKUP($C78,'Fatores de Emissão'!$D$86:$J$96,6,FALSE))</f>
        <v/>
      </c>
      <c r="J78" s="851" t="str">
        <f t="shared" si="4"/>
        <v>-</v>
      </c>
      <c r="K78" s="851" t="str">
        <f t="shared" si="5"/>
        <v>-</v>
      </c>
      <c r="L78" s="851" t="str">
        <f t="shared" si="6"/>
        <v>-</v>
      </c>
      <c r="M78" s="852" t="str">
        <f>IFERROR(IF(SUM(J78:L78)=0,"",J78+K78*'Fatores de Emissão'!$E$258+L78*'Fatores de Emissão'!$E$259),"")</f>
        <v/>
      </c>
      <c r="N78" s="1080" t="str">
        <f t="shared" si="3"/>
        <v/>
      </c>
    </row>
    <row r="79" spans="2:14" s="249" customFormat="1" ht="19.899999999999999" hidden="1" customHeight="1" outlineLevel="2" x14ac:dyDescent="0.25">
      <c r="B79" s="278"/>
      <c r="C79" s="278"/>
      <c r="D79" s="1019"/>
      <c r="E79" s="1019"/>
      <c r="F79" s="1018" t="str">
        <f>IF(C79="","",VLOOKUP($C79,'Fatores de Emissão'!$D$86:$J$96,3,FALSE))</f>
        <v/>
      </c>
      <c r="G79" s="851" t="str">
        <f>IF(D79="","",VLOOKUP($C79,'Fatores de Emissão'!$D$86:$J$96,2,FALSE))</f>
        <v/>
      </c>
      <c r="H79" s="851" t="str">
        <f>IF(D79="","",VLOOKUP($C79,'Fatores de Emissão'!$D$86:$J$96,4,FALSE))</f>
        <v/>
      </c>
      <c r="I79" s="851" t="str">
        <f>IF(D79="","",VLOOKUP($C79,'Fatores de Emissão'!$D$86:$J$96,6,FALSE))</f>
        <v/>
      </c>
      <c r="J79" s="851" t="str">
        <f t="shared" si="4"/>
        <v>-</v>
      </c>
      <c r="K79" s="851" t="str">
        <f t="shared" si="5"/>
        <v>-</v>
      </c>
      <c r="L79" s="851" t="str">
        <f t="shared" si="6"/>
        <v>-</v>
      </c>
      <c r="M79" s="852" t="str">
        <f>IFERROR(IF(SUM(J79:L79)=0,"",J79+K79*'Fatores de Emissão'!$E$258+L79*'Fatores de Emissão'!$E$259),"")</f>
        <v/>
      </c>
      <c r="N79" s="1080" t="str">
        <f t="shared" si="3"/>
        <v/>
      </c>
    </row>
    <row r="80" spans="2:14" s="249" customFormat="1" ht="19.899999999999999" hidden="1" customHeight="1" outlineLevel="2" x14ac:dyDescent="0.25">
      <c r="B80" s="278"/>
      <c r="C80" s="278"/>
      <c r="D80" s="1019"/>
      <c r="E80" s="1019"/>
      <c r="F80" s="1018" t="str">
        <f>IF(C80="","",VLOOKUP($C80,'Fatores de Emissão'!$D$86:$J$96,3,FALSE))</f>
        <v/>
      </c>
      <c r="G80" s="851" t="str">
        <f>IF(D80="","",VLOOKUP($C80,'Fatores de Emissão'!$D$86:$J$96,2,FALSE))</f>
        <v/>
      </c>
      <c r="H80" s="851" t="str">
        <f>IF(D80="","",VLOOKUP($C80,'Fatores de Emissão'!$D$86:$J$96,4,FALSE))</f>
        <v/>
      </c>
      <c r="I80" s="851" t="str">
        <f>IF(D80="","",VLOOKUP($C80,'Fatores de Emissão'!$D$86:$J$96,6,FALSE))</f>
        <v/>
      </c>
      <c r="J80" s="851" t="str">
        <f t="shared" si="4"/>
        <v>-</v>
      </c>
      <c r="K80" s="851" t="str">
        <f t="shared" si="5"/>
        <v>-</v>
      </c>
      <c r="L80" s="851" t="str">
        <f t="shared" si="6"/>
        <v>-</v>
      </c>
      <c r="M80" s="852" t="str">
        <f>IFERROR(IF(SUM(J80:L80)=0,"",J80+K80*'Fatores de Emissão'!$E$258+L80*'Fatores de Emissão'!$E$259),"")</f>
        <v/>
      </c>
      <c r="N80" s="1080" t="str">
        <f t="shared" si="3"/>
        <v/>
      </c>
    </row>
    <row r="81" spans="2:14" s="249" customFormat="1" ht="19.899999999999999" hidden="1" customHeight="1" outlineLevel="2" x14ac:dyDescent="0.25">
      <c r="B81" s="278"/>
      <c r="C81" s="278"/>
      <c r="D81" s="1019"/>
      <c r="E81" s="1019"/>
      <c r="F81" s="1018" t="str">
        <f>IF(C81="","",VLOOKUP($C81,'Fatores de Emissão'!$D$86:$J$96,3,FALSE))</f>
        <v/>
      </c>
      <c r="G81" s="851" t="str">
        <f>IF(D81="","",VLOOKUP($C81,'Fatores de Emissão'!$D$86:$J$96,2,FALSE))</f>
        <v/>
      </c>
      <c r="H81" s="851" t="str">
        <f>IF(D81="","",VLOOKUP($C81,'Fatores de Emissão'!$D$86:$J$96,4,FALSE))</f>
        <v/>
      </c>
      <c r="I81" s="851" t="str">
        <f>IF(D81="","",VLOOKUP($C81,'Fatores de Emissão'!$D$86:$J$96,6,FALSE))</f>
        <v/>
      </c>
      <c r="J81" s="851" t="str">
        <f t="shared" si="4"/>
        <v>-</v>
      </c>
      <c r="K81" s="851" t="str">
        <f t="shared" si="5"/>
        <v>-</v>
      </c>
      <c r="L81" s="851" t="str">
        <f t="shared" si="6"/>
        <v>-</v>
      </c>
      <c r="M81" s="852" t="str">
        <f>IFERROR(IF(SUM(J81:L81)=0,"",J81+K81*'Fatores de Emissão'!$E$258+L81*'Fatores de Emissão'!$E$259),"")</f>
        <v/>
      </c>
      <c r="N81" s="1080" t="str">
        <f t="shared" si="3"/>
        <v/>
      </c>
    </row>
    <row r="82" spans="2:14" s="249" customFormat="1" ht="19.899999999999999" hidden="1" customHeight="1" outlineLevel="2" x14ac:dyDescent="0.25">
      <c r="B82" s="278"/>
      <c r="C82" s="278"/>
      <c r="D82" s="1019"/>
      <c r="E82" s="1019"/>
      <c r="F82" s="1018" t="str">
        <f>IF(C82="","",VLOOKUP($C82,'Fatores de Emissão'!$D$86:$J$96,3,FALSE))</f>
        <v/>
      </c>
      <c r="G82" s="851" t="str">
        <f>IF(D82="","",VLOOKUP($C82,'Fatores de Emissão'!$D$86:$J$96,2,FALSE))</f>
        <v/>
      </c>
      <c r="H82" s="851" t="str">
        <f>IF(D82="","",VLOOKUP($C82,'Fatores de Emissão'!$D$86:$J$96,4,FALSE))</f>
        <v/>
      </c>
      <c r="I82" s="851" t="str">
        <f>IF(D82="","",VLOOKUP($C82,'Fatores de Emissão'!$D$86:$J$96,6,FALSE))</f>
        <v/>
      </c>
      <c r="J82" s="851" t="str">
        <f t="shared" si="4"/>
        <v>-</v>
      </c>
      <c r="K82" s="851" t="str">
        <f t="shared" si="5"/>
        <v>-</v>
      </c>
      <c r="L82" s="851" t="str">
        <f t="shared" si="6"/>
        <v>-</v>
      </c>
      <c r="M82" s="852" t="str">
        <f>IFERROR(IF(SUM(J82:L82)=0,"",J82+K82*'Fatores de Emissão'!$E$258+L82*'Fatores de Emissão'!$E$259),"")</f>
        <v/>
      </c>
      <c r="N82" s="1080" t="str">
        <f t="shared" si="3"/>
        <v/>
      </c>
    </row>
    <row r="83" spans="2:14" s="249" customFormat="1" ht="19.899999999999999" hidden="1" customHeight="1" outlineLevel="2" x14ac:dyDescent="0.25">
      <c r="B83" s="278"/>
      <c r="C83" s="278"/>
      <c r="D83" s="1019"/>
      <c r="E83" s="1019"/>
      <c r="F83" s="1018" t="str">
        <f>IF(C83="","",VLOOKUP($C83,'Fatores de Emissão'!$D$86:$J$96,3,FALSE))</f>
        <v/>
      </c>
      <c r="G83" s="851" t="str">
        <f>IF(D83="","",VLOOKUP($C83,'Fatores de Emissão'!$D$86:$J$96,2,FALSE))</f>
        <v/>
      </c>
      <c r="H83" s="851" t="str">
        <f>IF(D83="","",VLOOKUP($C83,'Fatores de Emissão'!$D$86:$J$96,4,FALSE))</f>
        <v/>
      </c>
      <c r="I83" s="851" t="str">
        <f>IF(D83="","",VLOOKUP($C83,'Fatores de Emissão'!$D$86:$J$96,6,FALSE))</f>
        <v/>
      </c>
      <c r="J83" s="851" t="str">
        <f t="shared" si="4"/>
        <v>-</v>
      </c>
      <c r="K83" s="851" t="str">
        <f t="shared" si="5"/>
        <v>-</v>
      </c>
      <c r="L83" s="851" t="str">
        <f t="shared" si="6"/>
        <v>-</v>
      </c>
      <c r="M83" s="852" t="str">
        <f>IFERROR(IF(SUM(J83:L83)=0,"",J83+K83*'Fatores de Emissão'!$E$258+L83*'Fatores de Emissão'!$E$259),"")</f>
        <v/>
      </c>
      <c r="N83" s="1080" t="str">
        <f t="shared" si="3"/>
        <v/>
      </c>
    </row>
    <row r="84" spans="2:14" s="249" customFormat="1" ht="19.899999999999999" hidden="1" customHeight="1" outlineLevel="2" x14ac:dyDescent="0.25">
      <c r="B84" s="278"/>
      <c r="C84" s="278"/>
      <c r="D84" s="1019"/>
      <c r="E84" s="1019"/>
      <c r="F84" s="1018" t="str">
        <f>IF(C84="","",VLOOKUP($C84,'Fatores de Emissão'!$D$86:$J$96,3,FALSE))</f>
        <v/>
      </c>
      <c r="G84" s="851" t="str">
        <f>IF(D84="","",VLOOKUP($C84,'Fatores de Emissão'!$D$86:$J$96,2,FALSE))</f>
        <v/>
      </c>
      <c r="H84" s="851" t="str">
        <f>IF(D84="","",VLOOKUP($C84,'Fatores de Emissão'!$D$86:$J$96,4,FALSE))</f>
        <v/>
      </c>
      <c r="I84" s="851" t="str">
        <f>IF(D84="","",VLOOKUP($C84,'Fatores de Emissão'!$D$86:$J$96,6,FALSE))</f>
        <v/>
      </c>
      <c r="J84" s="851" t="str">
        <f t="shared" si="4"/>
        <v>-</v>
      </c>
      <c r="K84" s="851" t="str">
        <f t="shared" si="5"/>
        <v>-</v>
      </c>
      <c r="L84" s="851" t="str">
        <f t="shared" si="6"/>
        <v>-</v>
      </c>
      <c r="M84" s="852" t="str">
        <f>IFERROR(IF(SUM(J84:L84)=0,"",J84+K84*'Fatores de Emissão'!$E$258+L84*'Fatores de Emissão'!$E$259),"")</f>
        <v/>
      </c>
      <c r="N84" s="1080" t="str">
        <f t="shared" si="3"/>
        <v/>
      </c>
    </row>
    <row r="85" spans="2:14" s="249" customFormat="1" ht="19.899999999999999" hidden="1" customHeight="1" outlineLevel="2" x14ac:dyDescent="0.25">
      <c r="B85" s="278"/>
      <c r="C85" s="278"/>
      <c r="D85" s="1019"/>
      <c r="E85" s="1019"/>
      <c r="F85" s="1018" t="str">
        <f>IF(C85="","",VLOOKUP($C85,'Fatores de Emissão'!$D$86:$J$96,3,FALSE))</f>
        <v/>
      </c>
      <c r="G85" s="851" t="str">
        <f>IF(D85="","",VLOOKUP($C85,'Fatores de Emissão'!$D$86:$J$96,2,FALSE))</f>
        <v/>
      </c>
      <c r="H85" s="851" t="str">
        <f>IF(D85="","",VLOOKUP($C85,'Fatores de Emissão'!$D$86:$J$96,4,FALSE))</f>
        <v/>
      </c>
      <c r="I85" s="851" t="str">
        <f>IF(D85="","",VLOOKUP($C85,'Fatores de Emissão'!$D$86:$J$96,6,FALSE))</f>
        <v/>
      </c>
      <c r="J85" s="851" t="str">
        <f t="shared" si="4"/>
        <v>-</v>
      </c>
      <c r="K85" s="851" t="str">
        <f t="shared" si="5"/>
        <v>-</v>
      </c>
      <c r="L85" s="851" t="str">
        <f t="shared" si="6"/>
        <v>-</v>
      </c>
      <c r="M85" s="852" t="str">
        <f>IFERROR(IF(SUM(J85:L85)=0,"",J85+K85*'Fatores de Emissão'!$E$258+L85*'Fatores de Emissão'!$E$259),"")</f>
        <v/>
      </c>
      <c r="N85" s="1080" t="str">
        <f t="shared" si="3"/>
        <v/>
      </c>
    </row>
    <row r="86" spans="2:14" s="249" customFormat="1" ht="19.899999999999999" hidden="1" customHeight="1" outlineLevel="2" x14ac:dyDescent="0.25">
      <c r="B86" s="278"/>
      <c r="C86" s="278"/>
      <c r="D86" s="1019"/>
      <c r="E86" s="1019"/>
      <c r="F86" s="1018" t="str">
        <f>IF(C86="","",VLOOKUP($C86,'Fatores de Emissão'!$D$86:$J$96,3,FALSE))</f>
        <v/>
      </c>
      <c r="G86" s="851" t="str">
        <f>IF(D86="","",VLOOKUP($C86,'Fatores de Emissão'!$D$86:$J$96,2,FALSE))</f>
        <v/>
      </c>
      <c r="H86" s="851" t="str">
        <f>IF(D86="","",VLOOKUP($C86,'Fatores de Emissão'!$D$86:$J$96,4,FALSE))</f>
        <v/>
      </c>
      <c r="I86" s="851" t="str">
        <f>IF(D86="","",VLOOKUP($C86,'Fatores de Emissão'!$D$86:$J$96,6,FALSE))</f>
        <v/>
      </c>
      <c r="J86" s="851" t="str">
        <f t="shared" si="4"/>
        <v>-</v>
      </c>
      <c r="K86" s="851" t="str">
        <f t="shared" si="5"/>
        <v>-</v>
      </c>
      <c r="L86" s="851" t="str">
        <f t="shared" si="6"/>
        <v>-</v>
      </c>
      <c r="M86" s="852" t="str">
        <f>IFERROR(IF(SUM(J86:L86)=0,"",J86+K86*'Fatores de Emissão'!$E$258+L86*'Fatores de Emissão'!$E$259),"")</f>
        <v/>
      </c>
      <c r="N86" s="1080" t="str">
        <f t="shared" si="3"/>
        <v/>
      </c>
    </row>
    <row r="87" spans="2:14" s="249" customFormat="1" ht="19.899999999999999" hidden="1" customHeight="1" outlineLevel="2" x14ac:dyDescent="0.25">
      <c r="B87" s="278"/>
      <c r="C87" s="278"/>
      <c r="D87" s="1019"/>
      <c r="E87" s="1019"/>
      <c r="F87" s="1018" t="str">
        <f>IF(C87="","",VLOOKUP($C87,'Fatores de Emissão'!$D$86:$J$96,3,FALSE))</f>
        <v/>
      </c>
      <c r="G87" s="851" t="str">
        <f>IF(D87="","",VLOOKUP($C87,'Fatores de Emissão'!$D$86:$J$96,2,FALSE))</f>
        <v/>
      </c>
      <c r="H87" s="851" t="str">
        <f>IF(D87="","",VLOOKUP($C87,'Fatores de Emissão'!$D$86:$J$96,4,FALSE))</f>
        <v/>
      </c>
      <c r="I87" s="851" t="str">
        <f>IF(D87="","",VLOOKUP($C87,'Fatores de Emissão'!$D$86:$J$96,6,FALSE))</f>
        <v/>
      </c>
      <c r="J87" s="851" t="str">
        <f t="shared" si="4"/>
        <v>-</v>
      </c>
      <c r="K87" s="851" t="str">
        <f t="shared" si="5"/>
        <v>-</v>
      </c>
      <c r="L87" s="851" t="str">
        <f t="shared" si="6"/>
        <v>-</v>
      </c>
      <c r="M87" s="852" t="str">
        <f>IFERROR(IF(SUM(J87:L87)=0,"",J87+K87*'Fatores de Emissão'!$E$258+L87*'Fatores de Emissão'!$E$259),"")</f>
        <v/>
      </c>
      <c r="N87" s="1080" t="str">
        <f t="shared" si="3"/>
        <v/>
      </c>
    </row>
    <row r="88" spans="2:14" s="249" customFormat="1" ht="19.899999999999999" hidden="1" customHeight="1" outlineLevel="2" x14ac:dyDescent="0.25">
      <c r="B88" s="278"/>
      <c r="C88" s="278"/>
      <c r="D88" s="1019"/>
      <c r="E88" s="1019"/>
      <c r="F88" s="1018" t="str">
        <f>IF(C88="","",VLOOKUP($C88,'Fatores de Emissão'!$D$86:$J$96,3,FALSE))</f>
        <v/>
      </c>
      <c r="G88" s="851" t="str">
        <f>IF(D88="","",VLOOKUP($C88,'Fatores de Emissão'!$D$86:$J$96,2,FALSE))</f>
        <v/>
      </c>
      <c r="H88" s="851" t="str">
        <f>IF(D88="","",VLOOKUP($C88,'Fatores de Emissão'!$D$86:$J$96,4,FALSE))</f>
        <v/>
      </c>
      <c r="I88" s="851" t="str">
        <f>IF(D88="","",VLOOKUP($C88,'Fatores de Emissão'!$D$86:$J$96,6,FALSE))</f>
        <v/>
      </c>
      <c r="J88" s="851" t="str">
        <f t="shared" si="4"/>
        <v>-</v>
      </c>
      <c r="K88" s="851" t="str">
        <f t="shared" si="5"/>
        <v>-</v>
      </c>
      <c r="L88" s="851" t="str">
        <f t="shared" si="6"/>
        <v>-</v>
      </c>
      <c r="M88" s="852" t="str">
        <f>IFERROR(IF(SUM(J88:L88)=0,"",J88+K88*'Fatores de Emissão'!$E$258+L88*'Fatores de Emissão'!$E$259),"")</f>
        <v/>
      </c>
      <c r="N88" s="1080" t="str">
        <f t="shared" si="3"/>
        <v/>
      </c>
    </row>
    <row r="89" spans="2:14" s="249" customFormat="1" ht="19.899999999999999" hidden="1" customHeight="1" outlineLevel="2" x14ac:dyDescent="0.25">
      <c r="B89" s="278"/>
      <c r="C89" s="278"/>
      <c r="D89" s="1019"/>
      <c r="E89" s="1019"/>
      <c r="F89" s="1018" t="str">
        <f>IF(C89="","",VLOOKUP($C89,'Fatores de Emissão'!$D$86:$J$96,3,FALSE))</f>
        <v/>
      </c>
      <c r="G89" s="851" t="str">
        <f>IF(D89="","",VLOOKUP($C89,'Fatores de Emissão'!$D$86:$J$96,2,FALSE))</f>
        <v/>
      </c>
      <c r="H89" s="851" t="str">
        <f>IF(D89="","",VLOOKUP($C89,'Fatores de Emissão'!$D$86:$J$96,4,FALSE))</f>
        <v/>
      </c>
      <c r="I89" s="851" t="str">
        <f>IF(D89="","",VLOOKUP($C89,'Fatores de Emissão'!$D$86:$J$96,6,FALSE))</f>
        <v/>
      </c>
      <c r="J89" s="851" t="str">
        <f t="shared" si="4"/>
        <v>-</v>
      </c>
      <c r="K89" s="851" t="str">
        <f t="shared" si="5"/>
        <v>-</v>
      </c>
      <c r="L89" s="851" t="str">
        <f t="shared" si="6"/>
        <v>-</v>
      </c>
      <c r="M89" s="852" t="str">
        <f>IFERROR(IF(SUM(J89:L89)=0,"",J89+K89*'Fatores de Emissão'!$E$258+L89*'Fatores de Emissão'!$E$259),"")</f>
        <v/>
      </c>
      <c r="N89" s="1080" t="str">
        <f t="shared" si="3"/>
        <v/>
      </c>
    </row>
    <row r="90" spans="2:14" s="249" customFormat="1" ht="19.899999999999999" hidden="1" customHeight="1" outlineLevel="2" x14ac:dyDescent="0.25">
      <c r="B90" s="278"/>
      <c r="C90" s="278"/>
      <c r="D90" s="1019"/>
      <c r="E90" s="1019"/>
      <c r="F90" s="1018" t="str">
        <f>IF(C90="","",VLOOKUP($C90,'Fatores de Emissão'!$D$86:$J$96,3,FALSE))</f>
        <v/>
      </c>
      <c r="G90" s="851" t="str">
        <f>IF(D90="","",VLOOKUP($C90,'Fatores de Emissão'!$D$86:$J$96,2,FALSE))</f>
        <v/>
      </c>
      <c r="H90" s="851" t="str">
        <f>IF(D90="","",VLOOKUP($C90,'Fatores de Emissão'!$D$86:$J$96,4,FALSE))</f>
        <v/>
      </c>
      <c r="I90" s="851" t="str">
        <f>IF(D90="","",VLOOKUP($C90,'Fatores de Emissão'!$D$86:$J$96,6,FALSE))</f>
        <v/>
      </c>
      <c r="J90" s="851" t="str">
        <f t="shared" si="4"/>
        <v>-</v>
      </c>
      <c r="K90" s="851" t="str">
        <f t="shared" si="5"/>
        <v>-</v>
      </c>
      <c r="L90" s="851" t="str">
        <f t="shared" si="6"/>
        <v>-</v>
      </c>
      <c r="M90" s="852" t="str">
        <f>IFERROR(IF(SUM(J90:L90)=0,"",J90+K90*'Fatores de Emissão'!$E$258+L90*'Fatores de Emissão'!$E$259),"")</f>
        <v/>
      </c>
      <c r="N90" s="1080" t="str">
        <f t="shared" si="3"/>
        <v/>
      </c>
    </row>
    <row r="91" spans="2:14" s="249" customFormat="1" ht="19.899999999999999" hidden="1" customHeight="1" outlineLevel="2" x14ac:dyDescent="0.25">
      <c r="B91" s="278"/>
      <c r="C91" s="278"/>
      <c r="D91" s="1019"/>
      <c r="E91" s="1019"/>
      <c r="F91" s="1018" t="str">
        <f>IF(C91="","",VLOOKUP($C91,'Fatores de Emissão'!$D$86:$J$96,3,FALSE))</f>
        <v/>
      </c>
      <c r="G91" s="851" t="str">
        <f>IF(D91="","",VLOOKUP($C91,'Fatores de Emissão'!$D$86:$J$96,2,FALSE))</f>
        <v/>
      </c>
      <c r="H91" s="851" t="str">
        <f>IF(D91="","",VLOOKUP($C91,'Fatores de Emissão'!$D$86:$J$96,4,FALSE))</f>
        <v/>
      </c>
      <c r="I91" s="851" t="str">
        <f>IF(D91="","",VLOOKUP($C91,'Fatores de Emissão'!$D$86:$J$96,6,FALSE))</f>
        <v/>
      </c>
      <c r="J91" s="851" t="str">
        <f t="shared" si="4"/>
        <v>-</v>
      </c>
      <c r="K91" s="851" t="str">
        <f t="shared" si="5"/>
        <v>-</v>
      </c>
      <c r="L91" s="851" t="str">
        <f t="shared" si="6"/>
        <v>-</v>
      </c>
      <c r="M91" s="852" t="str">
        <f>IFERROR(IF(SUM(J91:L91)=0,"",J91+K91*'Fatores de Emissão'!$E$258+L91*'Fatores de Emissão'!$E$259),"")</f>
        <v/>
      </c>
      <c r="N91" s="1080" t="str">
        <f t="shared" si="3"/>
        <v/>
      </c>
    </row>
    <row r="92" spans="2:14" s="249" customFormat="1" ht="19.899999999999999" hidden="1" customHeight="1" outlineLevel="2" x14ac:dyDescent="0.25">
      <c r="B92" s="278"/>
      <c r="C92" s="278"/>
      <c r="D92" s="1019"/>
      <c r="E92" s="1019"/>
      <c r="F92" s="1018" t="str">
        <f>IF(C92="","",VLOOKUP($C92,'Fatores de Emissão'!$D$86:$J$96,3,FALSE))</f>
        <v/>
      </c>
      <c r="G92" s="851" t="str">
        <f>IF(D92="","",VLOOKUP($C92,'Fatores de Emissão'!$D$86:$J$96,2,FALSE))</f>
        <v/>
      </c>
      <c r="H92" s="851" t="str">
        <f>IF(D92="","",VLOOKUP($C92,'Fatores de Emissão'!$D$86:$J$96,4,FALSE))</f>
        <v/>
      </c>
      <c r="I92" s="851" t="str">
        <f>IF(D92="","",VLOOKUP($C92,'Fatores de Emissão'!$D$86:$J$96,6,FALSE))</f>
        <v/>
      </c>
      <c r="J92" s="851" t="str">
        <f t="shared" si="4"/>
        <v>-</v>
      </c>
      <c r="K92" s="851" t="str">
        <f t="shared" si="5"/>
        <v>-</v>
      </c>
      <c r="L92" s="851" t="str">
        <f t="shared" si="6"/>
        <v>-</v>
      </c>
      <c r="M92" s="852" t="str">
        <f>IFERROR(IF(SUM(J92:L92)=0,"",J92+K92*'Fatores de Emissão'!$E$258+L92*'Fatores de Emissão'!$E$259),"")</f>
        <v/>
      </c>
      <c r="N92" s="1080" t="str">
        <f t="shared" si="3"/>
        <v/>
      </c>
    </row>
    <row r="93" spans="2:14" s="249" customFormat="1" ht="19.899999999999999" hidden="1" customHeight="1" outlineLevel="2" x14ac:dyDescent="0.25">
      <c r="B93" s="278"/>
      <c r="C93" s="278"/>
      <c r="D93" s="1019"/>
      <c r="E93" s="1019"/>
      <c r="F93" s="1018" t="str">
        <f>IF(C93="","",VLOOKUP($C93,'Fatores de Emissão'!$D$86:$J$96,3,FALSE))</f>
        <v/>
      </c>
      <c r="G93" s="851" t="str">
        <f>IF(D93="","",VLOOKUP($C93,'Fatores de Emissão'!$D$86:$J$96,2,FALSE))</f>
        <v/>
      </c>
      <c r="H93" s="851" t="str">
        <f>IF(D93="","",VLOOKUP($C93,'Fatores de Emissão'!$D$86:$J$96,4,FALSE))</f>
        <v/>
      </c>
      <c r="I93" s="851" t="str">
        <f>IF(D93="","",VLOOKUP($C93,'Fatores de Emissão'!$D$86:$J$96,6,FALSE))</f>
        <v/>
      </c>
      <c r="J93" s="851" t="str">
        <f t="shared" si="4"/>
        <v>-</v>
      </c>
      <c r="K93" s="851" t="str">
        <f t="shared" si="5"/>
        <v>-</v>
      </c>
      <c r="L93" s="851" t="str">
        <f t="shared" si="6"/>
        <v>-</v>
      </c>
      <c r="M93" s="852" t="str">
        <f>IFERROR(IF(SUM(J93:L93)=0,"",J93+K93*'Fatores de Emissão'!$E$258+L93*'Fatores de Emissão'!$E$259),"")</f>
        <v/>
      </c>
      <c r="N93" s="1080" t="str">
        <f t="shared" si="3"/>
        <v/>
      </c>
    </row>
    <row r="94" spans="2:14" s="249" customFormat="1" ht="19.899999999999999" hidden="1" customHeight="1" outlineLevel="2" x14ac:dyDescent="0.25">
      <c r="B94" s="278"/>
      <c r="C94" s="278"/>
      <c r="D94" s="1019"/>
      <c r="E94" s="1019"/>
      <c r="F94" s="1018" t="str">
        <f>IF(C94="","",VLOOKUP($C94,'Fatores de Emissão'!$D$86:$J$96,3,FALSE))</f>
        <v/>
      </c>
      <c r="G94" s="851" t="str">
        <f>IF(D94="","",VLOOKUP($C94,'Fatores de Emissão'!$D$86:$J$96,2,FALSE))</f>
        <v/>
      </c>
      <c r="H94" s="851" t="str">
        <f>IF(D94="","",VLOOKUP($C94,'Fatores de Emissão'!$D$86:$J$96,4,FALSE))</f>
        <v/>
      </c>
      <c r="I94" s="851" t="str">
        <f>IF(D94="","",VLOOKUP($C94,'Fatores de Emissão'!$D$86:$J$96,6,FALSE))</f>
        <v/>
      </c>
      <c r="J94" s="851" t="str">
        <f t="shared" si="4"/>
        <v>-</v>
      </c>
      <c r="K94" s="851" t="str">
        <f t="shared" si="5"/>
        <v>-</v>
      </c>
      <c r="L94" s="851" t="str">
        <f t="shared" si="6"/>
        <v>-</v>
      </c>
      <c r="M94" s="852" t="str">
        <f>IFERROR(IF(SUM(J94:L94)=0,"",J94+K94*'Fatores de Emissão'!$E$258+L94*'Fatores de Emissão'!$E$259),"")</f>
        <v/>
      </c>
      <c r="N94" s="1080" t="str">
        <f t="shared" si="3"/>
        <v/>
      </c>
    </row>
    <row r="95" spans="2:14" s="249" customFormat="1" ht="19.899999999999999" hidden="1" customHeight="1" outlineLevel="2" x14ac:dyDescent="0.25">
      <c r="B95" s="278"/>
      <c r="C95" s="278"/>
      <c r="D95" s="1019"/>
      <c r="E95" s="1019"/>
      <c r="F95" s="1018" t="str">
        <f>IF(C95="","",VLOOKUP($C95,'Fatores de Emissão'!$D$86:$J$96,3,FALSE))</f>
        <v/>
      </c>
      <c r="G95" s="851" t="str">
        <f>IF(D95="","",VLOOKUP($C95,'Fatores de Emissão'!$D$86:$J$96,2,FALSE))</f>
        <v/>
      </c>
      <c r="H95" s="851" t="str">
        <f>IF(D95="","",VLOOKUP($C95,'Fatores de Emissão'!$D$86:$J$96,4,FALSE))</f>
        <v/>
      </c>
      <c r="I95" s="851" t="str">
        <f>IF(D95="","",VLOOKUP($C95,'Fatores de Emissão'!$D$86:$J$96,6,FALSE))</f>
        <v/>
      </c>
      <c r="J95" s="851" t="str">
        <f t="shared" ref="J95:J130" si="7">IFERROR(G95/1000*D95,"-")</f>
        <v>-</v>
      </c>
      <c r="K95" s="851" t="str">
        <f t="shared" ref="K95:K130" si="8">IFERROR(H95/1000*D95,"-")</f>
        <v>-</v>
      </c>
      <c r="L95" s="851" t="str">
        <f t="shared" ref="L95:L130" si="9">IFERROR(I95/1000*D95,"-")</f>
        <v>-</v>
      </c>
      <c r="M95" s="852" t="str">
        <f>IFERROR(IF(SUM(J95:L95)=0,"",J95+K95*'Fatores de Emissão'!$E$258+L95*'Fatores de Emissão'!$E$259),"")</f>
        <v/>
      </c>
      <c r="N95" s="1080" t="str">
        <f t="shared" si="3"/>
        <v/>
      </c>
    </row>
    <row r="96" spans="2:14" s="249" customFormat="1" ht="19.899999999999999" hidden="1" customHeight="1" outlineLevel="2" x14ac:dyDescent="0.25">
      <c r="B96" s="278"/>
      <c r="C96" s="278"/>
      <c r="D96" s="1019"/>
      <c r="E96" s="1019"/>
      <c r="F96" s="1018" t="str">
        <f>IF(C96="","",VLOOKUP($C96,'Fatores de Emissão'!$D$86:$J$96,3,FALSE))</f>
        <v/>
      </c>
      <c r="G96" s="851" t="str">
        <f>IF(D96="","",VLOOKUP($C96,'Fatores de Emissão'!$D$86:$J$96,2,FALSE))</f>
        <v/>
      </c>
      <c r="H96" s="851" t="str">
        <f>IF(D96="","",VLOOKUP($C96,'Fatores de Emissão'!$D$86:$J$96,4,FALSE))</f>
        <v/>
      </c>
      <c r="I96" s="851" t="str">
        <f>IF(D96="","",VLOOKUP($C96,'Fatores de Emissão'!$D$86:$J$96,6,FALSE))</f>
        <v/>
      </c>
      <c r="J96" s="851" t="str">
        <f t="shared" si="7"/>
        <v>-</v>
      </c>
      <c r="K96" s="851" t="str">
        <f t="shared" si="8"/>
        <v>-</v>
      </c>
      <c r="L96" s="851" t="str">
        <f t="shared" si="9"/>
        <v>-</v>
      </c>
      <c r="M96" s="852" t="str">
        <f>IFERROR(IF(SUM(J96:L96)=0,"",J96+K96*'Fatores de Emissão'!$E$258+L96*'Fatores de Emissão'!$E$259),"")</f>
        <v/>
      </c>
      <c r="N96" s="1080" t="str">
        <f t="shared" ref="N96:N130" si="10">IF(D96="","",IFERROR(D96*1,"Erro, confira o valor da distância percorrida"))</f>
        <v/>
      </c>
    </row>
    <row r="97" spans="2:14" s="249" customFormat="1" ht="19.899999999999999" hidden="1" customHeight="1" outlineLevel="2" x14ac:dyDescent="0.25">
      <c r="B97" s="278"/>
      <c r="C97" s="278"/>
      <c r="D97" s="1019"/>
      <c r="E97" s="1019"/>
      <c r="F97" s="1018" t="str">
        <f>IF(C97="","",VLOOKUP($C97,'Fatores de Emissão'!$D$86:$J$96,3,FALSE))</f>
        <v/>
      </c>
      <c r="G97" s="851" t="str">
        <f>IF(D97="","",VLOOKUP($C97,'Fatores de Emissão'!$D$86:$J$96,2,FALSE))</f>
        <v/>
      </c>
      <c r="H97" s="851" t="str">
        <f>IF(D97="","",VLOOKUP($C97,'Fatores de Emissão'!$D$86:$J$96,4,FALSE))</f>
        <v/>
      </c>
      <c r="I97" s="851" t="str">
        <f>IF(D97="","",VLOOKUP($C97,'Fatores de Emissão'!$D$86:$J$96,6,FALSE))</f>
        <v/>
      </c>
      <c r="J97" s="851" t="str">
        <f t="shared" si="7"/>
        <v>-</v>
      </c>
      <c r="K97" s="851" t="str">
        <f t="shared" si="8"/>
        <v>-</v>
      </c>
      <c r="L97" s="851" t="str">
        <f t="shared" si="9"/>
        <v>-</v>
      </c>
      <c r="M97" s="852" t="str">
        <f>IFERROR(IF(SUM(J97:L97)=0,"",J97+K97*'Fatores de Emissão'!$E$258+L97*'Fatores de Emissão'!$E$259),"")</f>
        <v/>
      </c>
      <c r="N97" s="1080" t="str">
        <f t="shared" si="10"/>
        <v/>
      </c>
    </row>
    <row r="98" spans="2:14" s="249" customFormat="1" ht="19.899999999999999" hidden="1" customHeight="1" outlineLevel="2" x14ac:dyDescent="0.25">
      <c r="B98" s="278"/>
      <c r="C98" s="278"/>
      <c r="D98" s="1019"/>
      <c r="E98" s="1019"/>
      <c r="F98" s="1018" t="str">
        <f>IF(C98="","",VLOOKUP($C98,'Fatores de Emissão'!$D$86:$J$96,3,FALSE))</f>
        <v/>
      </c>
      <c r="G98" s="851" t="str">
        <f>IF(D98="","",VLOOKUP($C98,'Fatores de Emissão'!$D$86:$J$96,2,FALSE))</f>
        <v/>
      </c>
      <c r="H98" s="851" t="str">
        <f>IF(D98="","",VLOOKUP($C98,'Fatores de Emissão'!$D$86:$J$96,4,FALSE))</f>
        <v/>
      </c>
      <c r="I98" s="851" t="str">
        <f>IF(D98="","",VLOOKUP($C98,'Fatores de Emissão'!$D$86:$J$96,6,FALSE))</f>
        <v/>
      </c>
      <c r="J98" s="851" t="str">
        <f t="shared" si="7"/>
        <v>-</v>
      </c>
      <c r="K98" s="851" t="str">
        <f t="shared" si="8"/>
        <v>-</v>
      </c>
      <c r="L98" s="851" t="str">
        <f t="shared" si="9"/>
        <v>-</v>
      </c>
      <c r="M98" s="852" t="str">
        <f>IFERROR(IF(SUM(J98:L98)=0,"",J98+K98*'Fatores de Emissão'!$E$258+L98*'Fatores de Emissão'!$E$259),"")</f>
        <v/>
      </c>
      <c r="N98" s="1080" t="str">
        <f t="shared" si="10"/>
        <v/>
      </c>
    </row>
    <row r="99" spans="2:14" s="249" customFormat="1" ht="19.899999999999999" hidden="1" customHeight="1" outlineLevel="2" x14ac:dyDescent="0.25">
      <c r="B99" s="278"/>
      <c r="C99" s="278"/>
      <c r="D99" s="1019"/>
      <c r="E99" s="1019"/>
      <c r="F99" s="1018" t="str">
        <f>IF(C99="","",VLOOKUP($C99,'Fatores de Emissão'!$D$86:$J$96,3,FALSE))</f>
        <v/>
      </c>
      <c r="G99" s="851" t="str">
        <f>IF(D99="","",VLOOKUP($C99,'Fatores de Emissão'!$D$86:$J$96,2,FALSE))</f>
        <v/>
      </c>
      <c r="H99" s="851" t="str">
        <f>IF(D99="","",VLOOKUP($C99,'Fatores de Emissão'!$D$86:$J$96,4,FALSE))</f>
        <v/>
      </c>
      <c r="I99" s="851" t="str">
        <f>IF(D99="","",VLOOKUP($C99,'Fatores de Emissão'!$D$86:$J$96,6,FALSE))</f>
        <v/>
      </c>
      <c r="J99" s="851" t="str">
        <f t="shared" si="7"/>
        <v>-</v>
      </c>
      <c r="K99" s="851" t="str">
        <f t="shared" si="8"/>
        <v>-</v>
      </c>
      <c r="L99" s="851" t="str">
        <f t="shared" si="9"/>
        <v>-</v>
      </c>
      <c r="M99" s="852" t="str">
        <f>IFERROR(IF(SUM(J99:L99)=0,"",J99+K99*'Fatores de Emissão'!$E$258+L99*'Fatores de Emissão'!$E$259),"")</f>
        <v/>
      </c>
      <c r="N99" s="1080" t="str">
        <f t="shared" si="10"/>
        <v/>
      </c>
    </row>
    <row r="100" spans="2:14" s="249" customFormat="1" ht="19.899999999999999" hidden="1" customHeight="1" outlineLevel="2" x14ac:dyDescent="0.25">
      <c r="B100" s="278"/>
      <c r="C100" s="278"/>
      <c r="D100" s="1019"/>
      <c r="E100" s="1019"/>
      <c r="F100" s="1018" t="str">
        <f>IF(C100="","",VLOOKUP($C100,'Fatores de Emissão'!$D$86:$J$96,3,FALSE))</f>
        <v/>
      </c>
      <c r="G100" s="851" t="str">
        <f>IF(D100="","",VLOOKUP($C100,'Fatores de Emissão'!$D$86:$J$96,2,FALSE))</f>
        <v/>
      </c>
      <c r="H100" s="851" t="str">
        <f>IF(D100="","",VLOOKUP($C100,'Fatores de Emissão'!$D$86:$J$96,4,FALSE))</f>
        <v/>
      </c>
      <c r="I100" s="851" t="str">
        <f>IF(D100="","",VLOOKUP($C100,'Fatores de Emissão'!$D$86:$J$96,6,FALSE))</f>
        <v/>
      </c>
      <c r="J100" s="851" t="str">
        <f t="shared" si="7"/>
        <v>-</v>
      </c>
      <c r="K100" s="851" t="str">
        <f t="shared" si="8"/>
        <v>-</v>
      </c>
      <c r="L100" s="851" t="str">
        <f t="shared" si="9"/>
        <v>-</v>
      </c>
      <c r="M100" s="852" t="str">
        <f>IFERROR(IF(SUM(J100:L100)=0,"",J100+K100*'Fatores de Emissão'!$E$258+L100*'Fatores de Emissão'!$E$259),"")</f>
        <v/>
      </c>
      <c r="N100" s="1080" t="str">
        <f t="shared" si="10"/>
        <v/>
      </c>
    </row>
    <row r="101" spans="2:14" s="249" customFormat="1" ht="19.899999999999999" hidden="1" customHeight="1" outlineLevel="2" x14ac:dyDescent="0.25">
      <c r="B101" s="278"/>
      <c r="C101" s="278"/>
      <c r="D101" s="1019"/>
      <c r="E101" s="1019"/>
      <c r="F101" s="1018" t="str">
        <f>IF(C101="","",VLOOKUP($C101,'Fatores de Emissão'!$D$86:$J$96,3,FALSE))</f>
        <v/>
      </c>
      <c r="G101" s="851" t="str">
        <f>IF(D101="","",VLOOKUP($C101,'Fatores de Emissão'!$D$86:$J$96,2,FALSE))</f>
        <v/>
      </c>
      <c r="H101" s="851" t="str">
        <f>IF(D101="","",VLOOKUP($C101,'Fatores de Emissão'!$D$86:$J$96,4,FALSE))</f>
        <v/>
      </c>
      <c r="I101" s="851" t="str">
        <f>IF(D101="","",VLOOKUP($C101,'Fatores de Emissão'!$D$86:$J$96,6,FALSE))</f>
        <v/>
      </c>
      <c r="J101" s="851" t="str">
        <f t="shared" si="7"/>
        <v>-</v>
      </c>
      <c r="K101" s="851" t="str">
        <f t="shared" si="8"/>
        <v>-</v>
      </c>
      <c r="L101" s="851" t="str">
        <f t="shared" si="9"/>
        <v>-</v>
      </c>
      <c r="M101" s="852" t="str">
        <f>IFERROR(IF(SUM(J101:L101)=0,"",J101+K101*'Fatores de Emissão'!$E$258+L101*'Fatores de Emissão'!$E$259),"")</f>
        <v/>
      </c>
      <c r="N101" s="1080" t="str">
        <f t="shared" si="10"/>
        <v/>
      </c>
    </row>
    <row r="102" spans="2:14" s="249" customFormat="1" ht="19.899999999999999" hidden="1" customHeight="1" outlineLevel="2" x14ac:dyDescent="0.25">
      <c r="B102" s="278"/>
      <c r="C102" s="278"/>
      <c r="D102" s="1019"/>
      <c r="E102" s="1019"/>
      <c r="F102" s="1018" t="str">
        <f>IF(C102="","",VLOOKUP($C102,'Fatores de Emissão'!$D$86:$J$96,3,FALSE))</f>
        <v/>
      </c>
      <c r="G102" s="851" t="str">
        <f>IF(D102="","",VLOOKUP($C102,'Fatores de Emissão'!$D$86:$J$96,2,FALSE))</f>
        <v/>
      </c>
      <c r="H102" s="851" t="str">
        <f>IF(D102="","",VLOOKUP($C102,'Fatores de Emissão'!$D$86:$J$96,4,FALSE))</f>
        <v/>
      </c>
      <c r="I102" s="851" t="str">
        <f>IF(D102="","",VLOOKUP($C102,'Fatores de Emissão'!$D$86:$J$96,6,FALSE))</f>
        <v/>
      </c>
      <c r="J102" s="851" t="str">
        <f t="shared" si="7"/>
        <v>-</v>
      </c>
      <c r="K102" s="851" t="str">
        <f t="shared" si="8"/>
        <v>-</v>
      </c>
      <c r="L102" s="851" t="str">
        <f t="shared" si="9"/>
        <v>-</v>
      </c>
      <c r="M102" s="852" t="str">
        <f>IFERROR(IF(SUM(J102:L102)=0,"",J102+K102*'Fatores de Emissão'!$E$258+L102*'Fatores de Emissão'!$E$259),"")</f>
        <v/>
      </c>
      <c r="N102" s="1080" t="str">
        <f t="shared" si="10"/>
        <v/>
      </c>
    </row>
    <row r="103" spans="2:14" s="249" customFormat="1" ht="19.899999999999999" hidden="1" customHeight="1" outlineLevel="2" x14ac:dyDescent="0.25">
      <c r="B103" s="278"/>
      <c r="C103" s="278"/>
      <c r="D103" s="1019"/>
      <c r="E103" s="1019"/>
      <c r="F103" s="1018" t="str">
        <f>IF(C103="","",VLOOKUP($C103,'Fatores de Emissão'!$D$86:$J$96,3,FALSE))</f>
        <v/>
      </c>
      <c r="G103" s="851" t="str">
        <f>IF(D103="","",VLOOKUP($C103,'Fatores de Emissão'!$D$86:$J$96,2,FALSE))</f>
        <v/>
      </c>
      <c r="H103" s="851" t="str">
        <f>IF(D103="","",VLOOKUP($C103,'Fatores de Emissão'!$D$86:$J$96,4,FALSE))</f>
        <v/>
      </c>
      <c r="I103" s="851" t="str">
        <f>IF(D103="","",VLOOKUP($C103,'Fatores de Emissão'!$D$86:$J$96,6,FALSE))</f>
        <v/>
      </c>
      <c r="J103" s="851" t="str">
        <f t="shared" si="7"/>
        <v>-</v>
      </c>
      <c r="K103" s="851" t="str">
        <f t="shared" si="8"/>
        <v>-</v>
      </c>
      <c r="L103" s="851" t="str">
        <f t="shared" si="9"/>
        <v>-</v>
      </c>
      <c r="M103" s="852" t="str">
        <f>IFERROR(IF(SUM(J103:L103)=0,"",J103+K103*'Fatores de Emissão'!$E$258+L103*'Fatores de Emissão'!$E$259),"")</f>
        <v/>
      </c>
      <c r="N103" s="1080" t="str">
        <f t="shared" si="10"/>
        <v/>
      </c>
    </row>
    <row r="104" spans="2:14" s="249" customFormat="1" ht="19.899999999999999" hidden="1" customHeight="1" outlineLevel="2" x14ac:dyDescent="0.25">
      <c r="B104" s="278"/>
      <c r="C104" s="278"/>
      <c r="D104" s="1019"/>
      <c r="E104" s="1019"/>
      <c r="F104" s="1018" t="str">
        <f>IF(C104="","",VLOOKUP($C104,'Fatores de Emissão'!$D$86:$J$96,3,FALSE))</f>
        <v/>
      </c>
      <c r="G104" s="851" t="str">
        <f>IF(D104="","",VLOOKUP($C104,'Fatores de Emissão'!$D$86:$J$96,2,FALSE))</f>
        <v/>
      </c>
      <c r="H104" s="851" t="str">
        <f>IF(D104="","",VLOOKUP($C104,'Fatores de Emissão'!$D$86:$J$96,4,FALSE))</f>
        <v/>
      </c>
      <c r="I104" s="851" t="str">
        <f>IF(D104="","",VLOOKUP($C104,'Fatores de Emissão'!$D$86:$J$96,6,FALSE))</f>
        <v/>
      </c>
      <c r="J104" s="851" t="str">
        <f t="shared" si="7"/>
        <v>-</v>
      </c>
      <c r="K104" s="851" t="str">
        <f t="shared" si="8"/>
        <v>-</v>
      </c>
      <c r="L104" s="851" t="str">
        <f t="shared" si="9"/>
        <v>-</v>
      </c>
      <c r="M104" s="852" t="str">
        <f>IFERROR(IF(SUM(J104:L104)=0,"",J104+K104*'Fatores de Emissão'!$E$258+L104*'Fatores de Emissão'!$E$259),"")</f>
        <v/>
      </c>
      <c r="N104" s="1080" t="str">
        <f t="shared" si="10"/>
        <v/>
      </c>
    </row>
    <row r="105" spans="2:14" s="249" customFormat="1" ht="19.899999999999999" hidden="1" customHeight="1" outlineLevel="2" x14ac:dyDescent="0.25">
      <c r="B105" s="278"/>
      <c r="C105" s="278"/>
      <c r="D105" s="1019"/>
      <c r="E105" s="1019"/>
      <c r="F105" s="1018" t="str">
        <f>IF(C105="","",VLOOKUP($C105,'Fatores de Emissão'!$D$86:$J$96,3,FALSE))</f>
        <v/>
      </c>
      <c r="G105" s="851" t="str">
        <f>IF(D105="","",VLOOKUP($C105,'Fatores de Emissão'!$D$86:$J$96,2,FALSE))</f>
        <v/>
      </c>
      <c r="H105" s="851" t="str">
        <f>IF(D105="","",VLOOKUP($C105,'Fatores de Emissão'!$D$86:$J$96,4,FALSE))</f>
        <v/>
      </c>
      <c r="I105" s="851" t="str">
        <f>IF(D105="","",VLOOKUP($C105,'Fatores de Emissão'!$D$86:$J$96,6,FALSE))</f>
        <v/>
      </c>
      <c r="J105" s="851" t="str">
        <f t="shared" si="7"/>
        <v>-</v>
      </c>
      <c r="K105" s="851" t="str">
        <f t="shared" si="8"/>
        <v>-</v>
      </c>
      <c r="L105" s="851" t="str">
        <f t="shared" si="9"/>
        <v>-</v>
      </c>
      <c r="M105" s="852" t="str">
        <f>IFERROR(IF(SUM(J105:L105)=0,"",J105+K105*'Fatores de Emissão'!$E$258+L105*'Fatores de Emissão'!$E$259),"")</f>
        <v/>
      </c>
      <c r="N105" s="1080" t="str">
        <f t="shared" si="10"/>
        <v/>
      </c>
    </row>
    <row r="106" spans="2:14" s="249" customFormat="1" ht="19.899999999999999" hidden="1" customHeight="1" outlineLevel="2" x14ac:dyDescent="0.25">
      <c r="B106" s="278"/>
      <c r="C106" s="278"/>
      <c r="D106" s="1019"/>
      <c r="E106" s="1019"/>
      <c r="F106" s="1018" t="str">
        <f>IF(C106="","",VLOOKUP($C106,'Fatores de Emissão'!$D$86:$J$96,3,FALSE))</f>
        <v/>
      </c>
      <c r="G106" s="851" t="str">
        <f>IF(D106="","",VLOOKUP($C106,'Fatores de Emissão'!$D$86:$J$96,2,FALSE))</f>
        <v/>
      </c>
      <c r="H106" s="851" t="str">
        <f>IF(D106="","",VLOOKUP($C106,'Fatores de Emissão'!$D$86:$J$96,4,FALSE))</f>
        <v/>
      </c>
      <c r="I106" s="851" t="str">
        <f>IF(D106="","",VLOOKUP($C106,'Fatores de Emissão'!$D$86:$J$96,6,FALSE))</f>
        <v/>
      </c>
      <c r="J106" s="851" t="str">
        <f t="shared" si="7"/>
        <v>-</v>
      </c>
      <c r="K106" s="851" t="str">
        <f t="shared" si="8"/>
        <v>-</v>
      </c>
      <c r="L106" s="851" t="str">
        <f t="shared" si="9"/>
        <v>-</v>
      </c>
      <c r="M106" s="852" t="str">
        <f>IFERROR(IF(SUM(J106:L106)=0,"",J106+K106*'Fatores de Emissão'!$E$258+L106*'Fatores de Emissão'!$E$259),"")</f>
        <v/>
      </c>
      <c r="N106" s="1080" t="str">
        <f t="shared" si="10"/>
        <v/>
      </c>
    </row>
    <row r="107" spans="2:14" s="249" customFormat="1" ht="19.899999999999999" hidden="1" customHeight="1" outlineLevel="2" x14ac:dyDescent="0.25">
      <c r="B107" s="278"/>
      <c r="C107" s="278"/>
      <c r="D107" s="1019"/>
      <c r="E107" s="1019"/>
      <c r="F107" s="1018" t="str">
        <f>IF(C107="","",VLOOKUP($C107,'Fatores de Emissão'!$D$86:$J$96,3,FALSE))</f>
        <v/>
      </c>
      <c r="G107" s="851" t="str">
        <f>IF(D107="","",VLOOKUP($C107,'Fatores de Emissão'!$D$86:$J$96,2,FALSE))</f>
        <v/>
      </c>
      <c r="H107" s="851" t="str">
        <f>IF(D107="","",VLOOKUP($C107,'Fatores de Emissão'!$D$86:$J$96,4,FALSE))</f>
        <v/>
      </c>
      <c r="I107" s="851" t="str">
        <f>IF(D107="","",VLOOKUP($C107,'Fatores de Emissão'!$D$86:$J$96,6,FALSE))</f>
        <v/>
      </c>
      <c r="J107" s="851" t="str">
        <f t="shared" si="7"/>
        <v>-</v>
      </c>
      <c r="K107" s="851" t="str">
        <f t="shared" si="8"/>
        <v>-</v>
      </c>
      <c r="L107" s="851" t="str">
        <f t="shared" si="9"/>
        <v>-</v>
      </c>
      <c r="M107" s="852" t="str">
        <f>IFERROR(IF(SUM(J107:L107)=0,"",J107+K107*'Fatores de Emissão'!$E$258+L107*'Fatores de Emissão'!$E$259),"")</f>
        <v/>
      </c>
      <c r="N107" s="1080" t="str">
        <f t="shared" si="10"/>
        <v/>
      </c>
    </row>
    <row r="108" spans="2:14" s="249" customFormat="1" ht="19.899999999999999" hidden="1" customHeight="1" outlineLevel="2" x14ac:dyDescent="0.25">
      <c r="B108" s="278"/>
      <c r="C108" s="278"/>
      <c r="D108" s="1019"/>
      <c r="E108" s="1019"/>
      <c r="F108" s="1018" t="str">
        <f>IF(C108="","",VLOOKUP($C108,'Fatores de Emissão'!$D$86:$J$96,3,FALSE))</f>
        <v/>
      </c>
      <c r="G108" s="851" t="str">
        <f>IF(D108="","",VLOOKUP($C108,'Fatores de Emissão'!$D$86:$J$96,2,FALSE))</f>
        <v/>
      </c>
      <c r="H108" s="851" t="str">
        <f>IF(D108="","",VLOOKUP($C108,'Fatores de Emissão'!$D$86:$J$96,4,FALSE))</f>
        <v/>
      </c>
      <c r="I108" s="851" t="str">
        <f>IF(D108="","",VLOOKUP($C108,'Fatores de Emissão'!$D$86:$J$96,6,FALSE))</f>
        <v/>
      </c>
      <c r="J108" s="851" t="str">
        <f t="shared" si="7"/>
        <v>-</v>
      </c>
      <c r="K108" s="851" t="str">
        <f t="shared" si="8"/>
        <v>-</v>
      </c>
      <c r="L108" s="851" t="str">
        <f t="shared" si="9"/>
        <v>-</v>
      </c>
      <c r="M108" s="852" t="str">
        <f>IFERROR(IF(SUM(J108:L108)=0,"",J108+K108*'Fatores de Emissão'!$E$258+L108*'Fatores de Emissão'!$E$259),"")</f>
        <v/>
      </c>
      <c r="N108" s="1080" t="str">
        <f t="shared" si="10"/>
        <v/>
      </c>
    </row>
    <row r="109" spans="2:14" s="249" customFormat="1" ht="19.899999999999999" hidden="1" customHeight="1" outlineLevel="2" x14ac:dyDescent="0.25">
      <c r="B109" s="278"/>
      <c r="C109" s="278"/>
      <c r="D109" s="1019"/>
      <c r="E109" s="1019"/>
      <c r="F109" s="1018" t="str">
        <f>IF(C109="","",VLOOKUP($C109,'Fatores de Emissão'!$D$86:$J$96,3,FALSE))</f>
        <v/>
      </c>
      <c r="G109" s="851" t="str">
        <f>IF(D109="","",VLOOKUP($C109,'Fatores de Emissão'!$D$86:$J$96,2,FALSE))</f>
        <v/>
      </c>
      <c r="H109" s="851" t="str">
        <f>IF(D109="","",VLOOKUP($C109,'Fatores de Emissão'!$D$86:$J$96,4,FALSE))</f>
        <v/>
      </c>
      <c r="I109" s="851" t="str">
        <f>IF(D109="","",VLOOKUP($C109,'Fatores de Emissão'!$D$86:$J$96,6,FALSE))</f>
        <v/>
      </c>
      <c r="J109" s="851" t="str">
        <f t="shared" si="7"/>
        <v>-</v>
      </c>
      <c r="K109" s="851" t="str">
        <f t="shared" si="8"/>
        <v>-</v>
      </c>
      <c r="L109" s="851" t="str">
        <f t="shared" si="9"/>
        <v>-</v>
      </c>
      <c r="M109" s="852" t="str">
        <f>IFERROR(IF(SUM(J109:L109)=0,"",J109+K109*'Fatores de Emissão'!$E$258+L109*'Fatores de Emissão'!$E$259),"")</f>
        <v/>
      </c>
      <c r="N109" s="1080" t="str">
        <f t="shared" si="10"/>
        <v/>
      </c>
    </row>
    <row r="110" spans="2:14" s="249" customFormat="1" ht="19.899999999999999" hidden="1" customHeight="1" outlineLevel="2" x14ac:dyDescent="0.25">
      <c r="B110" s="278"/>
      <c r="C110" s="278"/>
      <c r="D110" s="1019"/>
      <c r="E110" s="1019"/>
      <c r="F110" s="1018" t="str">
        <f>IF(C110="","",VLOOKUP($C110,'Fatores de Emissão'!$D$86:$J$96,3,FALSE))</f>
        <v/>
      </c>
      <c r="G110" s="851" t="str">
        <f>IF(D110="","",VLOOKUP($C110,'Fatores de Emissão'!$D$86:$J$96,2,FALSE))</f>
        <v/>
      </c>
      <c r="H110" s="851" t="str">
        <f>IF(D110="","",VLOOKUP($C110,'Fatores de Emissão'!$D$86:$J$96,4,FALSE))</f>
        <v/>
      </c>
      <c r="I110" s="851" t="str">
        <f>IF(D110="","",VLOOKUP($C110,'Fatores de Emissão'!$D$86:$J$96,6,FALSE))</f>
        <v/>
      </c>
      <c r="J110" s="851" t="str">
        <f t="shared" si="7"/>
        <v>-</v>
      </c>
      <c r="K110" s="851" t="str">
        <f t="shared" si="8"/>
        <v>-</v>
      </c>
      <c r="L110" s="851" t="str">
        <f t="shared" si="9"/>
        <v>-</v>
      </c>
      <c r="M110" s="852" t="str">
        <f>IFERROR(IF(SUM(J110:L110)=0,"",J110+K110*'Fatores de Emissão'!$E$258+L110*'Fatores de Emissão'!$E$259),"")</f>
        <v/>
      </c>
      <c r="N110" s="1080" t="str">
        <f t="shared" si="10"/>
        <v/>
      </c>
    </row>
    <row r="111" spans="2:14" s="249" customFormat="1" ht="19.899999999999999" hidden="1" customHeight="1" outlineLevel="2" x14ac:dyDescent="0.25">
      <c r="B111" s="278"/>
      <c r="C111" s="278"/>
      <c r="D111" s="1019"/>
      <c r="E111" s="1019"/>
      <c r="F111" s="1018" t="str">
        <f>IF(C111="","",VLOOKUP($C111,'Fatores de Emissão'!$D$86:$J$96,3,FALSE))</f>
        <v/>
      </c>
      <c r="G111" s="851" t="str">
        <f>IF(D111="","",VLOOKUP($C111,'Fatores de Emissão'!$D$86:$J$96,2,FALSE))</f>
        <v/>
      </c>
      <c r="H111" s="851" t="str">
        <f>IF(D111="","",VLOOKUP($C111,'Fatores de Emissão'!$D$86:$J$96,4,FALSE))</f>
        <v/>
      </c>
      <c r="I111" s="851" t="str">
        <f>IF(D111="","",VLOOKUP($C111,'Fatores de Emissão'!$D$86:$J$96,6,FALSE))</f>
        <v/>
      </c>
      <c r="J111" s="851" t="str">
        <f t="shared" si="7"/>
        <v>-</v>
      </c>
      <c r="K111" s="851" t="str">
        <f t="shared" si="8"/>
        <v>-</v>
      </c>
      <c r="L111" s="851" t="str">
        <f t="shared" si="9"/>
        <v>-</v>
      </c>
      <c r="M111" s="852" t="str">
        <f>IFERROR(IF(SUM(J111:L111)=0,"",J111+K111*'Fatores de Emissão'!$E$258+L111*'Fatores de Emissão'!$E$259),"")</f>
        <v/>
      </c>
      <c r="N111" s="1080" t="str">
        <f t="shared" si="10"/>
        <v/>
      </c>
    </row>
    <row r="112" spans="2:14" s="249" customFormat="1" ht="19.899999999999999" hidden="1" customHeight="1" outlineLevel="2" x14ac:dyDescent="0.25">
      <c r="B112" s="278"/>
      <c r="C112" s="278"/>
      <c r="D112" s="1019"/>
      <c r="E112" s="1019"/>
      <c r="F112" s="1018" t="str">
        <f>IF(C112="","",VLOOKUP($C112,'Fatores de Emissão'!$D$86:$J$96,3,FALSE))</f>
        <v/>
      </c>
      <c r="G112" s="851" t="str">
        <f>IF(D112="","",VLOOKUP($C112,'Fatores de Emissão'!$D$86:$J$96,2,FALSE))</f>
        <v/>
      </c>
      <c r="H112" s="851" t="str">
        <f>IF(D112="","",VLOOKUP($C112,'Fatores de Emissão'!$D$86:$J$96,4,FALSE))</f>
        <v/>
      </c>
      <c r="I112" s="851" t="str">
        <f>IF(D112="","",VLOOKUP($C112,'Fatores de Emissão'!$D$86:$J$96,6,FALSE))</f>
        <v/>
      </c>
      <c r="J112" s="851" t="str">
        <f t="shared" si="7"/>
        <v>-</v>
      </c>
      <c r="K112" s="851" t="str">
        <f t="shared" si="8"/>
        <v>-</v>
      </c>
      <c r="L112" s="851" t="str">
        <f t="shared" si="9"/>
        <v>-</v>
      </c>
      <c r="M112" s="852" t="str">
        <f>IFERROR(IF(SUM(J112:L112)=0,"",J112+K112*'Fatores de Emissão'!$E$258+L112*'Fatores de Emissão'!$E$259),"")</f>
        <v/>
      </c>
      <c r="N112" s="1080" t="str">
        <f t="shared" si="10"/>
        <v/>
      </c>
    </row>
    <row r="113" spans="2:14" s="249" customFormat="1" ht="19.899999999999999" hidden="1" customHeight="1" outlineLevel="2" x14ac:dyDescent="0.25">
      <c r="B113" s="278"/>
      <c r="C113" s="278"/>
      <c r="D113" s="1019"/>
      <c r="E113" s="1019"/>
      <c r="F113" s="1018" t="str">
        <f>IF(C113="","",VLOOKUP($C113,'Fatores de Emissão'!$D$86:$J$96,3,FALSE))</f>
        <v/>
      </c>
      <c r="G113" s="851" t="str">
        <f>IF(D113="","",VLOOKUP($C113,'Fatores de Emissão'!$D$86:$J$96,2,FALSE))</f>
        <v/>
      </c>
      <c r="H113" s="851" t="str">
        <f>IF(D113="","",VLOOKUP($C113,'Fatores de Emissão'!$D$86:$J$96,4,FALSE))</f>
        <v/>
      </c>
      <c r="I113" s="851" t="str">
        <f>IF(D113="","",VLOOKUP($C113,'Fatores de Emissão'!$D$86:$J$96,6,FALSE))</f>
        <v/>
      </c>
      <c r="J113" s="851" t="str">
        <f t="shared" si="7"/>
        <v>-</v>
      </c>
      <c r="K113" s="851" t="str">
        <f t="shared" si="8"/>
        <v>-</v>
      </c>
      <c r="L113" s="851" t="str">
        <f t="shared" si="9"/>
        <v>-</v>
      </c>
      <c r="M113" s="852" t="str">
        <f>IFERROR(IF(SUM(J113:L113)=0,"",J113+K113*'Fatores de Emissão'!$E$258+L113*'Fatores de Emissão'!$E$259),"")</f>
        <v/>
      </c>
      <c r="N113" s="1080" t="str">
        <f t="shared" si="10"/>
        <v/>
      </c>
    </row>
    <row r="114" spans="2:14" s="249" customFormat="1" ht="19.899999999999999" hidden="1" customHeight="1" outlineLevel="2" x14ac:dyDescent="0.25">
      <c r="B114" s="278"/>
      <c r="C114" s="278"/>
      <c r="D114" s="1019"/>
      <c r="E114" s="1019"/>
      <c r="F114" s="1018" t="str">
        <f>IF(C114="","",VLOOKUP($C114,'Fatores de Emissão'!$D$86:$J$96,3,FALSE))</f>
        <v/>
      </c>
      <c r="G114" s="851" t="str">
        <f>IF(D114="","",VLOOKUP($C114,'Fatores de Emissão'!$D$86:$J$96,2,FALSE))</f>
        <v/>
      </c>
      <c r="H114" s="851" t="str">
        <f>IF(D114="","",VLOOKUP($C114,'Fatores de Emissão'!$D$86:$J$96,4,FALSE))</f>
        <v/>
      </c>
      <c r="I114" s="851" t="str">
        <f>IF(D114="","",VLOOKUP($C114,'Fatores de Emissão'!$D$86:$J$96,6,FALSE))</f>
        <v/>
      </c>
      <c r="J114" s="851" t="str">
        <f t="shared" si="7"/>
        <v>-</v>
      </c>
      <c r="K114" s="851" t="str">
        <f t="shared" si="8"/>
        <v>-</v>
      </c>
      <c r="L114" s="851" t="str">
        <f t="shared" si="9"/>
        <v>-</v>
      </c>
      <c r="M114" s="852" t="str">
        <f>IFERROR(IF(SUM(J114:L114)=0,"",J114+K114*'Fatores de Emissão'!$E$258+L114*'Fatores de Emissão'!$E$259),"")</f>
        <v/>
      </c>
      <c r="N114" s="1080" t="str">
        <f t="shared" si="10"/>
        <v/>
      </c>
    </row>
    <row r="115" spans="2:14" s="249" customFormat="1" ht="19.899999999999999" hidden="1" customHeight="1" outlineLevel="2" x14ac:dyDescent="0.25">
      <c r="B115" s="278"/>
      <c r="C115" s="278"/>
      <c r="D115" s="1019"/>
      <c r="E115" s="1019"/>
      <c r="F115" s="1018" t="str">
        <f>IF(C115="","",VLOOKUP($C115,'Fatores de Emissão'!$D$86:$J$96,3,FALSE))</f>
        <v/>
      </c>
      <c r="G115" s="851" t="str">
        <f>IF(D115="","",VLOOKUP($C115,'Fatores de Emissão'!$D$86:$J$96,2,FALSE))</f>
        <v/>
      </c>
      <c r="H115" s="851" t="str">
        <f>IF(D115="","",VLOOKUP($C115,'Fatores de Emissão'!$D$86:$J$96,4,FALSE))</f>
        <v/>
      </c>
      <c r="I115" s="851" t="str">
        <f>IF(D115="","",VLOOKUP($C115,'Fatores de Emissão'!$D$86:$J$96,6,FALSE))</f>
        <v/>
      </c>
      <c r="J115" s="851" t="str">
        <f t="shared" si="7"/>
        <v>-</v>
      </c>
      <c r="K115" s="851" t="str">
        <f t="shared" si="8"/>
        <v>-</v>
      </c>
      <c r="L115" s="851" t="str">
        <f t="shared" si="9"/>
        <v>-</v>
      </c>
      <c r="M115" s="852" t="str">
        <f>IFERROR(IF(SUM(J115:L115)=0,"",J115+K115*'Fatores de Emissão'!$E$258+L115*'Fatores de Emissão'!$E$259),"")</f>
        <v/>
      </c>
      <c r="N115" s="1080" t="str">
        <f t="shared" si="10"/>
        <v/>
      </c>
    </row>
    <row r="116" spans="2:14" s="249" customFormat="1" ht="19.899999999999999" hidden="1" customHeight="1" outlineLevel="2" x14ac:dyDescent="0.25">
      <c r="B116" s="278"/>
      <c r="C116" s="278"/>
      <c r="D116" s="1019"/>
      <c r="E116" s="1019"/>
      <c r="F116" s="1018" t="str">
        <f>IF(C116="","",VLOOKUP($C116,'Fatores de Emissão'!$D$86:$J$96,3,FALSE))</f>
        <v/>
      </c>
      <c r="G116" s="851" t="str">
        <f>IF(D116="","",VLOOKUP($C116,'Fatores de Emissão'!$D$86:$J$96,2,FALSE))</f>
        <v/>
      </c>
      <c r="H116" s="851" t="str">
        <f>IF(D116="","",VLOOKUP($C116,'Fatores de Emissão'!$D$86:$J$96,4,FALSE))</f>
        <v/>
      </c>
      <c r="I116" s="851" t="str">
        <f>IF(D116="","",VLOOKUP($C116,'Fatores de Emissão'!$D$86:$J$96,6,FALSE))</f>
        <v/>
      </c>
      <c r="J116" s="851" t="str">
        <f t="shared" si="7"/>
        <v>-</v>
      </c>
      <c r="K116" s="851" t="str">
        <f t="shared" si="8"/>
        <v>-</v>
      </c>
      <c r="L116" s="851" t="str">
        <f t="shared" si="9"/>
        <v>-</v>
      </c>
      <c r="M116" s="852" t="str">
        <f>IFERROR(IF(SUM(J116:L116)=0,"",J116+K116*'Fatores de Emissão'!$E$258+L116*'Fatores de Emissão'!$E$259),"")</f>
        <v/>
      </c>
      <c r="N116" s="1080" t="str">
        <f t="shared" si="10"/>
        <v/>
      </c>
    </row>
    <row r="117" spans="2:14" s="249" customFormat="1" ht="19.899999999999999" hidden="1" customHeight="1" outlineLevel="2" x14ac:dyDescent="0.25">
      <c r="B117" s="278"/>
      <c r="C117" s="278"/>
      <c r="D117" s="1019"/>
      <c r="E117" s="1019"/>
      <c r="F117" s="1018" t="str">
        <f>IF(C117="","",VLOOKUP($C117,'Fatores de Emissão'!$D$86:$J$96,3,FALSE))</f>
        <v/>
      </c>
      <c r="G117" s="851" t="str">
        <f>IF(D117="","",VLOOKUP($C117,'Fatores de Emissão'!$D$86:$J$96,2,FALSE))</f>
        <v/>
      </c>
      <c r="H117" s="851" t="str">
        <f>IF(D117="","",VLOOKUP($C117,'Fatores de Emissão'!$D$86:$J$96,4,FALSE))</f>
        <v/>
      </c>
      <c r="I117" s="851" t="str">
        <f>IF(D117="","",VLOOKUP($C117,'Fatores de Emissão'!$D$86:$J$96,6,FALSE))</f>
        <v/>
      </c>
      <c r="J117" s="851" t="str">
        <f t="shared" si="7"/>
        <v>-</v>
      </c>
      <c r="K117" s="851" t="str">
        <f t="shared" si="8"/>
        <v>-</v>
      </c>
      <c r="L117" s="851" t="str">
        <f t="shared" si="9"/>
        <v>-</v>
      </c>
      <c r="M117" s="852" t="str">
        <f>IFERROR(IF(SUM(J117:L117)=0,"",J117+K117*'Fatores de Emissão'!$E$258+L117*'Fatores de Emissão'!$E$259),"")</f>
        <v/>
      </c>
      <c r="N117" s="1080" t="str">
        <f t="shared" si="10"/>
        <v/>
      </c>
    </row>
    <row r="118" spans="2:14" s="249" customFormat="1" ht="19.899999999999999" hidden="1" customHeight="1" outlineLevel="2" x14ac:dyDescent="0.25">
      <c r="B118" s="278"/>
      <c r="C118" s="278"/>
      <c r="D118" s="1019"/>
      <c r="E118" s="1019"/>
      <c r="F118" s="1018" t="str">
        <f>IF(C118="","",VLOOKUP($C118,'Fatores de Emissão'!$D$86:$J$96,3,FALSE))</f>
        <v/>
      </c>
      <c r="G118" s="851" t="str">
        <f>IF(D118="","",VLOOKUP($C118,'Fatores de Emissão'!$D$86:$J$96,2,FALSE))</f>
        <v/>
      </c>
      <c r="H118" s="851" t="str">
        <f>IF(D118="","",VLOOKUP($C118,'Fatores de Emissão'!$D$86:$J$96,4,FALSE))</f>
        <v/>
      </c>
      <c r="I118" s="851" t="str">
        <f>IF(D118="","",VLOOKUP($C118,'Fatores de Emissão'!$D$86:$J$96,6,FALSE))</f>
        <v/>
      </c>
      <c r="J118" s="851" t="str">
        <f t="shared" si="7"/>
        <v>-</v>
      </c>
      <c r="K118" s="851" t="str">
        <f t="shared" si="8"/>
        <v>-</v>
      </c>
      <c r="L118" s="851" t="str">
        <f t="shared" si="9"/>
        <v>-</v>
      </c>
      <c r="M118" s="852" t="str">
        <f>IFERROR(IF(SUM(J118:L118)=0,"",J118+K118*'Fatores de Emissão'!$E$258+L118*'Fatores de Emissão'!$E$259),"")</f>
        <v/>
      </c>
      <c r="N118" s="1080" t="str">
        <f t="shared" si="10"/>
        <v/>
      </c>
    </row>
    <row r="119" spans="2:14" s="249" customFormat="1" ht="19.899999999999999" hidden="1" customHeight="1" outlineLevel="2" x14ac:dyDescent="0.25">
      <c r="B119" s="278"/>
      <c r="C119" s="278"/>
      <c r="D119" s="1019"/>
      <c r="E119" s="1019"/>
      <c r="F119" s="1018" t="str">
        <f>IF(C119="","",VLOOKUP($C119,'Fatores de Emissão'!$D$86:$J$96,3,FALSE))</f>
        <v/>
      </c>
      <c r="G119" s="851" t="str">
        <f>IF(D119="","",VLOOKUP($C119,'Fatores de Emissão'!$D$86:$J$96,2,FALSE))</f>
        <v/>
      </c>
      <c r="H119" s="851" t="str">
        <f>IF(D119="","",VLOOKUP($C119,'Fatores de Emissão'!$D$86:$J$96,4,FALSE))</f>
        <v/>
      </c>
      <c r="I119" s="851" t="str">
        <f>IF(D119="","",VLOOKUP($C119,'Fatores de Emissão'!$D$86:$J$96,6,FALSE))</f>
        <v/>
      </c>
      <c r="J119" s="851" t="str">
        <f t="shared" si="7"/>
        <v>-</v>
      </c>
      <c r="K119" s="851" t="str">
        <f t="shared" si="8"/>
        <v>-</v>
      </c>
      <c r="L119" s="851" t="str">
        <f t="shared" si="9"/>
        <v>-</v>
      </c>
      <c r="M119" s="852" t="str">
        <f>IFERROR(IF(SUM(J119:L119)=0,"",J119+K119*'Fatores de Emissão'!$E$258+L119*'Fatores de Emissão'!$E$259),"")</f>
        <v/>
      </c>
      <c r="N119" s="1080" t="str">
        <f t="shared" si="10"/>
        <v/>
      </c>
    </row>
    <row r="120" spans="2:14" s="249" customFormat="1" ht="19.899999999999999" hidden="1" customHeight="1" outlineLevel="2" x14ac:dyDescent="0.25">
      <c r="B120" s="278"/>
      <c r="C120" s="278"/>
      <c r="D120" s="1019"/>
      <c r="E120" s="1019"/>
      <c r="F120" s="1018" t="str">
        <f>IF(C120="","",VLOOKUP($C120,'Fatores de Emissão'!$D$86:$J$96,3,FALSE))</f>
        <v/>
      </c>
      <c r="G120" s="851" t="str">
        <f>IF(D120="","",VLOOKUP($C120,'Fatores de Emissão'!$D$86:$J$96,2,FALSE))</f>
        <v/>
      </c>
      <c r="H120" s="851" t="str">
        <f>IF(D120="","",VLOOKUP($C120,'Fatores de Emissão'!$D$86:$J$96,4,FALSE))</f>
        <v/>
      </c>
      <c r="I120" s="851" t="str">
        <f>IF(D120="","",VLOOKUP($C120,'Fatores de Emissão'!$D$86:$J$96,6,FALSE))</f>
        <v/>
      </c>
      <c r="J120" s="851" t="str">
        <f t="shared" si="7"/>
        <v>-</v>
      </c>
      <c r="K120" s="851" t="str">
        <f t="shared" si="8"/>
        <v>-</v>
      </c>
      <c r="L120" s="851" t="str">
        <f t="shared" si="9"/>
        <v>-</v>
      </c>
      <c r="M120" s="852" t="str">
        <f>IFERROR(IF(SUM(J120:L120)=0,"",J120+K120*'Fatores de Emissão'!$E$258+L120*'Fatores de Emissão'!$E$259),"")</f>
        <v/>
      </c>
      <c r="N120" s="1080" t="str">
        <f t="shared" si="10"/>
        <v/>
      </c>
    </row>
    <row r="121" spans="2:14" s="249" customFormat="1" ht="19.899999999999999" hidden="1" customHeight="1" outlineLevel="2" x14ac:dyDescent="0.25">
      <c r="B121" s="278"/>
      <c r="C121" s="278"/>
      <c r="D121" s="1019"/>
      <c r="E121" s="1019"/>
      <c r="F121" s="1018" t="str">
        <f>IF(C121="","",VLOOKUP($C121,'Fatores de Emissão'!$D$86:$J$96,3,FALSE))</f>
        <v/>
      </c>
      <c r="G121" s="851" t="str">
        <f>IF(D121="","",VLOOKUP($C121,'Fatores de Emissão'!$D$86:$J$96,2,FALSE))</f>
        <v/>
      </c>
      <c r="H121" s="851" t="str">
        <f>IF(D121="","",VLOOKUP($C121,'Fatores de Emissão'!$D$86:$J$96,4,FALSE))</f>
        <v/>
      </c>
      <c r="I121" s="851" t="str">
        <f>IF(D121="","",VLOOKUP($C121,'Fatores de Emissão'!$D$86:$J$96,6,FALSE))</f>
        <v/>
      </c>
      <c r="J121" s="851" t="str">
        <f t="shared" si="7"/>
        <v>-</v>
      </c>
      <c r="K121" s="851" t="str">
        <f t="shared" si="8"/>
        <v>-</v>
      </c>
      <c r="L121" s="851" t="str">
        <f t="shared" si="9"/>
        <v>-</v>
      </c>
      <c r="M121" s="852" t="str">
        <f>IFERROR(IF(SUM(J121:L121)=0,"",J121+K121*'Fatores de Emissão'!$E$258+L121*'Fatores de Emissão'!$E$259),"")</f>
        <v/>
      </c>
      <c r="N121" s="1080" t="str">
        <f t="shared" si="10"/>
        <v/>
      </c>
    </row>
    <row r="122" spans="2:14" s="249" customFormat="1" ht="19.899999999999999" hidden="1" customHeight="1" outlineLevel="2" x14ac:dyDescent="0.25">
      <c r="B122" s="278"/>
      <c r="C122" s="278"/>
      <c r="D122" s="1019"/>
      <c r="E122" s="1019"/>
      <c r="F122" s="1018" t="str">
        <f>IF(C122="","",VLOOKUP($C122,'Fatores de Emissão'!$D$86:$J$96,3,FALSE))</f>
        <v/>
      </c>
      <c r="G122" s="851" t="str">
        <f>IF(D122="","",VLOOKUP($C122,'Fatores de Emissão'!$D$86:$J$96,2,FALSE))</f>
        <v/>
      </c>
      <c r="H122" s="851" t="str">
        <f>IF(D122="","",VLOOKUP($C122,'Fatores de Emissão'!$D$86:$J$96,4,FALSE))</f>
        <v/>
      </c>
      <c r="I122" s="851" t="str">
        <f>IF(D122="","",VLOOKUP($C122,'Fatores de Emissão'!$D$86:$J$96,6,FALSE))</f>
        <v/>
      </c>
      <c r="J122" s="851" t="str">
        <f t="shared" si="7"/>
        <v>-</v>
      </c>
      <c r="K122" s="851" t="str">
        <f t="shared" si="8"/>
        <v>-</v>
      </c>
      <c r="L122" s="851" t="str">
        <f t="shared" si="9"/>
        <v>-</v>
      </c>
      <c r="M122" s="852" t="str">
        <f>IFERROR(IF(SUM(J122:L122)=0,"",J122+K122*'Fatores de Emissão'!$E$258+L122*'Fatores de Emissão'!$E$259),"")</f>
        <v/>
      </c>
      <c r="N122" s="1080" t="str">
        <f t="shared" si="10"/>
        <v/>
      </c>
    </row>
    <row r="123" spans="2:14" s="249" customFormat="1" ht="19.899999999999999" hidden="1" customHeight="1" outlineLevel="2" x14ac:dyDescent="0.25">
      <c r="B123" s="278"/>
      <c r="C123" s="278"/>
      <c r="D123" s="1019"/>
      <c r="E123" s="1019"/>
      <c r="F123" s="1018" t="str">
        <f>IF(C123="","",VLOOKUP($C123,'Fatores de Emissão'!$D$86:$J$96,3,FALSE))</f>
        <v/>
      </c>
      <c r="G123" s="851" t="str">
        <f>IF(D123="","",VLOOKUP($C123,'Fatores de Emissão'!$D$86:$J$96,2,FALSE))</f>
        <v/>
      </c>
      <c r="H123" s="851" t="str">
        <f>IF(D123="","",VLOOKUP($C123,'Fatores de Emissão'!$D$86:$J$96,4,FALSE))</f>
        <v/>
      </c>
      <c r="I123" s="851" t="str">
        <f>IF(D123="","",VLOOKUP($C123,'Fatores de Emissão'!$D$86:$J$96,6,FALSE))</f>
        <v/>
      </c>
      <c r="J123" s="851" t="str">
        <f t="shared" si="7"/>
        <v>-</v>
      </c>
      <c r="K123" s="851" t="str">
        <f t="shared" si="8"/>
        <v>-</v>
      </c>
      <c r="L123" s="851" t="str">
        <f t="shared" si="9"/>
        <v>-</v>
      </c>
      <c r="M123" s="852" t="str">
        <f>IFERROR(IF(SUM(J123:L123)=0,"",J123+K123*'Fatores de Emissão'!$E$258+L123*'Fatores de Emissão'!$E$259),"")</f>
        <v/>
      </c>
      <c r="N123" s="1080" t="str">
        <f t="shared" si="10"/>
        <v/>
      </c>
    </row>
    <row r="124" spans="2:14" s="249" customFormat="1" ht="19.899999999999999" hidden="1" customHeight="1" outlineLevel="2" x14ac:dyDescent="0.25">
      <c r="B124" s="278"/>
      <c r="C124" s="278"/>
      <c r="D124" s="1019"/>
      <c r="E124" s="1019"/>
      <c r="F124" s="1018" t="str">
        <f>IF(C124="","",VLOOKUP($C124,'Fatores de Emissão'!$D$86:$J$96,3,FALSE))</f>
        <v/>
      </c>
      <c r="G124" s="851" t="str">
        <f>IF(D124="","",VLOOKUP($C124,'Fatores de Emissão'!$D$86:$J$96,2,FALSE))</f>
        <v/>
      </c>
      <c r="H124" s="851" t="str">
        <f>IF(D124="","",VLOOKUP($C124,'Fatores de Emissão'!$D$86:$J$96,4,FALSE))</f>
        <v/>
      </c>
      <c r="I124" s="851" t="str">
        <f>IF(D124="","",VLOOKUP($C124,'Fatores de Emissão'!$D$86:$J$96,6,FALSE))</f>
        <v/>
      </c>
      <c r="J124" s="851" t="str">
        <f t="shared" si="7"/>
        <v>-</v>
      </c>
      <c r="K124" s="851" t="str">
        <f t="shared" si="8"/>
        <v>-</v>
      </c>
      <c r="L124" s="851" t="str">
        <f t="shared" si="9"/>
        <v>-</v>
      </c>
      <c r="M124" s="852" t="str">
        <f>IFERROR(IF(SUM(J124:L124)=0,"",J124+K124*'Fatores de Emissão'!$E$258+L124*'Fatores de Emissão'!$E$259),"")</f>
        <v/>
      </c>
      <c r="N124" s="1080" t="str">
        <f t="shared" si="10"/>
        <v/>
      </c>
    </row>
    <row r="125" spans="2:14" s="249" customFormat="1" ht="19.899999999999999" hidden="1" customHeight="1" outlineLevel="2" x14ac:dyDescent="0.25">
      <c r="B125" s="278"/>
      <c r="C125" s="278"/>
      <c r="D125" s="1019"/>
      <c r="E125" s="1019"/>
      <c r="F125" s="1018" t="str">
        <f>IF(C125="","",VLOOKUP($C125,'Fatores de Emissão'!$D$86:$J$96,3,FALSE))</f>
        <v/>
      </c>
      <c r="G125" s="851" t="str">
        <f>IF(D125="","",VLOOKUP($C125,'Fatores de Emissão'!$D$86:$J$96,2,FALSE))</f>
        <v/>
      </c>
      <c r="H125" s="851" t="str">
        <f>IF(D125="","",VLOOKUP($C125,'Fatores de Emissão'!$D$86:$J$96,4,FALSE))</f>
        <v/>
      </c>
      <c r="I125" s="851" t="str">
        <f>IF(D125="","",VLOOKUP($C125,'Fatores de Emissão'!$D$86:$J$96,6,FALSE))</f>
        <v/>
      </c>
      <c r="J125" s="851" t="str">
        <f t="shared" si="7"/>
        <v>-</v>
      </c>
      <c r="K125" s="851" t="str">
        <f t="shared" si="8"/>
        <v>-</v>
      </c>
      <c r="L125" s="851" t="str">
        <f t="shared" si="9"/>
        <v>-</v>
      </c>
      <c r="M125" s="852" t="str">
        <f>IFERROR(IF(SUM(J125:L125)=0,"",J125+K125*'Fatores de Emissão'!$E$258+L125*'Fatores de Emissão'!$E$259),"")</f>
        <v/>
      </c>
      <c r="N125" s="1080" t="str">
        <f t="shared" si="10"/>
        <v/>
      </c>
    </row>
    <row r="126" spans="2:14" s="249" customFormat="1" ht="19.899999999999999" hidden="1" customHeight="1" outlineLevel="2" x14ac:dyDescent="0.25">
      <c r="B126" s="278"/>
      <c r="C126" s="278"/>
      <c r="D126" s="1019"/>
      <c r="E126" s="1019"/>
      <c r="F126" s="1018" t="str">
        <f>IF(C126="","",VLOOKUP($C126,'Fatores de Emissão'!$D$86:$J$96,3,FALSE))</f>
        <v/>
      </c>
      <c r="G126" s="851" t="str">
        <f>IF(D126="","",VLOOKUP($C126,'Fatores de Emissão'!$D$86:$J$96,2,FALSE))</f>
        <v/>
      </c>
      <c r="H126" s="851" t="str">
        <f>IF(D126="","",VLOOKUP($C126,'Fatores de Emissão'!$D$86:$J$96,4,FALSE))</f>
        <v/>
      </c>
      <c r="I126" s="851" t="str">
        <f>IF(D126="","",VLOOKUP($C126,'Fatores de Emissão'!$D$86:$J$96,6,FALSE))</f>
        <v/>
      </c>
      <c r="J126" s="851" t="str">
        <f t="shared" si="7"/>
        <v>-</v>
      </c>
      <c r="K126" s="851" t="str">
        <f t="shared" si="8"/>
        <v>-</v>
      </c>
      <c r="L126" s="851" t="str">
        <f t="shared" si="9"/>
        <v>-</v>
      </c>
      <c r="M126" s="852" t="str">
        <f>IFERROR(IF(SUM(J126:L126)=0,"",J126+K126*'Fatores de Emissão'!$E$258+L126*'Fatores de Emissão'!$E$259),"")</f>
        <v/>
      </c>
      <c r="N126" s="1080" t="str">
        <f t="shared" si="10"/>
        <v/>
      </c>
    </row>
    <row r="127" spans="2:14" s="249" customFormat="1" ht="19.899999999999999" hidden="1" customHeight="1" outlineLevel="2" x14ac:dyDescent="0.25">
      <c r="B127" s="278"/>
      <c r="C127" s="278"/>
      <c r="D127" s="1019"/>
      <c r="E127" s="1019"/>
      <c r="F127" s="1018" t="str">
        <f>IF(C127="","",VLOOKUP($C127,'Fatores de Emissão'!$D$86:$J$96,3,FALSE))</f>
        <v/>
      </c>
      <c r="G127" s="851" t="str">
        <f>IF(D127="","",VLOOKUP($C127,'Fatores de Emissão'!$D$86:$J$96,2,FALSE))</f>
        <v/>
      </c>
      <c r="H127" s="851" t="str">
        <f>IF(D127="","",VLOOKUP($C127,'Fatores de Emissão'!$D$86:$J$96,4,FALSE))</f>
        <v/>
      </c>
      <c r="I127" s="851" t="str">
        <f>IF(D127="","",VLOOKUP($C127,'Fatores de Emissão'!$D$86:$J$96,6,FALSE))</f>
        <v/>
      </c>
      <c r="J127" s="851" t="str">
        <f t="shared" si="7"/>
        <v>-</v>
      </c>
      <c r="K127" s="851" t="str">
        <f t="shared" si="8"/>
        <v>-</v>
      </c>
      <c r="L127" s="851" t="str">
        <f t="shared" si="9"/>
        <v>-</v>
      </c>
      <c r="M127" s="852" t="str">
        <f>IFERROR(IF(SUM(J127:L127)=0,"",J127+K127*'Fatores de Emissão'!$E$258+L127*'Fatores de Emissão'!$E$259),"")</f>
        <v/>
      </c>
      <c r="N127" s="1080" t="str">
        <f t="shared" si="10"/>
        <v/>
      </c>
    </row>
    <row r="128" spans="2:14" s="249" customFormat="1" ht="19.899999999999999" hidden="1" customHeight="1" outlineLevel="2" x14ac:dyDescent="0.25">
      <c r="B128" s="278"/>
      <c r="C128" s="278"/>
      <c r="D128" s="1019"/>
      <c r="E128" s="1019"/>
      <c r="F128" s="1018" t="str">
        <f>IF(C128="","",VLOOKUP($C128,'Fatores de Emissão'!$D$86:$J$96,3,FALSE))</f>
        <v/>
      </c>
      <c r="G128" s="851" t="str">
        <f>IF(D128="","",VLOOKUP($C128,'Fatores de Emissão'!$D$86:$J$96,2,FALSE))</f>
        <v/>
      </c>
      <c r="H128" s="851" t="str">
        <f>IF(D128="","",VLOOKUP($C128,'Fatores de Emissão'!$D$86:$J$96,4,FALSE))</f>
        <v/>
      </c>
      <c r="I128" s="851" t="str">
        <f>IF(D128="","",VLOOKUP($C128,'Fatores de Emissão'!$D$86:$J$96,6,FALSE))</f>
        <v/>
      </c>
      <c r="J128" s="851" t="str">
        <f t="shared" si="7"/>
        <v>-</v>
      </c>
      <c r="K128" s="851" t="str">
        <f t="shared" si="8"/>
        <v>-</v>
      </c>
      <c r="L128" s="851" t="str">
        <f t="shared" si="9"/>
        <v>-</v>
      </c>
      <c r="M128" s="852" t="str">
        <f>IFERROR(IF(SUM(J128:L128)=0,"",J128+K128*'Fatores de Emissão'!$E$258+L128*'Fatores de Emissão'!$E$259),"")</f>
        <v/>
      </c>
      <c r="N128" s="1080" t="str">
        <f t="shared" si="10"/>
        <v/>
      </c>
    </row>
    <row r="129" spans="2:16" s="249" customFormat="1" ht="19.899999999999999" hidden="1" customHeight="1" outlineLevel="2" x14ac:dyDescent="0.25">
      <c r="B129" s="278"/>
      <c r="C129" s="278"/>
      <c r="D129" s="1019"/>
      <c r="E129" s="1019"/>
      <c r="F129" s="1018" t="str">
        <f>IF(C129="","",VLOOKUP($C129,'Fatores de Emissão'!$D$86:$J$96,3,FALSE))</f>
        <v/>
      </c>
      <c r="G129" s="851" t="str">
        <f>IF(D129="","",VLOOKUP($C129,'Fatores de Emissão'!$D$86:$J$96,2,FALSE))</f>
        <v/>
      </c>
      <c r="H129" s="851" t="str">
        <f>IF(D129="","",VLOOKUP($C129,'Fatores de Emissão'!$D$86:$J$96,4,FALSE))</f>
        <v/>
      </c>
      <c r="I129" s="851" t="str">
        <f>IF(D129="","",VLOOKUP($C129,'Fatores de Emissão'!$D$86:$J$96,6,FALSE))</f>
        <v/>
      </c>
      <c r="J129" s="851" t="str">
        <f t="shared" si="7"/>
        <v>-</v>
      </c>
      <c r="K129" s="851" t="str">
        <f t="shared" si="8"/>
        <v>-</v>
      </c>
      <c r="L129" s="851" t="str">
        <f t="shared" si="9"/>
        <v>-</v>
      </c>
      <c r="M129" s="852" t="str">
        <f>IFERROR(IF(SUM(J129:L129)=0,"",J129+K129*'Fatores de Emissão'!$E$258+L129*'Fatores de Emissão'!$E$259),"")</f>
        <v/>
      </c>
      <c r="N129" s="1080" t="str">
        <f t="shared" si="10"/>
        <v/>
      </c>
    </row>
    <row r="130" spans="2:16" s="249" customFormat="1" ht="19.899999999999999" hidden="1" customHeight="1" outlineLevel="2" x14ac:dyDescent="0.25">
      <c r="B130" s="278"/>
      <c r="C130" s="278"/>
      <c r="D130" s="1019"/>
      <c r="E130" s="1019"/>
      <c r="F130" s="1018" t="str">
        <f>IF(C130="","",VLOOKUP($C130,'Fatores de Emissão'!$D$86:$J$96,3,FALSE))</f>
        <v/>
      </c>
      <c r="G130" s="851" t="str">
        <f>IF(D130="","",VLOOKUP($C130,'Fatores de Emissão'!$D$86:$J$96,2,FALSE))</f>
        <v/>
      </c>
      <c r="H130" s="851" t="str">
        <f>IF(D130="","",VLOOKUP($C130,'Fatores de Emissão'!$D$86:$J$96,4,FALSE))</f>
        <v/>
      </c>
      <c r="I130" s="851" t="str">
        <f>IF(D130="","",VLOOKUP($C130,'Fatores de Emissão'!$D$86:$J$96,6,FALSE))</f>
        <v/>
      </c>
      <c r="J130" s="851" t="str">
        <f t="shared" si="7"/>
        <v>-</v>
      </c>
      <c r="K130" s="851" t="str">
        <f t="shared" si="8"/>
        <v>-</v>
      </c>
      <c r="L130" s="851" t="str">
        <f t="shared" si="9"/>
        <v>-</v>
      </c>
      <c r="M130" s="852" t="str">
        <f>IFERROR(IF(SUM(J130:L130)=0,"",J130+K130*'Fatores de Emissão'!$E$258+L130*'Fatores de Emissão'!$E$259),"")</f>
        <v/>
      </c>
      <c r="N130" s="1080" t="str">
        <f t="shared" si="10"/>
        <v/>
      </c>
    </row>
    <row r="131" spans="2:16" ht="19.5" customHeight="1" collapsed="1" x14ac:dyDescent="0.25">
      <c r="B131" s="1020" t="s">
        <v>37</v>
      </c>
      <c r="C131" s="1021"/>
      <c r="D131" s="1021"/>
      <c r="E131" s="1021"/>
      <c r="F131" s="1021"/>
      <c r="G131" s="1021"/>
      <c r="H131" s="1021"/>
      <c r="I131" s="1022"/>
      <c r="J131" s="851">
        <f>IFERROR(SUM(J31:J130),"")</f>
        <v>0</v>
      </c>
      <c r="K131" s="851">
        <f>IFERROR(SUM(K31:K130),"")</f>
        <v>0</v>
      </c>
      <c r="L131" s="851">
        <f t="shared" ref="L131" si="11">IFERROR(SUM(L31:L130),"")</f>
        <v>0</v>
      </c>
      <c r="M131" s="852">
        <f>IFERROR(SUM(M31:M130),"")</f>
        <v>0</v>
      </c>
    </row>
    <row r="132" spans="2:16" x14ac:dyDescent="0.25"/>
    <row r="133" spans="2:16" x14ac:dyDescent="0.25"/>
    <row r="134" spans="2:16" x14ac:dyDescent="0.25">
      <c r="B134" s="839"/>
    </row>
    <row r="135" spans="2:16" s="332" customFormat="1" ht="30" customHeight="1" x14ac:dyDescent="0.25">
      <c r="B135" s="231" t="s">
        <v>1610</v>
      </c>
    </row>
    <row r="136" spans="2:16" x14ac:dyDescent="0.25"/>
    <row r="137" spans="2:16" outlineLevel="1" x14ac:dyDescent="0.25">
      <c r="B137" s="837" t="s">
        <v>24</v>
      </c>
      <c r="C137" s="778"/>
      <c r="D137" s="778"/>
      <c r="E137" s="778"/>
      <c r="F137" s="778"/>
      <c r="G137" s="778"/>
      <c r="H137" s="778"/>
      <c r="I137" s="778"/>
      <c r="J137" s="778"/>
      <c r="K137" s="778"/>
      <c r="L137" s="778"/>
      <c r="M137" s="778"/>
    </row>
    <row r="138" spans="2:16" outlineLevel="1" x14ac:dyDescent="0.25">
      <c r="B138" s="840" t="s">
        <v>1601</v>
      </c>
      <c r="C138" s="778"/>
      <c r="D138" s="778"/>
      <c r="E138" s="778"/>
      <c r="F138" s="778"/>
      <c r="G138" s="778"/>
      <c r="H138" s="778"/>
      <c r="I138" s="778"/>
      <c r="J138" s="778"/>
      <c r="K138" s="778"/>
      <c r="L138" s="778"/>
      <c r="M138" s="778"/>
    </row>
    <row r="139" spans="2:16" outlineLevel="1" x14ac:dyDescent="0.25">
      <c r="B139" s="840" t="s">
        <v>1602</v>
      </c>
      <c r="C139" s="778"/>
      <c r="D139" s="778"/>
      <c r="E139" s="778"/>
      <c r="F139" s="778"/>
      <c r="G139" s="778"/>
      <c r="H139" s="778"/>
      <c r="I139" s="778"/>
      <c r="J139" s="778"/>
      <c r="K139" s="778"/>
      <c r="L139" s="778"/>
      <c r="M139" s="778"/>
    </row>
    <row r="140" spans="2:16" outlineLevel="1" x14ac:dyDescent="0.25">
      <c r="B140" s="840" t="s">
        <v>1603</v>
      </c>
      <c r="C140" s="778"/>
      <c r="D140" s="778"/>
      <c r="E140" s="778"/>
      <c r="F140" s="778"/>
      <c r="G140" s="778"/>
      <c r="H140" s="778"/>
      <c r="I140" s="778"/>
      <c r="J140" s="778"/>
      <c r="K140" s="778"/>
      <c r="L140" s="778"/>
      <c r="M140" s="778"/>
    </row>
    <row r="141" spans="2:16" outlineLevel="1" x14ac:dyDescent="0.25">
      <c r="B141" s="840" t="s">
        <v>1604</v>
      </c>
      <c r="C141" s="778"/>
      <c r="D141" s="778"/>
      <c r="E141" s="778"/>
      <c r="F141" s="778"/>
      <c r="G141" s="778"/>
      <c r="H141" s="778"/>
      <c r="I141" s="778"/>
      <c r="J141" s="778"/>
      <c r="K141" s="778"/>
      <c r="L141" s="778"/>
      <c r="M141" s="778"/>
    </row>
    <row r="142" spans="2:16" outlineLevel="1" x14ac:dyDescent="0.25">
      <c r="B142" s="840" t="s">
        <v>1605</v>
      </c>
      <c r="C142" s="778"/>
      <c r="D142" s="778"/>
      <c r="E142" s="778"/>
      <c r="F142" s="778"/>
      <c r="G142" s="778"/>
      <c r="H142" s="778"/>
      <c r="I142" s="778"/>
      <c r="J142" s="778"/>
      <c r="K142" s="778"/>
      <c r="L142" s="778"/>
      <c r="M142" s="778"/>
    </row>
    <row r="143" spans="2:16" outlineLevel="1" x14ac:dyDescent="0.25">
      <c r="B143" s="840" t="s">
        <v>1606</v>
      </c>
      <c r="C143" s="778"/>
      <c r="D143" s="778"/>
      <c r="E143" s="778"/>
      <c r="F143" s="778"/>
      <c r="G143" s="778"/>
      <c r="H143" s="778"/>
      <c r="I143" s="778"/>
      <c r="J143" s="778"/>
      <c r="K143" s="778"/>
      <c r="L143" s="778"/>
      <c r="M143" s="778"/>
    </row>
    <row r="144" spans="2:16" ht="16.899999999999999" customHeight="1" outlineLevel="1" x14ac:dyDescent="0.25">
      <c r="P144" s="235"/>
    </row>
    <row r="145" spans="1:16" outlineLevel="1" x14ac:dyDescent="0.25">
      <c r="B145" s="765" t="s">
        <v>1611</v>
      </c>
      <c r="P145" s="235"/>
    </row>
    <row r="146" spans="1:16" s="240" customFormat="1" ht="21" customHeight="1" outlineLevel="1" x14ac:dyDescent="0.25">
      <c r="B146" s="1184" t="s">
        <v>1592</v>
      </c>
      <c r="C146" s="1233" t="s">
        <v>191</v>
      </c>
      <c r="D146" s="1184" t="s">
        <v>1612</v>
      </c>
      <c r="E146" s="1184" t="s">
        <v>1607</v>
      </c>
      <c r="F146" s="1185" t="s">
        <v>1706</v>
      </c>
      <c r="G146" s="1184" t="s">
        <v>1587</v>
      </c>
      <c r="H146" s="1233" t="s">
        <v>1608</v>
      </c>
      <c r="I146" s="1234"/>
      <c r="J146" s="1235"/>
      <c r="K146" s="1184" t="s">
        <v>1613</v>
      </c>
      <c r="L146" s="1184" t="s">
        <v>1614</v>
      </c>
      <c r="M146" s="1184" t="s">
        <v>1615</v>
      </c>
      <c r="N146" s="1184" t="s">
        <v>1635</v>
      </c>
    </row>
    <row r="147" spans="1:16" s="240" customFormat="1" ht="21" customHeight="1" outlineLevel="1" x14ac:dyDescent="0.25">
      <c r="B147" s="1185"/>
      <c r="C147" s="1190"/>
      <c r="D147" s="1185"/>
      <c r="E147" s="1185"/>
      <c r="F147" s="1185"/>
      <c r="G147" s="1185"/>
      <c r="H147" s="1191"/>
      <c r="I147" s="1236"/>
      <c r="J147" s="1237"/>
      <c r="K147" s="1185"/>
      <c r="L147" s="1185"/>
      <c r="M147" s="1185"/>
      <c r="N147" s="1185"/>
    </row>
    <row r="148" spans="1:16" s="240" customFormat="1" ht="27" customHeight="1" outlineLevel="1" x14ac:dyDescent="0.25">
      <c r="B148" s="1185"/>
      <c r="C148" s="1190"/>
      <c r="D148" s="1185"/>
      <c r="E148" s="1185"/>
      <c r="F148" s="1185"/>
      <c r="G148" s="1185"/>
      <c r="H148" s="1184" t="s">
        <v>1021</v>
      </c>
      <c r="I148" s="1184" t="s">
        <v>1022</v>
      </c>
      <c r="J148" s="1184" t="s">
        <v>1023</v>
      </c>
      <c r="K148" s="1185"/>
      <c r="L148" s="1185"/>
      <c r="M148" s="1185"/>
      <c r="N148" s="1185"/>
    </row>
    <row r="149" spans="1:16" s="240" customFormat="1" ht="27" customHeight="1" outlineLevel="1" x14ac:dyDescent="0.25">
      <c r="B149" s="1186"/>
      <c r="C149" s="1191"/>
      <c r="D149" s="1076" t="str">
        <f>IF(COUNTIF(O151:O250,"Erro, confira o valor da distância percorrida")&gt;0,"Erro: confira of valores desta coluna","")</f>
        <v/>
      </c>
      <c r="E149" s="1186"/>
      <c r="F149" s="1186"/>
      <c r="G149" s="1186"/>
      <c r="H149" s="1186"/>
      <c r="I149" s="1186"/>
      <c r="J149" s="1186"/>
      <c r="K149" s="1186"/>
      <c r="L149" s="1186"/>
      <c r="M149" s="1186"/>
      <c r="N149" s="1186"/>
    </row>
    <row r="150" spans="1:16" s="240" customFormat="1" ht="43.5" customHeight="1" outlineLevel="1" x14ac:dyDescent="0.25">
      <c r="A150" s="242" t="s">
        <v>36</v>
      </c>
      <c r="B150" s="846" t="s">
        <v>1609</v>
      </c>
      <c r="C150" s="1026" t="s">
        <v>219</v>
      </c>
      <c r="D150" s="1096">
        <v>1000</v>
      </c>
      <c r="E150" s="1027">
        <v>1000</v>
      </c>
      <c r="F150" s="1026"/>
      <c r="G150" s="1026" t="s">
        <v>208</v>
      </c>
      <c r="H150" s="1028">
        <v>4.9499999999999995E-2</v>
      </c>
      <c r="I150" s="1028">
        <v>2.8082724198641043E-6</v>
      </c>
      <c r="J150" s="1028">
        <v>9.5892228970969408E-7</v>
      </c>
      <c r="K150" s="1028">
        <v>49.499999999999993</v>
      </c>
      <c r="L150" s="1028">
        <v>7.8631627756194922E-2</v>
      </c>
      <c r="M150" s="1028">
        <v>0.2541144067730689</v>
      </c>
      <c r="N150" s="848">
        <v>49.832746034529258</v>
      </c>
    </row>
    <row r="151" spans="1:16" s="240" customFormat="1" ht="21" customHeight="1" outlineLevel="1" x14ac:dyDescent="0.25">
      <c r="B151" s="278"/>
      <c r="C151" s="176"/>
      <c r="D151" s="243"/>
      <c r="E151" s="243"/>
      <c r="F151" s="1097"/>
      <c r="G151" s="1023" t="str">
        <f>IF(OR($C151="",$C151="-"),"",VLOOKUP($C151,'Fatores de Emissão'!$D$118:$J$121,3,FALSE))</f>
        <v/>
      </c>
      <c r="H151" s="1023" t="str">
        <f>IF(OR($C151="",$C151="-"),"",VLOOKUP($C151,'Fatores de Emissão'!$D$118:$J$121,2,FALSE))</f>
        <v/>
      </c>
      <c r="I151" s="1023" t="str">
        <f>IF(OR($C151="",$C151="-"),"",VLOOKUP($C151,'Fatores de Emissão'!$D$118:$J$121,4,FALSE))</f>
        <v/>
      </c>
      <c r="J151" s="1023" t="str">
        <f>IF(OR($C151="",$C151="-"),"",VLOOKUP($C151,'Fatores de Emissão'!$D$118:$J$121,6,FALSE))</f>
        <v/>
      </c>
      <c r="K151" s="1023" t="str">
        <f>IF(C151="","",$D151*H151*$E151/1000)</f>
        <v/>
      </c>
      <c r="L151" s="1023" t="str">
        <f>IF(D151="","",$D151*I151*$E151/1000)</f>
        <v/>
      </c>
      <c r="M151" s="1023" t="str">
        <f>IF(E151="","",$D151*J151*$E151/1000)</f>
        <v/>
      </c>
      <c r="N151" s="851" t="str">
        <f>IFERROR(IF(H151+I151+J151=0,"",K151+L151*'Fatores de Emissão'!$E$258+M151*'Fatores de Emissão'!$E$259),"")</f>
        <v/>
      </c>
      <c r="O151" s="1080" t="str">
        <f t="shared" ref="O151:O182" si="12">IF(D151="","",IFERROR(D151*1,"Erro, confira o valor da distância percorrida"))</f>
        <v/>
      </c>
    </row>
    <row r="152" spans="1:16" s="240" customFormat="1" ht="21" customHeight="1" outlineLevel="1" x14ac:dyDescent="0.25">
      <c r="B152" s="278"/>
      <c r="C152" s="176"/>
      <c r="D152" s="243"/>
      <c r="E152" s="243"/>
      <c r="F152" s="1097"/>
      <c r="G152" s="1023" t="str">
        <f>IF(OR($C152="",$C152="-"),"",VLOOKUP($C152,'Fatores de Emissão'!$D$118:$J$121,3,FALSE))</f>
        <v/>
      </c>
      <c r="H152" s="1023" t="str">
        <f>IF(OR($C152="",$C152="-"),"",VLOOKUP($C152,'Fatores de Emissão'!$D$118:$J$121,2,FALSE))</f>
        <v/>
      </c>
      <c r="I152" s="1023" t="str">
        <f>IF(OR($C152="",$C152="-"),"",VLOOKUP($C152,'Fatores de Emissão'!$D$118:$J$121,4,FALSE))</f>
        <v/>
      </c>
      <c r="J152" s="1023" t="str">
        <f>IF(OR($C152="",$C152="-"),"",VLOOKUP($C152,'Fatores de Emissão'!$D$118:$J$121,6,FALSE))</f>
        <v/>
      </c>
      <c r="K152" s="1023" t="str">
        <f t="shared" ref="K152:K183" si="13">IF(C152="","",$D152*H152*$E152/1000)</f>
        <v/>
      </c>
      <c r="L152" s="1023" t="str">
        <f>IF(D152="","",$D152*I152*$E152/1000*'Fatores de Emissão'!$E$258)</f>
        <v/>
      </c>
      <c r="M152" s="1023" t="str">
        <f>IF(E152="","",$D152*J152*$E152/1000*'Fatores de Emissão'!$E$259)</f>
        <v/>
      </c>
      <c r="N152" s="851" t="str">
        <f>IFERROR(IF(H152+I152+J152=0,"",K152+L152*'Fatores de Emissão'!$E$258+M152*'Fatores de Emissão'!$E$259),"")</f>
        <v/>
      </c>
      <c r="O152" s="1080" t="str">
        <f t="shared" si="12"/>
        <v/>
      </c>
    </row>
    <row r="153" spans="1:16" s="240" customFormat="1" ht="21" customHeight="1" outlineLevel="1" x14ac:dyDescent="0.25">
      <c r="B153" s="278"/>
      <c r="C153" s="176"/>
      <c r="D153" s="243"/>
      <c r="E153" s="243"/>
      <c r="F153" s="1097"/>
      <c r="G153" s="1023" t="str">
        <f>IF(OR($C153="",$C153="-"),"",VLOOKUP($C153,'Fatores de Emissão'!$D$118:$J$121,3,FALSE))</f>
        <v/>
      </c>
      <c r="H153" s="1023" t="str">
        <f>IF(OR($C153="",$C153="-"),"",VLOOKUP($C153,'Fatores de Emissão'!$D$118:$J$121,2,FALSE))</f>
        <v/>
      </c>
      <c r="I153" s="1023" t="str">
        <f>IF(OR($C153="",$C153="-"),"",VLOOKUP($C153,'Fatores de Emissão'!$D$118:$J$121,4,FALSE))</f>
        <v/>
      </c>
      <c r="J153" s="1023" t="str">
        <f>IF(OR($C153="",$C153="-"),"",VLOOKUP($C153,'Fatores de Emissão'!$D$118:$J$121,6,FALSE))</f>
        <v/>
      </c>
      <c r="K153" s="1023" t="str">
        <f t="shared" si="13"/>
        <v/>
      </c>
      <c r="L153" s="1023" t="str">
        <f>IF(D153="","",$D153*I153*$E153/1000*'Fatores de Emissão'!$E$258)</f>
        <v/>
      </c>
      <c r="M153" s="1023" t="str">
        <f>IF(E153="","",$D153*J153*$E153/1000*'Fatores de Emissão'!$E$259)</f>
        <v/>
      </c>
      <c r="N153" s="851" t="str">
        <f>IFERROR(IF(H153+I153+J153=0,"",K153+L153*'Fatores de Emissão'!$E$258+M153*'Fatores de Emissão'!$E$259),"")</f>
        <v/>
      </c>
      <c r="O153" s="1080" t="str">
        <f t="shared" si="12"/>
        <v/>
      </c>
    </row>
    <row r="154" spans="1:16" s="240" customFormat="1" ht="21" customHeight="1" outlineLevel="1" x14ac:dyDescent="0.25">
      <c r="B154" s="278"/>
      <c r="C154" s="176"/>
      <c r="D154" s="243"/>
      <c r="E154" s="243"/>
      <c r="F154" s="1097"/>
      <c r="G154" s="1023" t="str">
        <f>IF(OR($C154="",$C154="-"),"",VLOOKUP($C154,'Fatores de Emissão'!$D$118:$J$121,3,FALSE))</f>
        <v/>
      </c>
      <c r="H154" s="1023" t="str">
        <f>IF(OR($C154="",$C154="-"),"",VLOOKUP($C154,'Fatores de Emissão'!$D$118:$J$121,2,FALSE))</f>
        <v/>
      </c>
      <c r="I154" s="1023" t="str">
        <f>IF(OR($C154="",$C154="-"),"",VLOOKUP($C154,'Fatores de Emissão'!$D$118:$J$121,4,FALSE))</f>
        <v/>
      </c>
      <c r="J154" s="1023" t="str">
        <f>IF(OR($C154="",$C154="-"),"",VLOOKUP($C154,'Fatores de Emissão'!$D$118:$J$121,6,FALSE))</f>
        <v/>
      </c>
      <c r="K154" s="1023" t="str">
        <f t="shared" si="13"/>
        <v/>
      </c>
      <c r="L154" s="1023" t="str">
        <f>IF(D154="","",$D154*I154*$E154/1000*'Fatores de Emissão'!$E$258)</f>
        <v/>
      </c>
      <c r="M154" s="1023" t="str">
        <f>IF(E154="","",$D154*J154*$E154/1000*'Fatores de Emissão'!$E$259)</f>
        <v/>
      </c>
      <c r="N154" s="851" t="str">
        <f>IFERROR(IF(H154+I154+J154=0,"",K154+L154*'Fatores de Emissão'!$E$258+M154*'Fatores de Emissão'!$E$259),"")</f>
        <v/>
      </c>
      <c r="O154" s="1080" t="str">
        <f t="shared" si="12"/>
        <v/>
      </c>
    </row>
    <row r="155" spans="1:16" s="240" customFormat="1" ht="21" customHeight="1" outlineLevel="1" x14ac:dyDescent="0.25">
      <c r="B155" s="278"/>
      <c r="C155" s="176"/>
      <c r="D155" s="243"/>
      <c r="E155" s="243"/>
      <c r="F155" s="1097"/>
      <c r="G155" s="1023" t="str">
        <f>IF(OR($C155="",$C155="-"),"",VLOOKUP($C155,'Fatores de Emissão'!$D$118:$J$121,3,FALSE))</f>
        <v/>
      </c>
      <c r="H155" s="1023" t="str">
        <f>IF(OR($C155="",$C155="-"),"",VLOOKUP($C155,'Fatores de Emissão'!$D$118:$J$121,2,FALSE))</f>
        <v/>
      </c>
      <c r="I155" s="1023" t="str">
        <f>IF(OR($C155="",$C155="-"),"",VLOOKUP($C155,'Fatores de Emissão'!$D$118:$J$121,4,FALSE))</f>
        <v/>
      </c>
      <c r="J155" s="1023" t="str">
        <f>IF(OR($C155="",$C155="-"),"",VLOOKUP($C155,'Fatores de Emissão'!$D$118:$J$121,6,FALSE))</f>
        <v/>
      </c>
      <c r="K155" s="1023" t="str">
        <f t="shared" si="13"/>
        <v/>
      </c>
      <c r="L155" s="1023" t="str">
        <f>IF(D155="","",$D155*I155*$E155/1000*'Fatores de Emissão'!$E$258)</f>
        <v/>
      </c>
      <c r="M155" s="1023" t="str">
        <f>IF(E155="","",$D155*J155*$E155/1000*'Fatores de Emissão'!$E$259)</f>
        <v/>
      </c>
      <c r="N155" s="851" t="str">
        <f>IFERROR(IF(H155+I155+J155=0,"",K155+L155*'Fatores de Emissão'!$E$258+M155*'Fatores de Emissão'!$E$259),"")</f>
        <v/>
      </c>
      <c r="O155" s="1080" t="str">
        <f t="shared" si="12"/>
        <v/>
      </c>
    </row>
    <row r="156" spans="1:16" s="240" customFormat="1" ht="21" customHeight="1" outlineLevel="1" x14ac:dyDescent="0.25">
      <c r="B156" s="278"/>
      <c r="C156" s="176"/>
      <c r="D156" s="243"/>
      <c r="E156" s="243"/>
      <c r="F156" s="1097"/>
      <c r="G156" s="1023" t="str">
        <f>IF(OR($C156="",$C156="-"),"",VLOOKUP($C156,'Fatores de Emissão'!$D$118:$J$121,3,FALSE))</f>
        <v/>
      </c>
      <c r="H156" s="1023" t="str">
        <f>IF(OR($C156="",$C156="-"),"",VLOOKUP($C156,'Fatores de Emissão'!$D$118:$J$121,2,FALSE))</f>
        <v/>
      </c>
      <c r="I156" s="1023" t="str">
        <f>IF(OR($C156="",$C156="-"),"",VLOOKUP($C156,'Fatores de Emissão'!$D$118:$J$121,4,FALSE))</f>
        <v/>
      </c>
      <c r="J156" s="1023" t="str">
        <f>IF(OR($C156="",$C156="-"),"",VLOOKUP($C156,'Fatores de Emissão'!$D$118:$J$121,6,FALSE))</f>
        <v/>
      </c>
      <c r="K156" s="1023" t="str">
        <f t="shared" si="13"/>
        <v/>
      </c>
      <c r="L156" s="1023" t="str">
        <f>IF(D156="","",$D156*I156*$E156/1000*'Fatores de Emissão'!$E$258)</f>
        <v/>
      </c>
      <c r="M156" s="1023" t="str">
        <f>IF(E156="","",$D156*J156*$E156/1000*'Fatores de Emissão'!$E$259)</f>
        <v/>
      </c>
      <c r="N156" s="851" t="str">
        <f>IFERROR(IF(H156+I156+J156=0,"",K156+L156*'Fatores de Emissão'!$E$258+M156*'Fatores de Emissão'!$E$259),"")</f>
        <v/>
      </c>
      <c r="O156" s="1080" t="str">
        <f t="shared" si="12"/>
        <v/>
      </c>
    </row>
    <row r="157" spans="1:16" s="240" customFormat="1" ht="21" customHeight="1" outlineLevel="1" x14ac:dyDescent="0.25">
      <c r="B157" s="278"/>
      <c r="C157" s="176"/>
      <c r="D157" s="243"/>
      <c r="E157" s="243"/>
      <c r="F157" s="1097"/>
      <c r="G157" s="1023" t="str">
        <f>IF(OR($C157="",$C157="-"),"",VLOOKUP($C157,'Fatores de Emissão'!$D$118:$J$121,3,FALSE))</f>
        <v/>
      </c>
      <c r="H157" s="1023" t="str">
        <f>IF(OR($C157="",$C157="-"),"",VLOOKUP($C157,'Fatores de Emissão'!$D$118:$J$121,2,FALSE))</f>
        <v/>
      </c>
      <c r="I157" s="1023" t="str">
        <f>IF(OR($C157="",$C157="-"),"",VLOOKUP($C157,'Fatores de Emissão'!$D$118:$J$121,4,FALSE))</f>
        <v/>
      </c>
      <c r="J157" s="1023" t="str">
        <f>IF(OR($C157="",$C157="-"),"",VLOOKUP($C157,'Fatores de Emissão'!$D$118:$J$121,6,FALSE))</f>
        <v/>
      </c>
      <c r="K157" s="1023" t="str">
        <f t="shared" si="13"/>
        <v/>
      </c>
      <c r="L157" s="1023" t="str">
        <f>IF(D157="","",$D157*I157*$E157/1000*'Fatores de Emissão'!$E$258)</f>
        <v/>
      </c>
      <c r="M157" s="1023" t="str">
        <f>IF(E157="","",$D157*J157*$E157/1000*'Fatores de Emissão'!$E$259)</f>
        <v/>
      </c>
      <c r="N157" s="851" t="str">
        <f>IFERROR(IF(H157+I157+J157=0,"",K157+L157*'Fatores de Emissão'!$E$258+M157*'Fatores de Emissão'!$E$259),"")</f>
        <v/>
      </c>
      <c r="O157" s="1080" t="str">
        <f t="shared" si="12"/>
        <v/>
      </c>
    </row>
    <row r="158" spans="1:16" s="240" customFormat="1" ht="21" customHeight="1" outlineLevel="1" x14ac:dyDescent="0.25">
      <c r="B158" s="278"/>
      <c r="C158" s="176"/>
      <c r="D158" s="243"/>
      <c r="E158" s="243"/>
      <c r="F158" s="1097"/>
      <c r="G158" s="1023" t="str">
        <f>IF(OR($C158="",$C158="-"),"",VLOOKUP($C158,'Fatores de Emissão'!$D$118:$J$121,3,FALSE))</f>
        <v/>
      </c>
      <c r="H158" s="1023" t="str">
        <f>IF(OR($C158="",$C158="-"),"",VLOOKUP($C158,'Fatores de Emissão'!$D$118:$J$121,2,FALSE))</f>
        <v/>
      </c>
      <c r="I158" s="1023" t="str">
        <f>IF(OR($C158="",$C158="-"),"",VLOOKUP($C158,'Fatores de Emissão'!$D$118:$J$121,4,FALSE))</f>
        <v/>
      </c>
      <c r="J158" s="1023" t="str">
        <f>IF(OR($C158="",$C158="-"),"",VLOOKUP($C158,'Fatores de Emissão'!$D$118:$J$121,6,FALSE))</f>
        <v/>
      </c>
      <c r="K158" s="1023" t="str">
        <f t="shared" si="13"/>
        <v/>
      </c>
      <c r="L158" s="1023" t="str">
        <f>IF(D158="","",$D158*I158*$E158/1000*'Fatores de Emissão'!$E$258)</f>
        <v/>
      </c>
      <c r="M158" s="1023" t="str">
        <f>IF(E158="","",$D158*J158*$E158/1000*'Fatores de Emissão'!$E$259)</f>
        <v/>
      </c>
      <c r="N158" s="851" t="str">
        <f>IFERROR(IF(H158+I158+J158=0,"",K158+L158*'Fatores de Emissão'!$E$258+M158*'Fatores de Emissão'!$E$259),"")</f>
        <v/>
      </c>
      <c r="O158" s="1080" t="str">
        <f t="shared" si="12"/>
        <v/>
      </c>
    </row>
    <row r="159" spans="1:16" s="240" customFormat="1" ht="21" customHeight="1" outlineLevel="1" x14ac:dyDescent="0.25">
      <c r="B159" s="278"/>
      <c r="C159" s="176"/>
      <c r="D159" s="243"/>
      <c r="E159" s="243"/>
      <c r="F159" s="1097"/>
      <c r="G159" s="1023" t="str">
        <f>IF(OR($C159="",$C159="-"),"",VLOOKUP($C159,'Fatores de Emissão'!$D$118:$J$121,3,FALSE))</f>
        <v/>
      </c>
      <c r="H159" s="1023" t="str">
        <f>IF(OR($C159="",$C159="-"),"",VLOOKUP($C159,'Fatores de Emissão'!$D$118:$J$121,2,FALSE))</f>
        <v/>
      </c>
      <c r="I159" s="1023" t="str">
        <f>IF(OR($C159="",$C159="-"),"",VLOOKUP($C159,'Fatores de Emissão'!$D$118:$J$121,4,FALSE))</f>
        <v/>
      </c>
      <c r="J159" s="1023" t="str">
        <f>IF(OR($C159="",$C159="-"),"",VLOOKUP($C159,'Fatores de Emissão'!$D$118:$J$121,6,FALSE))</f>
        <v/>
      </c>
      <c r="K159" s="1023" t="str">
        <f t="shared" si="13"/>
        <v/>
      </c>
      <c r="L159" s="1023" t="str">
        <f>IF(D159="","",$D159*I159*$E159/1000*'Fatores de Emissão'!$E$258)</f>
        <v/>
      </c>
      <c r="M159" s="1023" t="str">
        <f>IF(E159="","",$D159*J159*$E159/1000*'Fatores de Emissão'!$E$259)</f>
        <v/>
      </c>
      <c r="N159" s="851" t="str">
        <f>IFERROR(IF(H159+I159+J159=0,"",K159+L159*'Fatores de Emissão'!$E$258+M159*'Fatores de Emissão'!$E$259),"")</f>
        <v/>
      </c>
      <c r="O159" s="1080" t="str">
        <f t="shared" si="12"/>
        <v/>
      </c>
    </row>
    <row r="160" spans="1:16" s="240" customFormat="1" ht="21" customHeight="1" outlineLevel="1" x14ac:dyDescent="0.25">
      <c r="B160" s="278"/>
      <c r="C160" s="176"/>
      <c r="D160" s="243"/>
      <c r="E160" s="243"/>
      <c r="F160" s="1097"/>
      <c r="G160" s="1023" t="str">
        <f>IF(OR($C160="",$C160="-"),"",VLOOKUP($C160,'Fatores de Emissão'!$D$118:$J$121,3,FALSE))</f>
        <v/>
      </c>
      <c r="H160" s="1023" t="str">
        <f>IF(OR($C160="",$C160="-"),"",VLOOKUP($C160,'Fatores de Emissão'!$D$118:$J$121,2,FALSE))</f>
        <v/>
      </c>
      <c r="I160" s="1023" t="str">
        <f>IF(OR($C160="",$C160="-"),"",VLOOKUP($C160,'Fatores de Emissão'!$D$118:$J$121,4,FALSE))</f>
        <v/>
      </c>
      <c r="J160" s="1023" t="str">
        <f>IF(OR($C160="",$C160="-"),"",VLOOKUP($C160,'Fatores de Emissão'!$D$118:$J$121,6,FALSE))</f>
        <v/>
      </c>
      <c r="K160" s="1023" t="str">
        <f t="shared" si="13"/>
        <v/>
      </c>
      <c r="L160" s="1023" t="str">
        <f>IF(D160="","",$D160*I160*$E160/1000*'Fatores de Emissão'!$E$258)</f>
        <v/>
      </c>
      <c r="M160" s="1023" t="str">
        <f>IF(E160="","",$D160*J160*$E160/1000*'Fatores de Emissão'!$E$259)</f>
        <v/>
      </c>
      <c r="N160" s="851" t="str">
        <f>IFERROR(IF(H160+I160+J160=0,"",K160+L160*'Fatores de Emissão'!$E$258+M160*'Fatores de Emissão'!$E$259),"")</f>
        <v/>
      </c>
      <c r="O160" s="1080" t="str">
        <f t="shared" si="12"/>
        <v/>
      </c>
    </row>
    <row r="161" spans="2:15" s="240" customFormat="1" ht="21" customHeight="1" outlineLevel="1" x14ac:dyDescent="0.25">
      <c r="B161" s="278"/>
      <c r="C161" s="176"/>
      <c r="D161" s="243"/>
      <c r="E161" s="243"/>
      <c r="F161" s="1097"/>
      <c r="G161" s="1023" t="str">
        <f>IF(OR($C161="",$C161="-"),"",VLOOKUP($C161,'Fatores de Emissão'!$D$118:$J$121,3,FALSE))</f>
        <v/>
      </c>
      <c r="H161" s="1023" t="str">
        <f>IF(OR($C161="",$C161="-"),"",VLOOKUP($C161,'Fatores de Emissão'!$D$118:$J$121,2,FALSE))</f>
        <v/>
      </c>
      <c r="I161" s="1023" t="str">
        <f>IF(OR($C161="",$C161="-"),"",VLOOKUP($C161,'Fatores de Emissão'!$D$118:$J$121,4,FALSE))</f>
        <v/>
      </c>
      <c r="J161" s="1023" t="str">
        <f>IF(OR($C161="",$C161="-"),"",VLOOKUP($C161,'Fatores de Emissão'!$D$118:$J$121,6,FALSE))</f>
        <v/>
      </c>
      <c r="K161" s="1023" t="str">
        <f t="shared" si="13"/>
        <v/>
      </c>
      <c r="L161" s="1023" t="str">
        <f>IF(D161="","",$D161*I161*$E161/1000*'Fatores de Emissão'!$E$258)</f>
        <v/>
      </c>
      <c r="M161" s="1023" t="str">
        <f>IF(E161="","",$D161*J161*$E161/1000*'Fatores de Emissão'!$E$259)</f>
        <v/>
      </c>
      <c r="N161" s="851" t="str">
        <f>IFERROR(IF(H161+I161+J161=0,"",K161+L161*'Fatores de Emissão'!$E$258+M161*'Fatores de Emissão'!$E$259),"")</f>
        <v/>
      </c>
      <c r="O161" s="1080" t="str">
        <f t="shared" si="12"/>
        <v/>
      </c>
    </row>
    <row r="162" spans="2:15" s="240" customFormat="1" ht="21" hidden="1" customHeight="1" outlineLevel="2" x14ac:dyDescent="0.25">
      <c r="B162" s="278"/>
      <c r="C162" s="176"/>
      <c r="D162" s="243"/>
      <c r="E162" s="243"/>
      <c r="F162" s="1097"/>
      <c r="G162" s="1023" t="str">
        <f>IF(OR($C162="",$C162="-"),"",VLOOKUP($C162,'Fatores de Emissão'!$D$118:$J$121,3,FALSE))</f>
        <v/>
      </c>
      <c r="H162" s="1023" t="str">
        <f>IF(OR($C162="",$C162="-"),"",VLOOKUP($C162,'Fatores de Emissão'!$D$118:$J$121,2,FALSE))</f>
        <v/>
      </c>
      <c r="I162" s="1023" t="str">
        <f>IF(OR($C162="",$C162="-"),"",VLOOKUP($C162,'Fatores de Emissão'!$D$118:$J$121,4,FALSE))</f>
        <v/>
      </c>
      <c r="J162" s="1023" t="str">
        <f>IF(OR($C162="",$C162="-"),"",VLOOKUP($C162,'Fatores de Emissão'!$D$118:$J$121,6,FALSE))</f>
        <v/>
      </c>
      <c r="K162" s="1023" t="str">
        <f t="shared" si="13"/>
        <v/>
      </c>
      <c r="L162" s="1023" t="str">
        <f>IF(D162="","",$D162*I162*$E162/1000*'Fatores de Emissão'!$E$258)</f>
        <v/>
      </c>
      <c r="M162" s="1023" t="str">
        <f>IF(E162="","",$D162*J162*$E162/1000*'Fatores de Emissão'!$E$259)</f>
        <v/>
      </c>
      <c r="N162" s="851" t="str">
        <f t="shared" ref="N162:N215" si="14">IFERROR(IF(H162+I162+J162=0,"",K162+L162+M162),"")</f>
        <v/>
      </c>
      <c r="O162" s="1080" t="str">
        <f t="shared" si="12"/>
        <v/>
      </c>
    </row>
    <row r="163" spans="2:15" s="240" customFormat="1" ht="21" hidden="1" customHeight="1" outlineLevel="2" x14ac:dyDescent="0.25">
      <c r="B163" s="278"/>
      <c r="C163" s="176"/>
      <c r="D163" s="243"/>
      <c r="E163" s="243"/>
      <c r="F163" s="1097"/>
      <c r="G163" s="1023" t="str">
        <f>IF(OR($C163="",$C163="-"),"",VLOOKUP($C163,'Fatores de Emissão'!$D$118:$J$121,3,FALSE))</f>
        <v/>
      </c>
      <c r="H163" s="1023" t="str">
        <f>IF(OR($C163="",$C163="-"),"",VLOOKUP($C163,'Fatores de Emissão'!$D$118:$J$121,2,FALSE))</f>
        <v/>
      </c>
      <c r="I163" s="1023" t="str">
        <f>IF(OR($C163="",$C163="-"),"",VLOOKUP($C163,'Fatores de Emissão'!$D$118:$J$121,4,FALSE))</f>
        <v/>
      </c>
      <c r="J163" s="1023" t="str">
        <f>IF(OR($C163="",$C163="-"),"",VLOOKUP($C163,'Fatores de Emissão'!$D$118:$J$121,6,FALSE))</f>
        <v/>
      </c>
      <c r="K163" s="1023" t="str">
        <f t="shared" si="13"/>
        <v/>
      </c>
      <c r="L163" s="1023" t="str">
        <f>IF(D163="","",$D163*I163*$E163/1000*'Fatores de Emissão'!$E$258)</f>
        <v/>
      </c>
      <c r="M163" s="1023" t="str">
        <f>IF(E163="","",$D163*J163*$E163/1000*'Fatores de Emissão'!$E$259)</f>
        <v/>
      </c>
      <c r="N163" s="851" t="str">
        <f t="shared" si="14"/>
        <v/>
      </c>
      <c r="O163" s="1080" t="str">
        <f t="shared" si="12"/>
        <v/>
      </c>
    </row>
    <row r="164" spans="2:15" s="240" customFormat="1" ht="21" hidden="1" customHeight="1" outlineLevel="2" x14ac:dyDescent="0.25">
      <c r="B164" s="278"/>
      <c r="C164" s="176"/>
      <c r="D164" s="243"/>
      <c r="E164" s="243"/>
      <c r="F164" s="1097"/>
      <c r="G164" s="1023" t="str">
        <f>IF(OR($C164="",$C164="-"),"",VLOOKUP($C164,'Fatores de Emissão'!$D$118:$J$121,3,FALSE))</f>
        <v/>
      </c>
      <c r="H164" s="1023" t="str">
        <f>IF(OR($C164="",$C164="-"),"",VLOOKUP($C164,'Fatores de Emissão'!$D$118:$J$121,2,FALSE))</f>
        <v/>
      </c>
      <c r="I164" s="1023" t="str">
        <f>IF(OR($C164="",$C164="-"),"",VLOOKUP($C164,'Fatores de Emissão'!$D$118:$J$121,4,FALSE))</f>
        <v/>
      </c>
      <c r="J164" s="1023" t="str">
        <f>IF(OR($C164="",$C164="-"),"",VLOOKUP($C164,'Fatores de Emissão'!$D$118:$J$121,6,FALSE))</f>
        <v/>
      </c>
      <c r="K164" s="1023" t="str">
        <f t="shared" si="13"/>
        <v/>
      </c>
      <c r="L164" s="1023" t="str">
        <f>IF(D164="","",$D164*I164*$E164/1000*'Fatores de Emissão'!$E$258)</f>
        <v/>
      </c>
      <c r="M164" s="1023" t="str">
        <f>IF(E164="","",$D164*J164*$E164/1000*'Fatores de Emissão'!$E$259)</f>
        <v/>
      </c>
      <c r="N164" s="851" t="str">
        <f t="shared" si="14"/>
        <v/>
      </c>
      <c r="O164" s="1080" t="str">
        <f t="shared" si="12"/>
        <v/>
      </c>
    </row>
    <row r="165" spans="2:15" s="240" customFormat="1" ht="21" hidden="1" customHeight="1" outlineLevel="2" x14ac:dyDescent="0.25">
      <c r="B165" s="278"/>
      <c r="C165" s="176"/>
      <c r="D165" s="243"/>
      <c r="E165" s="243"/>
      <c r="F165" s="1097"/>
      <c r="G165" s="1023" t="str">
        <f>IF(OR($C165="",$C165="-"),"",VLOOKUP($C165,'Fatores de Emissão'!$D$118:$J$121,3,FALSE))</f>
        <v/>
      </c>
      <c r="H165" s="1023" t="str">
        <f>IF(OR($C165="",$C165="-"),"",VLOOKUP($C165,'Fatores de Emissão'!$D$118:$J$121,2,FALSE))</f>
        <v/>
      </c>
      <c r="I165" s="1023" t="str">
        <f>IF(OR($C165="",$C165="-"),"",VLOOKUP($C165,'Fatores de Emissão'!$D$118:$J$121,4,FALSE))</f>
        <v/>
      </c>
      <c r="J165" s="1023" t="str">
        <f>IF(OR($C165="",$C165="-"),"",VLOOKUP($C165,'Fatores de Emissão'!$D$118:$J$121,6,FALSE))</f>
        <v/>
      </c>
      <c r="K165" s="1023" t="str">
        <f t="shared" si="13"/>
        <v/>
      </c>
      <c r="L165" s="1023" t="str">
        <f>IF(D165="","",$D165*I165*$E165/1000*'Fatores de Emissão'!$E$258)</f>
        <v/>
      </c>
      <c r="M165" s="1023" t="str">
        <f>IF(E165="","",$D165*J165*$E165/1000*'Fatores de Emissão'!$E$259)</f>
        <v/>
      </c>
      <c r="N165" s="851" t="str">
        <f t="shared" si="14"/>
        <v/>
      </c>
      <c r="O165" s="1080" t="str">
        <f t="shared" si="12"/>
        <v/>
      </c>
    </row>
    <row r="166" spans="2:15" s="240" customFormat="1" ht="21" hidden="1" customHeight="1" outlineLevel="2" x14ac:dyDescent="0.25">
      <c r="B166" s="278"/>
      <c r="C166" s="176"/>
      <c r="D166" s="243"/>
      <c r="E166" s="243"/>
      <c r="F166" s="1097"/>
      <c r="G166" s="1023" t="str">
        <f>IF(OR($C166="",$C166="-"),"",VLOOKUP($C166,'Fatores de Emissão'!$D$118:$J$121,3,FALSE))</f>
        <v/>
      </c>
      <c r="H166" s="1023" t="str">
        <f>IF(OR($C166="",$C166="-"),"",VLOOKUP($C166,'Fatores de Emissão'!$D$118:$J$121,2,FALSE))</f>
        <v/>
      </c>
      <c r="I166" s="1023" t="str">
        <f>IF(OR($C166="",$C166="-"),"",VLOOKUP($C166,'Fatores de Emissão'!$D$118:$J$121,4,FALSE))</f>
        <v/>
      </c>
      <c r="J166" s="1023" t="str">
        <f>IF(OR($C166="",$C166="-"),"",VLOOKUP($C166,'Fatores de Emissão'!$D$118:$J$121,6,FALSE))</f>
        <v/>
      </c>
      <c r="K166" s="1023" t="str">
        <f t="shared" si="13"/>
        <v/>
      </c>
      <c r="L166" s="1023" t="str">
        <f>IF(D166="","",$D166*I166*$E166/1000*'Fatores de Emissão'!$E$258)</f>
        <v/>
      </c>
      <c r="M166" s="1023" t="str">
        <f>IF(E166="","",$D166*J166*$E166/1000*'Fatores de Emissão'!$E$259)</f>
        <v/>
      </c>
      <c r="N166" s="851" t="str">
        <f t="shared" si="14"/>
        <v/>
      </c>
      <c r="O166" s="1080" t="str">
        <f t="shared" si="12"/>
        <v/>
      </c>
    </row>
    <row r="167" spans="2:15" s="240" customFormat="1" ht="21" hidden="1" customHeight="1" outlineLevel="2" x14ac:dyDescent="0.25">
      <c r="B167" s="278"/>
      <c r="C167" s="176"/>
      <c r="D167" s="243"/>
      <c r="E167" s="243"/>
      <c r="F167" s="1097"/>
      <c r="G167" s="1023" t="str">
        <f>IF(OR($C167="",$C167="-"),"",VLOOKUP($C167,'Fatores de Emissão'!$D$118:$J$121,3,FALSE))</f>
        <v/>
      </c>
      <c r="H167" s="1023" t="str">
        <f>IF(OR($C167="",$C167="-"),"",VLOOKUP($C167,'Fatores de Emissão'!$D$118:$J$121,2,FALSE))</f>
        <v/>
      </c>
      <c r="I167" s="1023" t="str">
        <f>IF(OR($C167="",$C167="-"),"",VLOOKUP($C167,'Fatores de Emissão'!$D$118:$J$121,4,FALSE))</f>
        <v/>
      </c>
      <c r="J167" s="1023" t="str">
        <f>IF(OR($C167="",$C167="-"),"",VLOOKUP($C167,'Fatores de Emissão'!$D$118:$J$121,6,FALSE))</f>
        <v/>
      </c>
      <c r="K167" s="1023" t="str">
        <f t="shared" si="13"/>
        <v/>
      </c>
      <c r="L167" s="1023" t="str">
        <f>IF(D167="","",$D167*I167*$E167/1000*'Fatores de Emissão'!$E$258)</f>
        <v/>
      </c>
      <c r="M167" s="1023" t="str">
        <f>IF(E167="","",$D167*J167*$E167/1000*'Fatores de Emissão'!$E$259)</f>
        <v/>
      </c>
      <c r="N167" s="851" t="str">
        <f t="shared" si="14"/>
        <v/>
      </c>
      <c r="O167" s="1080" t="str">
        <f t="shared" si="12"/>
        <v/>
      </c>
    </row>
    <row r="168" spans="2:15" s="240" customFormat="1" ht="21" hidden="1" customHeight="1" outlineLevel="2" x14ac:dyDescent="0.25">
      <c r="B168" s="278"/>
      <c r="C168" s="176"/>
      <c r="D168" s="243"/>
      <c r="E168" s="243"/>
      <c r="F168" s="1097"/>
      <c r="G168" s="1023" t="str">
        <f>IF(OR($C168="",$C168="-"),"",VLOOKUP($C168,'Fatores de Emissão'!$D$118:$J$121,3,FALSE))</f>
        <v/>
      </c>
      <c r="H168" s="1023" t="str">
        <f>IF(OR($C168="",$C168="-"),"",VLOOKUP($C168,'Fatores de Emissão'!$D$118:$J$121,2,FALSE))</f>
        <v/>
      </c>
      <c r="I168" s="1023" t="str">
        <f>IF(OR($C168="",$C168="-"),"",VLOOKUP($C168,'Fatores de Emissão'!$D$118:$J$121,4,FALSE))</f>
        <v/>
      </c>
      <c r="J168" s="1023" t="str">
        <f>IF(OR($C168="",$C168="-"),"",VLOOKUP($C168,'Fatores de Emissão'!$D$118:$J$121,6,FALSE))</f>
        <v/>
      </c>
      <c r="K168" s="1023" t="str">
        <f t="shared" si="13"/>
        <v/>
      </c>
      <c r="L168" s="1023" t="str">
        <f>IF(D168="","",$D168*I168*$E168/1000*'Fatores de Emissão'!$E$258)</f>
        <v/>
      </c>
      <c r="M168" s="1023" t="str">
        <f>IF(E168="","",$D168*J168*$E168/1000*'Fatores de Emissão'!$E$259)</f>
        <v/>
      </c>
      <c r="N168" s="851" t="str">
        <f t="shared" si="14"/>
        <v/>
      </c>
      <c r="O168" s="1080" t="str">
        <f t="shared" si="12"/>
        <v/>
      </c>
    </row>
    <row r="169" spans="2:15" s="240" customFormat="1" ht="21" hidden="1" customHeight="1" outlineLevel="2" x14ac:dyDescent="0.25">
      <c r="B169" s="278"/>
      <c r="C169" s="176"/>
      <c r="D169" s="243"/>
      <c r="E169" s="243"/>
      <c r="F169" s="1097"/>
      <c r="G169" s="1023" t="str">
        <f>IF(OR($C169="",$C169="-"),"",VLOOKUP($C169,'Fatores de Emissão'!$D$118:$J$121,3,FALSE))</f>
        <v/>
      </c>
      <c r="H169" s="1023" t="str">
        <f>IF(OR($C169="",$C169="-"),"",VLOOKUP($C169,'Fatores de Emissão'!$D$118:$J$121,2,FALSE))</f>
        <v/>
      </c>
      <c r="I169" s="1023" t="str">
        <f>IF(OR($C169="",$C169="-"),"",VLOOKUP($C169,'Fatores de Emissão'!$D$118:$J$121,4,FALSE))</f>
        <v/>
      </c>
      <c r="J169" s="1023" t="str">
        <f>IF(OR($C169="",$C169="-"),"",VLOOKUP($C169,'Fatores de Emissão'!$D$118:$J$121,6,FALSE))</f>
        <v/>
      </c>
      <c r="K169" s="1023" t="str">
        <f t="shared" si="13"/>
        <v/>
      </c>
      <c r="L169" s="1023" t="str">
        <f>IF(D169="","",$D169*I169*$E169/1000*'Fatores de Emissão'!$E$258)</f>
        <v/>
      </c>
      <c r="M169" s="1023" t="str">
        <f>IF(E169="","",$D169*J169*$E169/1000*'Fatores de Emissão'!$E$259)</f>
        <v/>
      </c>
      <c r="N169" s="851" t="str">
        <f t="shared" si="14"/>
        <v/>
      </c>
      <c r="O169" s="1080" t="str">
        <f t="shared" si="12"/>
        <v/>
      </c>
    </row>
    <row r="170" spans="2:15" s="240" customFormat="1" ht="21" hidden="1" customHeight="1" outlineLevel="2" x14ac:dyDescent="0.25">
      <c r="B170" s="278"/>
      <c r="C170" s="176"/>
      <c r="D170" s="243"/>
      <c r="E170" s="243"/>
      <c r="F170" s="1097"/>
      <c r="G170" s="1023" t="str">
        <f>IF(OR($C170="",$C170="-"),"",VLOOKUP($C170,'Fatores de Emissão'!$D$118:$J$121,3,FALSE))</f>
        <v/>
      </c>
      <c r="H170" s="1023" t="str">
        <f>IF(OR($C170="",$C170="-"),"",VLOOKUP($C170,'Fatores de Emissão'!$D$118:$J$121,2,FALSE))</f>
        <v/>
      </c>
      <c r="I170" s="1023" t="str">
        <f>IF(OR($C170="",$C170="-"),"",VLOOKUP($C170,'Fatores de Emissão'!$D$118:$J$121,4,FALSE))</f>
        <v/>
      </c>
      <c r="J170" s="1023" t="str">
        <f>IF(OR($C170="",$C170="-"),"",VLOOKUP($C170,'Fatores de Emissão'!$D$118:$J$121,6,FALSE))</f>
        <v/>
      </c>
      <c r="K170" s="1023" t="str">
        <f t="shared" si="13"/>
        <v/>
      </c>
      <c r="L170" s="1023" t="str">
        <f>IF(D170="","",$D170*I170*$E170/1000*'Fatores de Emissão'!$E$258)</f>
        <v/>
      </c>
      <c r="M170" s="1023" t="str">
        <f>IF(E170="","",$D170*J170*$E170/1000*'Fatores de Emissão'!$E$259)</f>
        <v/>
      </c>
      <c r="N170" s="851" t="str">
        <f t="shared" si="14"/>
        <v/>
      </c>
      <c r="O170" s="1080" t="str">
        <f t="shared" si="12"/>
        <v/>
      </c>
    </row>
    <row r="171" spans="2:15" s="240" customFormat="1" ht="21" hidden="1" customHeight="1" outlineLevel="2" x14ac:dyDescent="0.25">
      <c r="B171" s="278"/>
      <c r="C171" s="176"/>
      <c r="D171" s="243"/>
      <c r="E171" s="243"/>
      <c r="F171" s="1097"/>
      <c r="G171" s="1023" t="str">
        <f>IF(OR($C171="",$C171="-"),"",VLOOKUP($C171,'Fatores de Emissão'!$D$118:$J$121,3,FALSE))</f>
        <v/>
      </c>
      <c r="H171" s="1023" t="str">
        <f>IF(OR($C171="",$C171="-"),"",VLOOKUP($C171,'Fatores de Emissão'!$D$118:$J$121,2,FALSE))</f>
        <v/>
      </c>
      <c r="I171" s="1023" t="str">
        <f>IF(OR($C171="",$C171="-"),"",VLOOKUP($C171,'Fatores de Emissão'!$D$118:$J$121,4,FALSE))</f>
        <v/>
      </c>
      <c r="J171" s="1023" t="str">
        <f>IF(OR($C171="",$C171="-"),"",VLOOKUP($C171,'Fatores de Emissão'!$D$118:$J$121,6,FALSE))</f>
        <v/>
      </c>
      <c r="K171" s="1023" t="str">
        <f t="shared" si="13"/>
        <v/>
      </c>
      <c r="L171" s="1023" t="str">
        <f>IF(D171="","",$D171*I171*$E171/1000*'Fatores de Emissão'!$E$258)</f>
        <v/>
      </c>
      <c r="M171" s="1023" t="str">
        <f>IF(E171="","",$D171*J171*$E171/1000*'Fatores de Emissão'!$E$259)</f>
        <v/>
      </c>
      <c r="N171" s="851" t="str">
        <f t="shared" si="14"/>
        <v/>
      </c>
      <c r="O171" s="1080" t="str">
        <f t="shared" si="12"/>
        <v/>
      </c>
    </row>
    <row r="172" spans="2:15" s="240" customFormat="1" ht="21" hidden="1" customHeight="1" outlineLevel="2" x14ac:dyDescent="0.25">
      <c r="B172" s="278"/>
      <c r="C172" s="176"/>
      <c r="D172" s="243"/>
      <c r="E172" s="243"/>
      <c r="F172" s="1097"/>
      <c r="G172" s="1023" t="str">
        <f>IF(OR($C172="",$C172="-"),"",VLOOKUP($C172,'Fatores de Emissão'!$D$118:$J$121,3,FALSE))</f>
        <v/>
      </c>
      <c r="H172" s="1023" t="str">
        <f>IF(OR($C172="",$C172="-"),"",VLOOKUP($C172,'Fatores de Emissão'!$D$118:$J$121,2,FALSE))</f>
        <v/>
      </c>
      <c r="I172" s="1023" t="str">
        <f>IF(OR($C172="",$C172="-"),"",VLOOKUP($C172,'Fatores de Emissão'!$D$118:$J$121,4,FALSE))</f>
        <v/>
      </c>
      <c r="J172" s="1023" t="str">
        <f>IF(OR($C172="",$C172="-"),"",VLOOKUP($C172,'Fatores de Emissão'!$D$118:$J$121,6,FALSE))</f>
        <v/>
      </c>
      <c r="K172" s="1023" t="str">
        <f t="shared" si="13"/>
        <v/>
      </c>
      <c r="L172" s="1023" t="str">
        <f>IF(D172="","",$D172*I172*$E172/1000*'Fatores de Emissão'!$E$258)</f>
        <v/>
      </c>
      <c r="M172" s="1023" t="str">
        <f>IF(E172="","",$D172*J172*$E172/1000*'Fatores de Emissão'!$E$259)</f>
        <v/>
      </c>
      <c r="N172" s="851" t="str">
        <f t="shared" si="14"/>
        <v/>
      </c>
      <c r="O172" s="1080" t="str">
        <f t="shared" si="12"/>
        <v/>
      </c>
    </row>
    <row r="173" spans="2:15" s="240" customFormat="1" ht="21" hidden="1" customHeight="1" outlineLevel="2" x14ac:dyDescent="0.25">
      <c r="B173" s="278"/>
      <c r="C173" s="176"/>
      <c r="D173" s="243"/>
      <c r="E173" s="243"/>
      <c r="F173" s="1097"/>
      <c r="G173" s="1023" t="str">
        <f>IF(OR($C173="",$C173="-"),"",VLOOKUP($C173,'Fatores de Emissão'!$D$118:$J$121,3,FALSE))</f>
        <v/>
      </c>
      <c r="H173" s="1023" t="str">
        <f>IF(OR($C173="",$C173="-"),"",VLOOKUP($C173,'Fatores de Emissão'!$D$118:$J$121,2,FALSE))</f>
        <v/>
      </c>
      <c r="I173" s="1023" t="str">
        <f>IF(OR($C173="",$C173="-"),"",VLOOKUP($C173,'Fatores de Emissão'!$D$118:$J$121,4,FALSE))</f>
        <v/>
      </c>
      <c r="J173" s="1023" t="str">
        <f>IF(OR($C173="",$C173="-"),"",VLOOKUP($C173,'Fatores de Emissão'!$D$118:$J$121,6,FALSE))</f>
        <v/>
      </c>
      <c r="K173" s="1023" t="str">
        <f t="shared" si="13"/>
        <v/>
      </c>
      <c r="L173" s="1023" t="str">
        <f>IF(D173="","",$D173*I173*$E173/1000*'Fatores de Emissão'!$E$258)</f>
        <v/>
      </c>
      <c r="M173" s="1023" t="str">
        <f>IF(E173="","",$D173*J173*$E173/1000*'Fatores de Emissão'!$E$259)</f>
        <v/>
      </c>
      <c r="N173" s="851" t="str">
        <f t="shared" si="14"/>
        <v/>
      </c>
      <c r="O173" s="1080" t="str">
        <f t="shared" si="12"/>
        <v/>
      </c>
    </row>
    <row r="174" spans="2:15" s="240" customFormat="1" ht="21" hidden="1" customHeight="1" outlineLevel="2" x14ac:dyDescent="0.25">
      <c r="B174" s="278"/>
      <c r="C174" s="176"/>
      <c r="D174" s="243"/>
      <c r="E174" s="243"/>
      <c r="F174" s="1097"/>
      <c r="G174" s="1023" t="str">
        <f>IF(OR($C174="",$C174="-"),"",VLOOKUP($C174,'Fatores de Emissão'!$D$118:$J$121,3,FALSE))</f>
        <v/>
      </c>
      <c r="H174" s="1023" t="str">
        <f>IF(OR($C174="",$C174="-"),"",VLOOKUP($C174,'Fatores de Emissão'!$D$118:$J$121,2,FALSE))</f>
        <v/>
      </c>
      <c r="I174" s="1023" t="str">
        <f>IF(OR($C174="",$C174="-"),"",VLOOKUP($C174,'Fatores de Emissão'!$D$118:$J$121,4,FALSE))</f>
        <v/>
      </c>
      <c r="J174" s="1023" t="str">
        <f>IF(OR($C174="",$C174="-"),"",VLOOKUP($C174,'Fatores de Emissão'!$D$118:$J$121,6,FALSE))</f>
        <v/>
      </c>
      <c r="K174" s="1023" t="str">
        <f t="shared" si="13"/>
        <v/>
      </c>
      <c r="L174" s="1023" t="str">
        <f>IF(D174="","",$D174*I174*$E174/1000*'Fatores de Emissão'!$E$258)</f>
        <v/>
      </c>
      <c r="M174" s="1023" t="str">
        <f>IF(E174="","",$D174*J174*$E174/1000*'Fatores de Emissão'!$E$259)</f>
        <v/>
      </c>
      <c r="N174" s="851" t="str">
        <f t="shared" si="14"/>
        <v/>
      </c>
      <c r="O174" s="1080" t="str">
        <f t="shared" si="12"/>
        <v/>
      </c>
    </row>
    <row r="175" spans="2:15" s="240" customFormat="1" ht="21" hidden="1" customHeight="1" outlineLevel="2" x14ac:dyDescent="0.25">
      <c r="B175" s="278"/>
      <c r="C175" s="176"/>
      <c r="D175" s="243"/>
      <c r="E175" s="243"/>
      <c r="F175" s="1097"/>
      <c r="G175" s="1023" t="str">
        <f>IF(OR($C175="",$C175="-"),"",VLOOKUP($C175,'Fatores de Emissão'!$D$118:$J$121,3,FALSE))</f>
        <v/>
      </c>
      <c r="H175" s="1023" t="str">
        <f>IF(OR($C175="",$C175="-"),"",VLOOKUP($C175,'Fatores de Emissão'!$D$118:$J$121,2,FALSE))</f>
        <v/>
      </c>
      <c r="I175" s="1023" t="str">
        <f>IF(OR($C175="",$C175="-"),"",VLOOKUP($C175,'Fatores de Emissão'!$D$118:$J$121,4,FALSE))</f>
        <v/>
      </c>
      <c r="J175" s="1023" t="str">
        <f>IF(OR($C175="",$C175="-"),"",VLOOKUP($C175,'Fatores de Emissão'!$D$118:$J$121,6,FALSE))</f>
        <v/>
      </c>
      <c r="K175" s="1023" t="str">
        <f t="shared" si="13"/>
        <v/>
      </c>
      <c r="L175" s="1023" t="str">
        <f>IF(D175="","",$D175*I175*$E175/1000*'Fatores de Emissão'!$E$258)</f>
        <v/>
      </c>
      <c r="M175" s="1023" t="str">
        <f>IF(E175="","",$D175*J175*$E175/1000*'Fatores de Emissão'!$E$259)</f>
        <v/>
      </c>
      <c r="N175" s="851" t="str">
        <f t="shared" si="14"/>
        <v/>
      </c>
      <c r="O175" s="1080" t="str">
        <f t="shared" si="12"/>
        <v/>
      </c>
    </row>
    <row r="176" spans="2:15" s="240" customFormat="1" ht="21" hidden="1" customHeight="1" outlineLevel="2" x14ac:dyDescent="0.25">
      <c r="B176" s="278"/>
      <c r="C176" s="176"/>
      <c r="D176" s="243"/>
      <c r="E176" s="243"/>
      <c r="F176" s="1097"/>
      <c r="G176" s="1023" t="str">
        <f>IF(OR($C176="",$C176="-"),"",VLOOKUP($C176,'Fatores de Emissão'!$D$118:$J$121,3,FALSE))</f>
        <v/>
      </c>
      <c r="H176" s="1023" t="str">
        <f>IF(OR($C176="",$C176="-"),"",VLOOKUP($C176,'Fatores de Emissão'!$D$118:$J$121,2,FALSE))</f>
        <v/>
      </c>
      <c r="I176" s="1023" t="str">
        <f>IF(OR($C176="",$C176="-"),"",VLOOKUP($C176,'Fatores de Emissão'!$D$118:$J$121,4,FALSE))</f>
        <v/>
      </c>
      <c r="J176" s="1023" t="str">
        <f>IF(OR($C176="",$C176="-"),"",VLOOKUP($C176,'Fatores de Emissão'!$D$118:$J$121,6,FALSE))</f>
        <v/>
      </c>
      <c r="K176" s="1023" t="str">
        <f t="shared" si="13"/>
        <v/>
      </c>
      <c r="L176" s="1023" t="str">
        <f>IF(D176="","",$D176*I176*$E176/1000*'Fatores de Emissão'!$E$258)</f>
        <v/>
      </c>
      <c r="M176" s="1023" t="str">
        <f>IF(E176="","",$D176*J176*$E176/1000*'Fatores de Emissão'!$E$259)</f>
        <v/>
      </c>
      <c r="N176" s="851" t="str">
        <f t="shared" si="14"/>
        <v/>
      </c>
      <c r="O176" s="1080" t="str">
        <f t="shared" si="12"/>
        <v/>
      </c>
    </row>
    <row r="177" spans="2:15" s="240" customFormat="1" ht="21" hidden="1" customHeight="1" outlineLevel="2" x14ac:dyDescent="0.25">
      <c r="B177" s="278"/>
      <c r="C177" s="176"/>
      <c r="D177" s="243"/>
      <c r="E177" s="243"/>
      <c r="F177" s="1097"/>
      <c r="G177" s="1023" t="str">
        <f>IF(OR($C177="",$C177="-"),"",VLOOKUP($C177,'Fatores de Emissão'!$D$118:$J$121,3,FALSE))</f>
        <v/>
      </c>
      <c r="H177" s="1023" t="str">
        <f>IF(OR($C177="",$C177="-"),"",VLOOKUP($C177,'Fatores de Emissão'!$D$118:$J$121,2,FALSE))</f>
        <v/>
      </c>
      <c r="I177" s="1023" t="str">
        <f>IF(OR($C177="",$C177="-"),"",VLOOKUP($C177,'Fatores de Emissão'!$D$118:$J$121,4,FALSE))</f>
        <v/>
      </c>
      <c r="J177" s="1023" t="str">
        <f>IF(OR($C177="",$C177="-"),"",VLOOKUP($C177,'Fatores de Emissão'!$D$118:$J$121,6,FALSE))</f>
        <v/>
      </c>
      <c r="K177" s="1023" t="str">
        <f t="shared" si="13"/>
        <v/>
      </c>
      <c r="L177" s="1023" t="str">
        <f>IF(D177="","",$D177*I177*$E177/1000*'Fatores de Emissão'!$E$258)</f>
        <v/>
      </c>
      <c r="M177" s="1023" t="str">
        <f>IF(E177="","",$D177*J177*$E177/1000*'Fatores de Emissão'!$E$259)</f>
        <v/>
      </c>
      <c r="N177" s="851" t="str">
        <f t="shared" si="14"/>
        <v/>
      </c>
      <c r="O177" s="1080" t="str">
        <f t="shared" si="12"/>
        <v/>
      </c>
    </row>
    <row r="178" spans="2:15" s="240" customFormat="1" ht="21" hidden="1" customHeight="1" outlineLevel="2" x14ac:dyDescent="0.25">
      <c r="B178" s="278"/>
      <c r="C178" s="176"/>
      <c r="D178" s="243"/>
      <c r="E178" s="243"/>
      <c r="F178" s="1097"/>
      <c r="G178" s="1023" t="str">
        <f>IF(OR($C178="",$C178="-"),"",VLOOKUP($C178,'Fatores de Emissão'!$D$118:$J$121,3,FALSE))</f>
        <v/>
      </c>
      <c r="H178" s="1023" t="str">
        <f>IF(OR($C178="",$C178="-"),"",VLOOKUP($C178,'Fatores de Emissão'!$D$118:$J$121,2,FALSE))</f>
        <v/>
      </c>
      <c r="I178" s="1023" t="str">
        <f>IF(OR($C178="",$C178="-"),"",VLOOKUP($C178,'Fatores de Emissão'!$D$118:$J$121,4,FALSE))</f>
        <v/>
      </c>
      <c r="J178" s="1023" t="str">
        <f>IF(OR($C178="",$C178="-"),"",VLOOKUP($C178,'Fatores de Emissão'!$D$118:$J$121,6,FALSE))</f>
        <v/>
      </c>
      <c r="K178" s="1023" t="str">
        <f t="shared" si="13"/>
        <v/>
      </c>
      <c r="L178" s="1023" t="str">
        <f>IF(D178="","",$D178*I178*$E178/1000*'Fatores de Emissão'!$E$258)</f>
        <v/>
      </c>
      <c r="M178" s="1023" t="str">
        <f>IF(E178="","",$D178*J178*$E178/1000*'Fatores de Emissão'!$E$259)</f>
        <v/>
      </c>
      <c r="N178" s="851" t="str">
        <f t="shared" si="14"/>
        <v/>
      </c>
      <c r="O178" s="1080" t="str">
        <f t="shared" si="12"/>
        <v/>
      </c>
    </row>
    <row r="179" spans="2:15" s="240" customFormat="1" ht="21" hidden="1" customHeight="1" outlineLevel="2" x14ac:dyDescent="0.25">
      <c r="B179" s="278"/>
      <c r="C179" s="176"/>
      <c r="D179" s="243"/>
      <c r="E179" s="243"/>
      <c r="F179" s="1097"/>
      <c r="G179" s="1023" t="str">
        <f>IF(OR($C179="",$C179="-"),"",VLOOKUP($C179,'Fatores de Emissão'!$D$118:$J$121,3,FALSE))</f>
        <v/>
      </c>
      <c r="H179" s="1023" t="str">
        <f>IF(OR($C179="",$C179="-"),"",VLOOKUP($C179,'Fatores de Emissão'!$D$118:$J$121,2,FALSE))</f>
        <v/>
      </c>
      <c r="I179" s="1023" t="str">
        <f>IF(OR($C179="",$C179="-"),"",VLOOKUP($C179,'Fatores de Emissão'!$D$118:$J$121,4,FALSE))</f>
        <v/>
      </c>
      <c r="J179" s="1023" t="str">
        <f>IF(OR($C179="",$C179="-"),"",VLOOKUP($C179,'Fatores de Emissão'!$D$118:$J$121,6,FALSE))</f>
        <v/>
      </c>
      <c r="K179" s="1023" t="str">
        <f t="shared" si="13"/>
        <v/>
      </c>
      <c r="L179" s="1023" t="str">
        <f>IF(D179="","",$D179*I179*$E179/1000*'Fatores de Emissão'!$E$258)</f>
        <v/>
      </c>
      <c r="M179" s="1023" t="str">
        <f>IF(E179="","",$D179*J179*$E179/1000*'Fatores de Emissão'!$E$259)</f>
        <v/>
      </c>
      <c r="N179" s="851" t="str">
        <f t="shared" si="14"/>
        <v/>
      </c>
      <c r="O179" s="1080" t="str">
        <f t="shared" si="12"/>
        <v/>
      </c>
    </row>
    <row r="180" spans="2:15" s="240" customFormat="1" ht="21" hidden="1" customHeight="1" outlineLevel="2" x14ac:dyDescent="0.25">
      <c r="B180" s="278"/>
      <c r="C180" s="176"/>
      <c r="D180" s="243"/>
      <c r="E180" s="243"/>
      <c r="F180" s="1097"/>
      <c r="G180" s="1023" t="str">
        <f>IF(OR($C180="",$C180="-"),"",VLOOKUP($C180,'Fatores de Emissão'!$D$118:$J$121,3,FALSE))</f>
        <v/>
      </c>
      <c r="H180" s="1023" t="str">
        <f>IF(OR($C180="",$C180="-"),"",VLOOKUP($C180,'Fatores de Emissão'!$D$118:$J$121,2,FALSE))</f>
        <v/>
      </c>
      <c r="I180" s="1023" t="str">
        <f>IF(OR($C180="",$C180="-"),"",VLOOKUP($C180,'Fatores de Emissão'!$D$118:$J$121,4,FALSE))</f>
        <v/>
      </c>
      <c r="J180" s="1023" t="str">
        <f>IF(OR($C180="",$C180="-"),"",VLOOKUP($C180,'Fatores de Emissão'!$D$118:$J$121,6,FALSE))</f>
        <v/>
      </c>
      <c r="K180" s="1023" t="str">
        <f t="shared" si="13"/>
        <v/>
      </c>
      <c r="L180" s="1023" t="str">
        <f>IF(D180="","",$D180*I180*$E180/1000*'Fatores de Emissão'!$E$258)</f>
        <v/>
      </c>
      <c r="M180" s="1023" t="str">
        <f>IF(E180="","",$D180*J180*$E180/1000*'Fatores de Emissão'!$E$259)</f>
        <v/>
      </c>
      <c r="N180" s="851" t="str">
        <f t="shared" si="14"/>
        <v/>
      </c>
      <c r="O180" s="1080" t="str">
        <f t="shared" si="12"/>
        <v/>
      </c>
    </row>
    <row r="181" spans="2:15" s="240" customFormat="1" ht="21" hidden="1" customHeight="1" outlineLevel="2" x14ac:dyDescent="0.25">
      <c r="B181" s="278"/>
      <c r="C181" s="176"/>
      <c r="D181" s="243"/>
      <c r="E181" s="243"/>
      <c r="F181" s="1097"/>
      <c r="G181" s="1023" t="str">
        <f>IF(OR($C181="",$C181="-"),"",VLOOKUP($C181,'Fatores de Emissão'!$D$118:$J$121,3,FALSE))</f>
        <v/>
      </c>
      <c r="H181" s="1023" t="str">
        <f>IF(OR($C181="",$C181="-"),"",VLOOKUP($C181,'Fatores de Emissão'!$D$118:$J$121,2,FALSE))</f>
        <v/>
      </c>
      <c r="I181" s="1023" t="str">
        <f>IF(OR($C181="",$C181="-"),"",VLOOKUP($C181,'Fatores de Emissão'!$D$118:$J$121,4,FALSE))</f>
        <v/>
      </c>
      <c r="J181" s="1023" t="str">
        <f>IF(OR($C181="",$C181="-"),"",VLOOKUP($C181,'Fatores de Emissão'!$D$118:$J$121,6,FALSE))</f>
        <v/>
      </c>
      <c r="K181" s="1023" t="str">
        <f t="shared" si="13"/>
        <v/>
      </c>
      <c r="L181" s="1023" t="str">
        <f>IF(D181="","",$D181*I181*$E181/1000*'Fatores de Emissão'!$E$258)</f>
        <v/>
      </c>
      <c r="M181" s="1023" t="str">
        <f>IF(E181="","",$D181*J181*$E181/1000*'Fatores de Emissão'!$E$259)</f>
        <v/>
      </c>
      <c r="N181" s="851" t="str">
        <f t="shared" si="14"/>
        <v/>
      </c>
      <c r="O181" s="1080" t="str">
        <f t="shared" si="12"/>
        <v/>
      </c>
    </row>
    <row r="182" spans="2:15" s="240" customFormat="1" ht="21" hidden="1" customHeight="1" outlineLevel="2" x14ac:dyDescent="0.25">
      <c r="B182" s="278"/>
      <c r="C182" s="176"/>
      <c r="D182" s="243"/>
      <c r="E182" s="243"/>
      <c r="F182" s="1097"/>
      <c r="G182" s="1023" t="str">
        <f>IF(OR($C182="",$C182="-"),"",VLOOKUP($C182,'Fatores de Emissão'!$D$118:$J$121,3,FALSE))</f>
        <v/>
      </c>
      <c r="H182" s="1023" t="str">
        <f>IF(OR($C182="",$C182="-"),"",VLOOKUP($C182,'Fatores de Emissão'!$D$118:$J$121,2,FALSE))</f>
        <v/>
      </c>
      <c r="I182" s="1023" t="str">
        <f>IF(OR($C182="",$C182="-"),"",VLOOKUP($C182,'Fatores de Emissão'!$D$118:$J$121,4,FALSE))</f>
        <v/>
      </c>
      <c r="J182" s="1023" t="str">
        <f>IF(OR($C182="",$C182="-"),"",VLOOKUP($C182,'Fatores de Emissão'!$D$118:$J$121,6,FALSE))</f>
        <v/>
      </c>
      <c r="K182" s="1023" t="str">
        <f t="shared" si="13"/>
        <v/>
      </c>
      <c r="L182" s="1023" t="str">
        <f>IF(D182="","",$D182*I182*$E182/1000*'Fatores de Emissão'!$E$258)</f>
        <v/>
      </c>
      <c r="M182" s="1023" t="str">
        <f>IF(E182="","",$D182*J182*$E182/1000*'Fatores de Emissão'!$E$259)</f>
        <v/>
      </c>
      <c r="N182" s="851" t="str">
        <f t="shared" si="14"/>
        <v/>
      </c>
      <c r="O182" s="1080" t="str">
        <f t="shared" si="12"/>
        <v/>
      </c>
    </row>
    <row r="183" spans="2:15" s="240" customFormat="1" ht="21" hidden="1" customHeight="1" outlineLevel="2" x14ac:dyDescent="0.25">
      <c r="B183" s="278"/>
      <c r="C183" s="176"/>
      <c r="D183" s="243"/>
      <c r="E183" s="243"/>
      <c r="F183" s="1097"/>
      <c r="G183" s="1023" t="str">
        <f>IF(OR($C183="",$C183="-"),"",VLOOKUP($C183,'Fatores de Emissão'!$D$118:$J$121,3,FALSE))</f>
        <v/>
      </c>
      <c r="H183" s="1023" t="str">
        <f>IF(OR($C183="",$C183="-"),"",VLOOKUP($C183,'Fatores de Emissão'!$D$118:$J$121,2,FALSE))</f>
        <v/>
      </c>
      <c r="I183" s="1023" t="str">
        <f>IF(OR($C183="",$C183="-"),"",VLOOKUP($C183,'Fatores de Emissão'!$D$118:$J$121,4,FALSE))</f>
        <v/>
      </c>
      <c r="J183" s="1023" t="str">
        <f>IF(OR($C183="",$C183="-"),"",VLOOKUP($C183,'Fatores de Emissão'!$D$118:$J$121,6,FALSE))</f>
        <v/>
      </c>
      <c r="K183" s="1023" t="str">
        <f t="shared" si="13"/>
        <v/>
      </c>
      <c r="L183" s="1023" t="str">
        <f>IF(D183="","",$D183*I183*$E183/1000*'Fatores de Emissão'!$E$258)</f>
        <v/>
      </c>
      <c r="M183" s="1023" t="str">
        <f>IF(E183="","",$D183*J183*$E183/1000*'Fatores de Emissão'!$E$259)</f>
        <v/>
      </c>
      <c r="N183" s="851" t="str">
        <f t="shared" si="14"/>
        <v/>
      </c>
      <c r="O183" s="1080" t="str">
        <f t="shared" ref="O183:O214" si="15">IF(D183="","",IFERROR(D183*1,"Erro, confira o valor da distância percorrida"))</f>
        <v/>
      </c>
    </row>
    <row r="184" spans="2:15" s="240" customFormat="1" ht="21" hidden="1" customHeight="1" outlineLevel="2" x14ac:dyDescent="0.25">
      <c r="B184" s="278"/>
      <c r="C184" s="176"/>
      <c r="D184" s="243"/>
      <c r="E184" s="243"/>
      <c r="F184" s="1097"/>
      <c r="G184" s="1023" t="str">
        <f>IF(OR($C184="",$C184="-"),"",VLOOKUP($C184,'Fatores de Emissão'!$D$118:$J$121,3,FALSE))</f>
        <v/>
      </c>
      <c r="H184" s="1023" t="str">
        <f>IF(OR($C184="",$C184="-"),"",VLOOKUP($C184,'Fatores de Emissão'!$D$118:$J$121,2,FALSE))</f>
        <v/>
      </c>
      <c r="I184" s="1023" t="str">
        <f>IF(OR($C184="",$C184="-"),"",VLOOKUP($C184,'Fatores de Emissão'!$D$118:$J$121,4,FALSE))</f>
        <v/>
      </c>
      <c r="J184" s="1023" t="str">
        <f>IF(OR($C184="",$C184="-"),"",VLOOKUP($C184,'Fatores de Emissão'!$D$118:$J$121,6,FALSE))</f>
        <v/>
      </c>
      <c r="K184" s="1023" t="str">
        <f t="shared" ref="K184:K215" si="16">IF(C184="","",$D184*H184*$E184/1000)</f>
        <v/>
      </c>
      <c r="L184" s="1023" t="str">
        <f>IF(D184="","",$D184*I184*$E184/1000*'Fatores de Emissão'!$E$258)</f>
        <v/>
      </c>
      <c r="M184" s="1023" t="str">
        <f>IF(E184="","",$D184*J184*$E184/1000*'Fatores de Emissão'!$E$259)</f>
        <v/>
      </c>
      <c r="N184" s="851" t="str">
        <f t="shared" si="14"/>
        <v/>
      </c>
      <c r="O184" s="1080" t="str">
        <f t="shared" si="15"/>
        <v/>
      </c>
    </row>
    <row r="185" spans="2:15" s="240" customFormat="1" ht="21" hidden="1" customHeight="1" outlineLevel="2" x14ac:dyDescent="0.25">
      <c r="B185" s="278"/>
      <c r="C185" s="176"/>
      <c r="D185" s="243"/>
      <c r="E185" s="243"/>
      <c r="F185" s="1097"/>
      <c r="G185" s="1023" t="str">
        <f>IF(OR($C185="",$C185="-"),"",VLOOKUP($C185,'Fatores de Emissão'!$D$118:$J$121,3,FALSE))</f>
        <v/>
      </c>
      <c r="H185" s="1023" t="str">
        <f>IF(OR($C185="",$C185="-"),"",VLOOKUP($C185,'Fatores de Emissão'!$D$118:$J$121,2,FALSE))</f>
        <v/>
      </c>
      <c r="I185" s="1023" t="str">
        <f>IF(OR($C185="",$C185="-"),"",VLOOKUP($C185,'Fatores de Emissão'!$D$118:$J$121,4,FALSE))</f>
        <v/>
      </c>
      <c r="J185" s="1023" t="str">
        <f>IF(OR($C185="",$C185="-"),"",VLOOKUP($C185,'Fatores de Emissão'!$D$118:$J$121,6,FALSE))</f>
        <v/>
      </c>
      <c r="K185" s="1023" t="str">
        <f t="shared" si="16"/>
        <v/>
      </c>
      <c r="L185" s="1023" t="str">
        <f>IF(D185="","",$D185*I185*$E185/1000*'Fatores de Emissão'!$E$258)</f>
        <v/>
      </c>
      <c r="M185" s="1023" t="str">
        <f>IF(E185="","",$D185*J185*$E185/1000*'Fatores de Emissão'!$E$259)</f>
        <v/>
      </c>
      <c r="N185" s="851" t="str">
        <f t="shared" si="14"/>
        <v/>
      </c>
      <c r="O185" s="1080" t="str">
        <f t="shared" si="15"/>
        <v/>
      </c>
    </row>
    <row r="186" spans="2:15" s="240" customFormat="1" ht="21" hidden="1" customHeight="1" outlineLevel="2" x14ac:dyDescent="0.25">
      <c r="B186" s="278"/>
      <c r="C186" s="176"/>
      <c r="D186" s="243"/>
      <c r="E186" s="243"/>
      <c r="F186" s="1097"/>
      <c r="G186" s="1023" t="str">
        <f>IF(OR($C186="",$C186="-"),"",VLOOKUP($C186,'Fatores de Emissão'!$D$118:$J$121,3,FALSE))</f>
        <v/>
      </c>
      <c r="H186" s="1023" t="str">
        <f>IF(OR($C186="",$C186="-"),"",VLOOKUP($C186,'Fatores de Emissão'!$D$118:$J$121,2,FALSE))</f>
        <v/>
      </c>
      <c r="I186" s="1023" t="str">
        <f>IF(OR($C186="",$C186="-"),"",VLOOKUP($C186,'Fatores de Emissão'!$D$118:$J$121,4,FALSE))</f>
        <v/>
      </c>
      <c r="J186" s="1023" t="str">
        <f>IF(OR($C186="",$C186="-"),"",VLOOKUP($C186,'Fatores de Emissão'!$D$118:$J$121,6,FALSE))</f>
        <v/>
      </c>
      <c r="K186" s="1023" t="str">
        <f t="shared" si="16"/>
        <v/>
      </c>
      <c r="L186" s="1023" t="str">
        <f>IF(D186="","",$D186*I186*$E186/1000*'Fatores de Emissão'!$E$258)</f>
        <v/>
      </c>
      <c r="M186" s="1023" t="str">
        <f>IF(E186="","",$D186*J186*$E186/1000*'Fatores de Emissão'!$E$259)</f>
        <v/>
      </c>
      <c r="N186" s="851" t="str">
        <f t="shared" si="14"/>
        <v/>
      </c>
      <c r="O186" s="1080" t="str">
        <f t="shared" si="15"/>
        <v/>
      </c>
    </row>
    <row r="187" spans="2:15" s="240" customFormat="1" ht="21" hidden="1" customHeight="1" outlineLevel="2" x14ac:dyDescent="0.25">
      <c r="B187" s="278"/>
      <c r="C187" s="176"/>
      <c r="D187" s="243"/>
      <c r="E187" s="243"/>
      <c r="F187" s="1097"/>
      <c r="G187" s="1023" t="str">
        <f>IF(OR($C187="",$C187="-"),"",VLOOKUP($C187,'Fatores de Emissão'!$D$118:$J$121,3,FALSE))</f>
        <v/>
      </c>
      <c r="H187" s="1023" t="str">
        <f>IF(OR($C187="",$C187="-"),"",VLOOKUP($C187,'Fatores de Emissão'!$D$118:$J$121,2,FALSE))</f>
        <v/>
      </c>
      <c r="I187" s="1023" t="str">
        <f>IF(OR($C187="",$C187="-"),"",VLOOKUP($C187,'Fatores de Emissão'!$D$118:$J$121,4,FALSE))</f>
        <v/>
      </c>
      <c r="J187" s="1023" t="str">
        <f>IF(OR($C187="",$C187="-"),"",VLOOKUP($C187,'Fatores de Emissão'!$D$118:$J$121,6,FALSE))</f>
        <v/>
      </c>
      <c r="K187" s="1023" t="str">
        <f t="shared" si="16"/>
        <v/>
      </c>
      <c r="L187" s="1023" t="str">
        <f>IF(D187="","",$D187*I187*$E187/1000*'Fatores de Emissão'!$E$258)</f>
        <v/>
      </c>
      <c r="M187" s="1023" t="str">
        <f>IF(E187="","",$D187*J187*$E187/1000*'Fatores de Emissão'!$E$259)</f>
        <v/>
      </c>
      <c r="N187" s="851" t="str">
        <f t="shared" si="14"/>
        <v/>
      </c>
      <c r="O187" s="1080" t="str">
        <f t="shared" si="15"/>
        <v/>
      </c>
    </row>
    <row r="188" spans="2:15" s="240" customFormat="1" ht="21" hidden="1" customHeight="1" outlineLevel="2" x14ac:dyDescent="0.25">
      <c r="B188" s="278"/>
      <c r="C188" s="176"/>
      <c r="D188" s="243"/>
      <c r="E188" s="243"/>
      <c r="F188" s="1097"/>
      <c r="G188" s="1023" t="str">
        <f>IF(OR($C188="",$C188="-"),"",VLOOKUP($C188,'Fatores de Emissão'!$D$118:$J$121,3,FALSE))</f>
        <v/>
      </c>
      <c r="H188" s="1023" t="str">
        <f>IF(OR($C188="",$C188="-"),"",VLOOKUP($C188,'Fatores de Emissão'!$D$118:$J$121,2,FALSE))</f>
        <v/>
      </c>
      <c r="I188" s="1023" t="str">
        <f>IF(OR($C188="",$C188="-"),"",VLOOKUP($C188,'Fatores de Emissão'!$D$118:$J$121,4,FALSE))</f>
        <v/>
      </c>
      <c r="J188" s="1023" t="str">
        <f>IF(OR($C188="",$C188="-"),"",VLOOKUP($C188,'Fatores de Emissão'!$D$118:$J$121,6,FALSE))</f>
        <v/>
      </c>
      <c r="K188" s="1023" t="str">
        <f t="shared" si="16"/>
        <v/>
      </c>
      <c r="L188" s="1023" t="str">
        <f>IF(D188="","",$D188*I188*$E188/1000*'Fatores de Emissão'!$E$258)</f>
        <v/>
      </c>
      <c r="M188" s="1023" t="str">
        <f>IF(E188="","",$D188*J188*$E188/1000*'Fatores de Emissão'!$E$259)</f>
        <v/>
      </c>
      <c r="N188" s="851" t="str">
        <f t="shared" si="14"/>
        <v/>
      </c>
      <c r="O188" s="1080" t="str">
        <f t="shared" si="15"/>
        <v/>
      </c>
    </row>
    <row r="189" spans="2:15" s="240" customFormat="1" ht="21" hidden="1" customHeight="1" outlineLevel="2" x14ac:dyDescent="0.25">
      <c r="B189" s="278"/>
      <c r="C189" s="176"/>
      <c r="D189" s="243"/>
      <c r="E189" s="243"/>
      <c r="F189" s="1097"/>
      <c r="G189" s="1023" t="str">
        <f>IF(OR($C189="",$C189="-"),"",VLOOKUP($C189,'Fatores de Emissão'!$D$118:$J$121,3,FALSE))</f>
        <v/>
      </c>
      <c r="H189" s="1023" t="str">
        <f>IF(OR($C189="",$C189="-"),"",VLOOKUP($C189,'Fatores de Emissão'!$D$118:$J$121,2,FALSE))</f>
        <v/>
      </c>
      <c r="I189" s="1023" t="str">
        <f>IF(OR($C189="",$C189="-"),"",VLOOKUP($C189,'Fatores de Emissão'!$D$118:$J$121,4,FALSE))</f>
        <v/>
      </c>
      <c r="J189" s="1023" t="str">
        <f>IF(OR($C189="",$C189="-"),"",VLOOKUP($C189,'Fatores de Emissão'!$D$118:$J$121,6,FALSE))</f>
        <v/>
      </c>
      <c r="K189" s="1023" t="str">
        <f t="shared" si="16"/>
        <v/>
      </c>
      <c r="L189" s="1023" t="str">
        <f>IF(D189="","",$D189*I189*$E189/1000*'Fatores de Emissão'!$E$258)</f>
        <v/>
      </c>
      <c r="M189" s="1023" t="str">
        <f>IF(E189="","",$D189*J189*$E189/1000*'Fatores de Emissão'!$E$259)</f>
        <v/>
      </c>
      <c r="N189" s="851" t="str">
        <f t="shared" si="14"/>
        <v/>
      </c>
      <c r="O189" s="1080" t="str">
        <f t="shared" si="15"/>
        <v/>
      </c>
    </row>
    <row r="190" spans="2:15" s="240" customFormat="1" ht="21" hidden="1" customHeight="1" outlineLevel="2" x14ac:dyDescent="0.25">
      <c r="B190" s="278"/>
      <c r="C190" s="176"/>
      <c r="D190" s="243"/>
      <c r="E190" s="243"/>
      <c r="F190" s="1097"/>
      <c r="G190" s="1023" t="str">
        <f>IF(OR($C190="",$C190="-"),"",VLOOKUP($C190,'Fatores de Emissão'!$D$118:$J$121,3,FALSE))</f>
        <v/>
      </c>
      <c r="H190" s="1023" t="str">
        <f>IF(OR($C190="",$C190="-"),"",VLOOKUP($C190,'Fatores de Emissão'!$D$118:$J$121,2,FALSE))</f>
        <v/>
      </c>
      <c r="I190" s="1023" t="str">
        <f>IF(OR($C190="",$C190="-"),"",VLOOKUP($C190,'Fatores de Emissão'!$D$118:$J$121,4,FALSE))</f>
        <v/>
      </c>
      <c r="J190" s="1023" t="str">
        <f>IF(OR($C190="",$C190="-"),"",VLOOKUP($C190,'Fatores de Emissão'!$D$118:$J$121,6,FALSE))</f>
        <v/>
      </c>
      <c r="K190" s="1023" t="str">
        <f t="shared" si="16"/>
        <v/>
      </c>
      <c r="L190" s="1023" t="str">
        <f>IF(D190="","",$D190*I190*$E190/1000*'Fatores de Emissão'!$E$258)</f>
        <v/>
      </c>
      <c r="M190" s="1023" t="str">
        <f>IF(E190="","",$D190*J190*$E190/1000*'Fatores de Emissão'!$E$259)</f>
        <v/>
      </c>
      <c r="N190" s="851" t="str">
        <f t="shared" si="14"/>
        <v/>
      </c>
      <c r="O190" s="1080" t="str">
        <f t="shared" si="15"/>
        <v/>
      </c>
    </row>
    <row r="191" spans="2:15" s="240" customFormat="1" ht="21" hidden="1" customHeight="1" outlineLevel="2" x14ac:dyDescent="0.25">
      <c r="B191" s="278"/>
      <c r="C191" s="176"/>
      <c r="D191" s="243"/>
      <c r="E191" s="243"/>
      <c r="F191" s="1097"/>
      <c r="G191" s="1023" t="str">
        <f>IF(OR($C191="",$C191="-"),"",VLOOKUP($C191,'Fatores de Emissão'!$D$118:$J$121,3,FALSE))</f>
        <v/>
      </c>
      <c r="H191" s="1023" t="str">
        <f>IF(OR($C191="",$C191="-"),"",VLOOKUP($C191,'Fatores de Emissão'!$D$118:$J$121,2,FALSE))</f>
        <v/>
      </c>
      <c r="I191" s="1023" t="str">
        <f>IF(OR($C191="",$C191="-"),"",VLOOKUP($C191,'Fatores de Emissão'!$D$118:$J$121,4,FALSE))</f>
        <v/>
      </c>
      <c r="J191" s="1023" t="str">
        <f>IF(OR($C191="",$C191="-"),"",VLOOKUP($C191,'Fatores de Emissão'!$D$118:$J$121,6,FALSE))</f>
        <v/>
      </c>
      <c r="K191" s="1023" t="str">
        <f t="shared" si="16"/>
        <v/>
      </c>
      <c r="L191" s="1023" t="str">
        <f>IF(D191="","",$D191*I191*$E191/1000*'Fatores de Emissão'!$E$258)</f>
        <v/>
      </c>
      <c r="M191" s="1023" t="str">
        <f>IF(E191="","",$D191*J191*$E191/1000*'Fatores de Emissão'!$E$259)</f>
        <v/>
      </c>
      <c r="N191" s="851" t="str">
        <f t="shared" si="14"/>
        <v/>
      </c>
      <c r="O191" s="1080" t="str">
        <f t="shared" si="15"/>
        <v/>
      </c>
    </row>
    <row r="192" spans="2:15" s="240" customFormat="1" ht="21" hidden="1" customHeight="1" outlineLevel="2" x14ac:dyDescent="0.25">
      <c r="B192" s="278"/>
      <c r="C192" s="176"/>
      <c r="D192" s="243"/>
      <c r="E192" s="243"/>
      <c r="F192" s="1097"/>
      <c r="G192" s="1023" t="str">
        <f>IF(OR($C192="",$C192="-"),"",VLOOKUP($C192,'Fatores de Emissão'!$D$118:$J$121,3,FALSE))</f>
        <v/>
      </c>
      <c r="H192" s="1023" t="str">
        <f>IF(OR($C192="",$C192="-"),"",VLOOKUP($C192,'Fatores de Emissão'!$D$118:$J$121,2,FALSE))</f>
        <v/>
      </c>
      <c r="I192" s="1023" t="str">
        <f>IF(OR($C192="",$C192="-"),"",VLOOKUP($C192,'Fatores de Emissão'!$D$118:$J$121,4,FALSE))</f>
        <v/>
      </c>
      <c r="J192" s="1023" t="str">
        <f>IF(OR($C192="",$C192="-"),"",VLOOKUP($C192,'Fatores de Emissão'!$D$118:$J$121,6,FALSE))</f>
        <v/>
      </c>
      <c r="K192" s="1023" t="str">
        <f t="shared" si="16"/>
        <v/>
      </c>
      <c r="L192" s="1023" t="str">
        <f>IF(D192="","",$D192*I192*$E192/1000*'Fatores de Emissão'!$E$258)</f>
        <v/>
      </c>
      <c r="M192" s="1023" t="str">
        <f>IF(E192="","",$D192*J192*$E192/1000*'Fatores de Emissão'!$E$259)</f>
        <v/>
      </c>
      <c r="N192" s="851" t="str">
        <f t="shared" si="14"/>
        <v/>
      </c>
      <c r="O192" s="1080" t="str">
        <f t="shared" si="15"/>
        <v/>
      </c>
    </row>
    <row r="193" spans="2:15" s="240" customFormat="1" ht="21" hidden="1" customHeight="1" outlineLevel="2" x14ac:dyDescent="0.25">
      <c r="B193" s="278"/>
      <c r="C193" s="176"/>
      <c r="D193" s="243"/>
      <c r="E193" s="243"/>
      <c r="F193" s="1097"/>
      <c r="G193" s="1023" t="str">
        <f>IF(OR($C193="",$C193="-"),"",VLOOKUP($C193,'Fatores de Emissão'!$D$118:$J$121,3,FALSE))</f>
        <v/>
      </c>
      <c r="H193" s="1023" t="str">
        <f>IF(OR($C193="",$C193="-"),"",VLOOKUP($C193,'Fatores de Emissão'!$D$118:$J$121,2,FALSE))</f>
        <v/>
      </c>
      <c r="I193" s="1023" t="str">
        <f>IF(OR($C193="",$C193="-"),"",VLOOKUP($C193,'Fatores de Emissão'!$D$118:$J$121,4,FALSE))</f>
        <v/>
      </c>
      <c r="J193" s="1023" t="str">
        <f>IF(OR($C193="",$C193="-"),"",VLOOKUP($C193,'Fatores de Emissão'!$D$118:$J$121,6,FALSE))</f>
        <v/>
      </c>
      <c r="K193" s="1023" t="str">
        <f t="shared" si="16"/>
        <v/>
      </c>
      <c r="L193" s="1023" t="str">
        <f>IF(D193="","",$D193*I193*$E193/1000*'Fatores de Emissão'!$E$258)</f>
        <v/>
      </c>
      <c r="M193" s="1023" t="str">
        <f>IF(E193="","",$D193*J193*$E193/1000*'Fatores de Emissão'!$E$259)</f>
        <v/>
      </c>
      <c r="N193" s="851" t="str">
        <f t="shared" si="14"/>
        <v/>
      </c>
      <c r="O193" s="1080" t="str">
        <f t="shared" si="15"/>
        <v/>
      </c>
    </row>
    <row r="194" spans="2:15" s="240" customFormat="1" ht="21" hidden="1" customHeight="1" outlineLevel="2" x14ac:dyDescent="0.25">
      <c r="B194" s="278"/>
      <c r="C194" s="176"/>
      <c r="D194" s="243"/>
      <c r="E194" s="243"/>
      <c r="F194" s="1097"/>
      <c r="G194" s="1023" t="str">
        <f>IF(OR($C194="",$C194="-"),"",VLOOKUP($C194,'Fatores de Emissão'!$D$118:$J$121,3,FALSE))</f>
        <v/>
      </c>
      <c r="H194" s="1023" t="str">
        <f>IF(OR($C194="",$C194="-"),"",VLOOKUP($C194,'Fatores de Emissão'!$D$118:$J$121,2,FALSE))</f>
        <v/>
      </c>
      <c r="I194" s="1023" t="str">
        <f>IF(OR($C194="",$C194="-"),"",VLOOKUP($C194,'Fatores de Emissão'!$D$118:$J$121,4,FALSE))</f>
        <v/>
      </c>
      <c r="J194" s="1023" t="str">
        <f>IF(OR($C194="",$C194="-"),"",VLOOKUP($C194,'Fatores de Emissão'!$D$118:$J$121,6,FALSE))</f>
        <v/>
      </c>
      <c r="K194" s="1023" t="str">
        <f t="shared" si="16"/>
        <v/>
      </c>
      <c r="L194" s="1023" t="str">
        <f>IF(D194="","",$D194*I194*$E194/1000*'Fatores de Emissão'!$E$258)</f>
        <v/>
      </c>
      <c r="M194" s="1023" t="str">
        <f>IF(E194="","",$D194*J194*$E194/1000*'Fatores de Emissão'!$E$259)</f>
        <v/>
      </c>
      <c r="N194" s="851" t="str">
        <f t="shared" si="14"/>
        <v/>
      </c>
      <c r="O194" s="1080" t="str">
        <f t="shared" si="15"/>
        <v/>
      </c>
    </row>
    <row r="195" spans="2:15" s="240" customFormat="1" ht="21" hidden="1" customHeight="1" outlineLevel="2" x14ac:dyDescent="0.25">
      <c r="B195" s="278"/>
      <c r="C195" s="176"/>
      <c r="D195" s="243"/>
      <c r="E195" s="243"/>
      <c r="F195" s="1097"/>
      <c r="G195" s="1023" t="str">
        <f>IF(OR($C195="",$C195="-"),"",VLOOKUP($C195,'Fatores de Emissão'!$D$118:$J$121,3,FALSE))</f>
        <v/>
      </c>
      <c r="H195" s="1023" t="str">
        <f>IF(OR($C195="",$C195="-"),"",VLOOKUP($C195,'Fatores de Emissão'!$D$118:$J$121,2,FALSE))</f>
        <v/>
      </c>
      <c r="I195" s="1023" t="str">
        <f>IF(OR($C195="",$C195="-"),"",VLOOKUP($C195,'Fatores de Emissão'!$D$118:$J$121,4,FALSE))</f>
        <v/>
      </c>
      <c r="J195" s="1023" t="str">
        <f>IF(OR($C195="",$C195="-"),"",VLOOKUP($C195,'Fatores de Emissão'!$D$118:$J$121,6,FALSE))</f>
        <v/>
      </c>
      <c r="K195" s="1023" t="str">
        <f t="shared" si="16"/>
        <v/>
      </c>
      <c r="L195" s="1023" t="str">
        <f>IF(D195="","",$D195*I195*$E195/1000*'Fatores de Emissão'!$E$258)</f>
        <v/>
      </c>
      <c r="M195" s="1023" t="str">
        <f>IF(E195="","",$D195*J195*$E195/1000*'Fatores de Emissão'!$E$259)</f>
        <v/>
      </c>
      <c r="N195" s="851" t="str">
        <f t="shared" si="14"/>
        <v/>
      </c>
      <c r="O195" s="1080" t="str">
        <f t="shared" si="15"/>
        <v/>
      </c>
    </row>
    <row r="196" spans="2:15" s="240" customFormat="1" ht="21" hidden="1" customHeight="1" outlineLevel="2" x14ac:dyDescent="0.25">
      <c r="B196" s="278"/>
      <c r="C196" s="176"/>
      <c r="D196" s="243"/>
      <c r="E196" s="243"/>
      <c r="F196" s="1097"/>
      <c r="G196" s="1023" t="str">
        <f>IF(OR($C196="",$C196="-"),"",VLOOKUP($C196,'Fatores de Emissão'!$D$118:$J$121,3,FALSE))</f>
        <v/>
      </c>
      <c r="H196" s="1023" t="str">
        <f>IF(OR($C196="",$C196="-"),"",VLOOKUP($C196,'Fatores de Emissão'!$D$118:$J$121,2,FALSE))</f>
        <v/>
      </c>
      <c r="I196" s="1023" t="str">
        <f>IF(OR($C196="",$C196="-"),"",VLOOKUP($C196,'Fatores de Emissão'!$D$118:$J$121,4,FALSE))</f>
        <v/>
      </c>
      <c r="J196" s="1023" t="str">
        <f>IF(OR($C196="",$C196="-"),"",VLOOKUP($C196,'Fatores de Emissão'!$D$118:$J$121,6,FALSE))</f>
        <v/>
      </c>
      <c r="K196" s="1023" t="str">
        <f t="shared" si="16"/>
        <v/>
      </c>
      <c r="L196" s="1023" t="str">
        <f>IF(D196="","",$D196*I196*$E196/1000*'Fatores de Emissão'!$E$258)</f>
        <v/>
      </c>
      <c r="M196" s="1023" t="str">
        <f>IF(E196="","",$D196*J196*$E196/1000*'Fatores de Emissão'!$E$259)</f>
        <v/>
      </c>
      <c r="N196" s="851" t="str">
        <f t="shared" si="14"/>
        <v/>
      </c>
      <c r="O196" s="1080" t="str">
        <f t="shared" si="15"/>
        <v/>
      </c>
    </row>
    <row r="197" spans="2:15" s="240" customFormat="1" ht="21" hidden="1" customHeight="1" outlineLevel="2" x14ac:dyDescent="0.25">
      <c r="B197" s="278"/>
      <c r="C197" s="176"/>
      <c r="D197" s="243"/>
      <c r="E197" s="243"/>
      <c r="F197" s="1097"/>
      <c r="G197" s="1023" t="str">
        <f>IF(OR($C197="",$C197="-"),"",VLOOKUP($C197,'Fatores de Emissão'!$D$118:$J$121,3,FALSE))</f>
        <v/>
      </c>
      <c r="H197" s="1023" t="str">
        <f>IF(OR($C197="",$C197="-"),"",VLOOKUP($C197,'Fatores de Emissão'!$D$118:$J$121,2,FALSE))</f>
        <v/>
      </c>
      <c r="I197" s="1023" t="str">
        <f>IF(OR($C197="",$C197="-"),"",VLOOKUP($C197,'Fatores de Emissão'!$D$118:$J$121,4,FALSE))</f>
        <v/>
      </c>
      <c r="J197" s="1023" t="str">
        <f>IF(OR($C197="",$C197="-"),"",VLOOKUP($C197,'Fatores de Emissão'!$D$118:$J$121,6,FALSE))</f>
        <v/>
      </c>
      <c r="K197" s="1023" t="str">
        <f t="shared" si="16"/>
        <v/>
      </c>
      <c r="L197" s="1023" t="str">
        <f>IF(D197="","",$D197*I197*$E197/1000*'Fatores de Emissão'!$E$258)</f>
        <v/>
      </c>
      <c r="M197" s="1023" t="str">
        <f>IF(E197="","",$D197*J197*$E197/1000*'Fatores de Emissão'!$E$259)</f>
        <v/>
      </c>
      <c r="N197" s="851" t="str">
        <f t="shared" si="14"/>
        <v/>
      </c>
      <c r="O197" s="1080" t="str">
        <f t="shared" si="15"/>
        <v/>
      </c>
    </row>
    <row r="198" spans="2:15" s="240" customFormat="1" ht="21" hidden="1" customHeight="1" outlineLevel="2" x14ac:dyDescent="0.25">
      <c r="B198" s="278"/>
      <c r="C198" s="176"/>
      <c r="D198" s="243"/>
      <c r="E198" s="243"/>
      <c r="F198" s="1097"/>
      <c r="G198" s="1023" t="str">
        <f>IF(OR($C198="",$C198="-"),"",VLOOKUP($C198,'Fatores de Emissão'!$D$118:$J$121,3,FALSE))</f>
        <v/>
      </c>
      <c r="H198" s="1023" t="str">
        <f>IF(OR($C198="",$C198="-"),"",VLOOKUP($C198,'Fatores de Emissão'!$D$118:$J$121,2,FALSE))</f>
        <v/>
      </c>
      <c r="I198" s="1023" t="str">
        <f>IF(OR($C198="",$C198="-"),"",VLOOKUP($C198,'Fatores de Emissão'!$D$118:$J$121,4,FALSE))</f>
        <v/>
      </c>
      <c r="J198" s="1023" t="str">
        <f>IF(OR($C198="",$C198="-"),"",VLOOKUP($C198,'Fatores de Emissão'!$D$118:$J$121,6,FALSE))</f>
        <v/>
      </c>
      <c r="K198" s="1023" t="str">
        <f t="shared" si="16"/>
        <v/>
      </c>
      <c r="L198" s="1023" t="str">
        <f>IF(D198="","",$D198*I198*$E198/1000*'Fatores de Emissão'!$E$258)</f>
        <v/>
      </c>
      <c r="M198" s="1023" t="str">
        <f>IF(E198="","",$D198*J198*$E198/1000*'Fatores de Emissão'!$E$259)</f>
        <v/>
      </c>
      <c r="N198" s="851" t="str">
        <f t="shared" si="14"/>
        <v/>
      </c>
      <c r="O198" s="1080" t="str">
        <f t="shared" si="15"/>
        <v/>
      </c>
    </row>
    <row r="199" spans="2:15" s="240" customFormat="1" ht="21" hidden="1" customHeight="1" outlineLevel="2" x14ac:dyDescent="0.25">
      <c r="B199" s="278"/>
      <c r="C199" s="176"/>
      <c r="D199" s="243"/>
      <c r="E199" s="243"/>
      <c r="F199" s="1097"/>
      <c r="G199" s="1023" t="str">
        <f>IF(OR($C199="",$C199="-"),"",VLOOKUP($C199,'Fatores de Emissão'!$D$118:$J$121,3,FALSE))</f>
        <v/>
      </c>
      <c r="H199" s="1023" t="str">
        <f>IF(OR($C199="",$C199="-"),"",VLOOKUP($C199,'Fatores de Emissão'!$D$118:$J$121,2,FALSE))</f>
        <v/>
      </c>
      <c r="I199" s="1023" t="str">
        <f>IF(OR($C199="",$C199="-"),"",VLOOKUP($C199,'Fatores de Emissão'!$D$118:$J$121,4,FALSE))</f>
        <v/>
      </c>
      <c r="J199" s="1023" t="str">
        <f>IF(OR($C199="",$C199="-"),"",VLOOKUP($C199,'Fatores de Emissão'!$D$118:$J$121,6,FALSE))</f>
        <v/>
      </c>
      <c r="K199" s="1023" t="str">
        <f t="shared" si="16"/>
        <v/>
      </c>
      <c r="L199" s="1023" t="str">
        <f>IF(D199="","",$D199*I199*$E199/1000*'Fatores de Emissão'!$E$258)</f>
        <v/>
      </c>
      <c r="M199" s="1023" t="str">
        <f>IF(E199="","",$D199*J199*$E199/1000*'Fatores de Emissão'!$E$259)</f>
        <v/>
      </c>
      <c r="N199" s="851" t="str">
        <f t="shared" si="14"/>
        <v/>
      </c>
      <c r="O199" s="1080" t="str">
        <f t="shared" si="15"/>
        <v/>
      </c>
    </row>
    <row r="200" spans="2:15" s="240" customFormat="1" ht="21" hidden="1" customHeight="1" outlineLevel="2" x14ac:dyDescent="0.25">
      <c r="B200" s="278"/>
      <c r="C200" s="176"/>
      <c r="D200" s="243"/>
      <c r="E200" s="243"/>
      <c r="F200" s="1097"/>
      <c r="G200" s="1023" t="str">
        <f>IF(OR($C200="",$C200="-"),"",VLOOKUP($C200,'Fatores de Emissão'!$D$118:$J$121,3,FALSE))</f>
        <v/>
      </c>
      <c r="H200" s="1023" t="str">
        <f>IF(OR($C200="",$C200="-"),"",VLOOKUP($C200,'Fatores de Emissão'!$D$118:$J$121,2,FALSE))</f>
        <v/>
      </c>
      <c r="I200" s="1023" t="str">
        <f>IF(OR($C200="",$C200="-"),"",VLOOKUP($C200,'Fatores de Emissão'!$D$118:$J$121,4,FALSE))</f>
        <v/>
      </c>
      <c r="J200" s="1023" t="str">
        <f>IF(OR($C200="",$C200="-"),"",VLOOKUP($C200,'Fatores de Emissão'!$D$118:$J$121,6,FALSE))</f>
        <v/>
      </c>
      <c r="K200" s="1023" t="str">
        <f t="shared" si="16"/>
        <v/>
      </c>
      <c r="L200" s="1023" t="str">
        <f>IF(D200="","",$D200*I200*$E200/1000*'Fatores de Emissão'!$E$258)</f>
        <v/>
      </c>
      <c r="M200" s="1023" t="str">
        <f>IF(E200="","",$D200*J200*$E200/1000*'Fatores de Emissão'!$E$259)</f>
        <v/>
      </c>
      <c r="N200" s="851" t="str">
        <f t="shared" si="14"/>
        <v/>
      </c>
      <c r="O200" s="1080" t="str">
        <f t="shared" si="15"/>
        <v/>
      </c>
    </row>
    <row r="201" spans="2:15" s="240" customFormat="1" ht="21" hidden="1" customHeight="1" outlineLevel="2" x14ac:dyDescent="0.25">
      <c r="B201" s="278"/>
      <c r="C201" s="176"/>
      <c r="D201" s="243"/>
      <c r="E201" s="243"/>
      <c r="F201" s="1097"/>
      <c r="G201" s="1023" t="str">
        <f>IF(OR($C201="",$C201="-"),"",VLOOKUP($C201,'Fatores de Emissão'!$D$118:$J$121,3,FALSE))</f>
        <v/>
      </c>
      <c r="H201" s="1023" t="str">
        <f>IF(OR($C201="",$C201="-"),"",VLOOKUP($C201,'Fatores de Emissão'!$D$118:$J$121,2,FALSE))</f>
        <v/>
      </c>
      <c r="I201" s="1023" t="str">
        <f>IF(OR($C201="",$C201="-"),"",VLOOKUP($C201,'Fatores de Emissão'!$D$118:$J$121,4,FALSE))</f>
        <v/>
      </c>
      <c r="J201" s="1023" t="str">
        <f>IF(OR($C201="",$C201="-"),"",VLOOKUP($C201,'Fatores de Emissão'!$D$118:$J$121,6,FALSE))</f>
        <v/>
      </c>
      <c r="K201" s="1023" t="str">
        <f t="shared" si="16"/>
        <v/>
      </c>
      <c r="L201" s="1023" t="str">
        <f>IF(D201="","",$D201*I201*$E201/1000*'Fatores de Emissão'!$E$258)</f>
        <v/>
      </c>
      <c r="M201" s="1023" t="str">
        <f>IF(E201="","",$D201*J201*$E201/1000*'Fatores de Emissão'!$E$259)</f>
        <v/>
      </c>
      <c r="N201" s="851" t="str">
        <f t="shared" si="14"/>
        <v/>
      </c>
      <c r="O201" s="1080" t="str">
        <f t="shared" si="15"/>
        <v/>
      </c>
    </row>
    <row r="202" spans="2:15" s="240" customFormat="1" ht="21" hidden="1" customHeight="1" outlineLevel="2" x14ac:dyDescent="0.25">
      <c r="B202" s="278"/>
      <c r="C202" s="176"/>
      <c r="D202" s="243"/>
      <c r="E202" s="243"/>
      <c r="F202" s="1097"/>
      <c r="G202" s="1023" t="str">
        <f>IF(OR($C202="",$C202="-"),"",VLOOKUP($C202,'Fatores de Emissão'!$D$118:$J$121,3,FALSE))</f>
        <v/>
      </c>
      <c r="H202" s="1023" t="str">
        <f>IF(OR($C202="",$C202="-"),"",VLOOKUP($C202,'Fatores de Emissão'!$D$118:$J$121,2,FALSE))</f>
        <v/>
      </c>
      <c r="I202" s="1023" t="str">
        <f>IF(OR($C202="",$C202="-"),"",VLOOKUP($C202,'Fatores de Emissão'!$D$118:$J$121,4,FALSE))</f>
        <v/>
      </c>
      <c r="J202" s="1023" t="str">
        <f>IF(OR($C202="",$C202="-"),"",VLOOKUP($C202,'Fatores de Emissão'!$D$118:$J$121,6,FALSE))</f>
        <v/>
      </c>
      <c r="K202" s="1023" t="str">
        <f t="shared" si="16"/>
        <v/>
      </c>
      <c r="L202" s="1023" t="str">
        <f>IF(D202="","",$D202*I202*$E202/1000*'Fatores de Emissão'!$E$258)</f>
        <v/>
      </c>
      <c r="M202" s="1023" t="str">
        <f>IF(E202="","",$D202*J202*$E202/1000*'Fatores de Emissão'!$E$259)</f>
        <v/>
      </c>
      <c r="N202" s="851" t="str">
        <f t="shared" si="14"/>
        <v/>
      </c>
      <c r="O202" s="1080" t="str">
        <f t="shared" si="15"/>
        <v/>
      </c>
    </row>
    <row r="203" spans="2:15" s="240" customFormat="1" ht="21" hidden="1" customHeight="1" outlineLevel="2" x14ac:dyDescent="0.25">
      <c r="B203" s="278"/>
      <c r="C203" s="176"/>
      <c r="D203" s="243"/>
      <c r="E203" s="243"/>
      <c r="F203" s="1097"/>
      <c r="G203" s="1023" t="str">
        <f>IF(OR($C203="",$C203="-"),"",VLOOKUP($C203,'Fatores de Emissão'!$D$118:$J$121,3,FALSE))</f>
        <v/>
      </c>
      <c r="H203" s="1023" t="str">
        <f>IF(OR($C203="",$C203="-"),"",VLOOKUP($C203,'Fatores de Emissão'!$D$118:$J$121,2,FALSE))</f>
        <v/>
      </c>
      <c r="I203" s="1023" t="str">
        <f>IF(OR($C203="",$C203="-"),"",VLOOKUP($C203,'Fatores de Emissão'!$D$118:$J$121,4,FALSE))</f>
        <v/>
      </c>
      <c r="J203" s="1023" t="str">
        <f>IF(OR($C203="",$C203="-"),"",VLOOKUP($C203,'Fatores de Emissão'!$D$118:$J$121,6,FALSE))</f>
        <v/>
      </c>
      <c r="K203" s="1023" t="str">
        <f t="shared" si="16"/>
        <v/>
      </c>
      <c r="L203" s="1023" t="str">
        <f>IF(D203="","",$D203*I203*$E203/1000*'Fatores de Emissão'!$E$258)</f>
        <v/>
      </c>
      <c r="M203" s="1023" t="str">
        <f>IF(E203="","",$D203*J203*$E203/1000*'Fatores de Emissão'!$E$259)</f>
        <v/>
      </c>
      <c r="N203" s="851" t="str">
        <f t="shared" si="14"/>
        <v/>
      </c>
      <c r="O203" s="1080" t="str">
        <f t="shared" si="15"/>
        <v/>
      </c>
    </row>
    <row r="204" spans="2:15" s="240" customFormat="1" ht="21" hidden="1" customHeight="1" outlineLevel="2" x14ac:dyDescent="0.25">
      <c r="B204" s="278"/>
      <c r="C204" s="176"/>
      <c r="D204" s="243"/>
      <c r="E204" s="243"/>
      <c r="F204" s="1097"/>
      <c r="G204" s="1023" t="str">
        <f>IF(OR($C204="",$C204="-"),"",VLOOKUP($C204,'Fatores de Emissão'!$D$118:$J$121,3,FALSE))</f>
        <v/>
      </c>
      <c r="H204" s="1023" t="str">
        <f>IF(OR($C204="",$C204="-"),"",VLOOKUP($C204,'Fatores de Emissão'!$D$118:$J$121,2,FALSE))</f>
        <v/>
      </c>
      <c r="I204" s="1023" t="str">
        <f>IF(OR($C204="",$C204="-"),"",VLOOKUP($C204,'Fatores de Emissão'!$D$118:$J$121,4,FALSE))</f>
        <v/>
      </c>
      <c r="J204" s="1023" t="str">
        <f>IF(OR($C204="",$C204="-"),"",VLOOKUP($C204,'Fatores de Emissão'!$D$118:$J$121,6,FALSE))</f>
        <v/>
      </c>
      <c r="K204" s="1023" t="str">
        <f t="shared" si="16"/>
        <v/>
      </c>
      <c r="L204" s="1023" t="str">
        <f>IF(D204="","",$D204*I204*$E204/1000*'Fatores de Emissão'!$E$258)</f>
        <v/>
      </c>
      <c r="M204" s="1023" t="str">
        <f>IF(E204="","",$D204*J204*$E204/1000*'Fatores de Emissão'!$E$259)</f>
        <v/>
      </c>
      <c r="N204" s="851" t="str">
        <f t="shared" si="14"/>
        <v/>
      </c>
      <c r="O204" s="1080" t="str">
        <f t="shared" si="15"/>
        <v/>
      </c>
    </row>
    <row r="205" spans="2:15" s="240" customFormat="1" ht="21" hidden="1" customHeight="1" outlineLevel="2" x14ac:dyDescent="0.25">
      <c r="B205" s="278"/>
      <c r="C205" s="176"/>
      <c r="D205" s="243"/>
      <c r="E205" s="243"/>
      <c r="F205" s="1097"/>
      <c r="G205" s="1023" t="str">
        <f>IF(OR($C205="",$C205="-"),"",VLOOKUP($C205,'Fatores de Emissão'!$D$118:$J$121,3,FALSE))</f>
        <v/>
      </c>
      <c r="H205" s="1023" t="str">
        <f>IF(OR($C205="",$C205="-"),"",VLOOKUP($C205,'Fatores de Emissão'!$D$118:$J$121,2,FALSE))</f>
        <v/>
      </c>
      <c r="I205" s="1023" t="str">
        <f>IF(OR($C205="",$C205="-"),"",VLOOKUP($C205,'Fatores de Emissão'!$D$118:$J$121,4,FALSE))</f>
        <v/>
      </c>
      <c r="J205" s="1023" t="str">
        <f>IF(OR($C205="",$C205="-"),"",VLOOKUP($C205,'Fatores de Emissão'!$D$118:$J$121,6,FALSE))</f>
        <v/>
      </c>
      <c r="K205" s="1023" t="str">
        <f t="shared" si="16"/>
        <v/>
      </c>
      <c r="L205" s="1023" t="str">
        <f>IF(D205="","",$D205*I205*$E205/1000*'Fatores de Emissão'!$E$258)</f>
        <v/>
      </c>
      <c r="M205" s="1023" t="str">
        <f>IF(E205="","",$D205*J205*$E205/1000*'Fatores de Emissão'!$E$259)</f>
        <v/>
      </c>
      <c r="N205" s="851" t="str">
        <f t="shared" si="14"/>
        <v/>
      </c>
      <c r="O205" s="1080" t="str">
        <f t="shared" si="15"/>
        <v/>
      </c>
    </row>
    <row r="206" spans="2:15" s="240" customFormat="1" ht="21" hidden="1" customHeight="1" outlineLevel="2" x14ac:dyDescent="0.25">
      <c r="B206" s="278"/>
      <c r="C206" s="176"/>
      <c r="D206" s="243"/>
      <c r="E206" s="243"/>
      <c r="F206" s="1097"/>
      <c r="G206" s="1023" t="str">
        <f>IF(OR($C206="",$C206="-"),"",VLOOKUP($C206,'Fatores de Emissão'!$D$118:$J$121,3,FALSE))</f>
        <v/>
      </c>
      <c r="H206" s="1023" t="str">
        <f>IF(OR($C206="",$C206="-"),"",VLOOKUP($C206,'Fatores de Emissão'!$D$118:$J$121,2,FALSE))</f>
        <v/>
      </c>
      <c r="I206" s="1023" t="str">
        <f>IF(OR($C206="",$C206="-"),"",VLOOKUP($C206,'Fatores de Emissão'!$D$118:$J$121,4,FALSE))</f>
        <v/>
      </c>
      <c r="J206" s="1023" t="str">
        <f>IF(OR($C206="",$C206="-"),"",VLOOKUP($C206,'Fatores de Emissão'!$D$118:$J$121,6,FALSE))</f>
        <v/>
      </c>
      <c r="K206" s="1023" t="str">
        <f t="shared" si="16"/>
        <v/>
      </c>
      <c r="L206" s="1023" t="str">
        <f>IF(D206="","",$D206*I206*$E206/1000*'Fatores de Emissão'!$E$258)</f>
        <v/>
      </c>
      <c r="M206" s="1023" t="str">
        <f>IF(E206="","",$D206*J206*$E206/1000*'Fatores de Emissão'!$E$259)</f>
        <v/>
      </c>
      <c r="N206" s="851" t="str">
        <f t="shared" si="14"/>
        <v/>
      </c>
      <c r="O206" s="1080" t="str">
        <f t="shared" si="15"/>
        <v/>
      </c>
    </row>
    <row r="207" spans="2:15" s="240" customFormat="1" ht="21" hidden="1" customHeight="1" outlineLevel="2" x14ac:dyDescent="0.25">
      <c r="B207" s="278"/>
      <c r="C207" s="176"/>
      <c r="D207" s="243"/>
      <c r="E207" s="243"/>
      <c r="F207" s="1097"/>
      <c r="G207" s="1023" t="str">
        <f>IF(OR($C207="",$C207="-"),"",VLOOKUP($C207,'Fatores de Emissão'!$D$118:$J$121,3,FALSE))</f>
        <v/>
      </c>
      <c r="H207" s="1023" t="str">
        <f>IF(OR($C207="",$C207="-"),"",VLOOKUP($C207,'Fatores de Emissão'!$D$118:$J$121,2,FALSE))</f>
        <v/>
      </c>
      <c r="I207" s="1023" t="str">
        <f>IF(OR($C207="",$C207="-"),"",VLOOKUP($C207,'Fatores de Emissão'!$D$118:$J$121,4,FALSE))</f>
        <v/>
      </c>
      <c r="J207" s="1023" t="str">
        <f>IF(OR($C207="",$C207="-"),"",VLOOKUP($C207,'Fatores de Emissão'!$D$118:$J$121,6,FALSE))</f>
        <v/>
      </c>
      <c r="K207" s="1023" t="str">
        <f t="shared" si="16"/>
        <v/>
      </c>
      <c r="L207" s="1023" t="str">
        <f>IF(D207="","",$D207*I207*$E207/1000*'Fatores de Emissão'!$E$258)</f>
        <v/>
      </c>
      <c r="M207" s="1023" t="str">
        <f>IF(E207="","",$D207*J207*$E207/1000*'Fatores de Emissão'!$E$259)</f>
        <v/>
      </c>
      <c r="N207" s="851" t="str">
        <f t="shared" si="14"/>
        <v/>
      </c>
      <c r="O207" s="1080" t="str">
        <f t="shared" si="15"/>
        <v/>
      </c>
    </row>
    <row r="208" spans="2:15" s="240" customFormat="1" ht="21" hidden="1" customHeight="1" outlineLevel="2" x14ac:dyDescent="0.25">
      <c r="B208" s="278"/>
      <c r="C208" s="176"/>
      <c r="D208" s="243"/>
      <c r="E208" s="243"/>
      <c r="F208" s="1097"/>
      <c r="G208" s="1023" t="str">
        <f>IF(OR($C208="",$C208="-"),"",VLOOKUP($C208,'Fatores de Emissão'!$D$118:$J$121,3,FALSE))</f>
        <v/>
      </c>
      <c r="H208" s="1023" t="str">
        <f>IF(OR($C208="",$C208="-"),"",VLOOKUP($C208,'Fatores de Emissão'!$D$118:$J$121,2,FALSE))</f>
        <v/>
      </c>
      <c r="I208" s="1023" t="str">
        <f>IF(OR($C208="",$C208="-"),"",VLOOKUP($C208,'Fatores de Emissão'!$D$118:$J$121,4,FALSE))</f>
        <v/>
      </c>
      <c r="J208" s="1023" t="str">
        <f>IF(OR($C208="",$C208="-"),"",VLOOKUP($C208,'Fatores de Emissão'!$D$118:$J$121,6,FALSE))</f>
        <v/>
      </c>
      <c r="K208" s="1023" t="str">
        <f t="shared" si="16"/>
        <v/>
      </c>
      <c r="L208" s="1023" t="str">
        <f>IF(D208="","",$D208*I208*$E208/1000*'Fatores de Emissão'!$E$258)</f>
        <v/>
      </c>
      <c r="M208" s="1023" t="str">
        <f>IF(E208="","",$D208*J208*$E208/1000*'Fatores de Emissão'!$E$259)</f>
        <v/>
      </c>
      <c r="N208" s="851" t="str">
        <f t="shared" si="14"/>
        <v/>
      </c>
      <c r="O208" s="1080" t="str">
        <f t="shared" si="15"/>
        <v/>
      </c>
    </row>
    <row r="209" spans="2:15" s="240" customFormat="1" ht="21" hidden="1" customHeight="1" outlineLevel="2" x14ac:dyDescent="0.25">
      <c r="B209" s="278"/>
      <c r="C209" s="176"/>
      <c r="D209" s="243"/>
      <c r="E209" s="243"/>
      <c r="F209" s="1097"/>
      <c r="G209" s="1023" t="str">
        <f>IF(OR($C209="",$C209="-"),"",VLOOKUP($C209,'Fatores de Emissão'!$D$118:$J$121,3,FALSE))</f>
        <v/>
      </c>
      <c r="H209" s="1023" t="str">
        <f>IF(OR($C209="",$C209="-"),"",VLOOKUP($C209,'Fatores de Emissão'!$D$118:$J$121,2,FALSE))</f>
        <v/>
      </c>
      <c r="I209" s="1023" t="str">
        <f>IF(OR($C209="",$C209="-"),"",VLOOKUP($C209,'Fatores de Emissão'!$D$118:$J$121,4,FALSE))</f>
        <v/>
      </c>
      <c r="J209" s="1023" t="str">
        <f>IF(OR($C209="",$C209="-"),"",VLOOKUP($C209,'Fatores de Emissão'!$D$118:$J$121,6,FALSE))</f>
        <v/>
      </c>
      <c r="K209" s="1023" t="str">
        <f t="shared" si="16"/>
        <v/>
      </c>
      <c r="L209" s="1023" t="str">
        <f>IF(D209="","",$D209*I209*$E209/1000*'Fatores de Emissão'!$E$258)</f>
        <v/>
      </c>
      <c r="M209" s="1023" t="str">
        <f>IF(E209="","",$D209*J209*$E209/1000*'Fatores de Emissão'!$E$259)</f>
        <v/>
      </c>
      <c r="N209" s="851" t="str">
        <f t="shared" si="14"/>
        <v/>
      </c>
      <c r="O209" s="1080" t="str">
        <f t="shared" si="15"/>
        <v/>
      </c>
    </row>
    <row r="210" spans="2:15" s="240" customFormat="1" ht="21" hidden="1" customHeight="1" outlineLevel="2" x14ac:dyDescent="0.25">
      <c r="B210" s="278"/>
      <c r="C210" s="176"/>
      <c r="D210" s="243"/>
      <c r="E210" s="243"/>
      <c r="F210" s="1097"/>
      <c r="G210" s="1023" t="str">
        <f>IF(OR($C210="",$C210="-"),"",VLOOKUP($C210,'Fatores de Emissão'!$D$118:$J$121,3,FALSE))</f>
        <v/>
      </c>
      <c r="H210" s="1023" t="str">
        <f>IF(OR($C210="",$C210="-"),"",VLOOKUP($C210,'Fatores de Emissão'!$D$118:$J$121,2,FALSE))</f>
        <v/>
      </c>
      <c r="I210" s="1023" t="str">
        <f>IF(OR($C210="",$C210="-"),"",VLOOKUP($C210,'Fatores de Emissão'!$D$118:$J$121,4,FALSE))</f>
        <v/>
      </c>
      <c r="J210" s="1023" t="str">
        <f>IF(OR($C210="",$C210="-"),"",VLOOKUP($C210,'Fatores de Emissão'!$D$118:$J$121,6,FALSE))</f>
        <v/>
      </c>
      <c r="K210" s="1023" t="str">
        <f t="shared" si="16"/>
        <v/>
      </c>
      <c r="L210" s="1023" t="str">
        <f>IF(D210="","",$D210*I210*$E210/1000*'Fatores de Emissão'!$E$258)</f>
        <v/>
      </c>
      <c r="M210" s="1023" t="str">
        <f>IF(E210="","",$D210*J210*$E210/1000*'Fatores de Emissão'!$E$259)</f>
        <v/>
      </c>
      <c r="N210" s="851" t="str">
        <f t="shared" si="14"/>
        <v/>
      </c>
      <c r="O210" s="1080" t="str">
        <f t="shared" si="15"/>
        <v/>
      </c>
    </row>
    <row r="211" spans="2:15" s="240" customFormat="1" ht="21" hidden="1" customHeight="1" outlineLevel="2" x14ac:dyDescent="0.25">
      <c r="B211" s="278"/>
      <c r="C211" s="176"/>
      <c r="D211" s="243"/>
      <c r="E211" s="243"/>
      <c r="F211" s="1097"/>
      <c r="G211" s="1023" t="str">
        <f>IF(OR($C211="",$C211="-"),"",VLOOKUP($C211,'Fatores de Emissão'!$D$118:$J$121,3,FALSE))</f>
        <v/>
      </c>
      <c r="H211" s="1023" t="str">
        <f>IF(OR($C211="",$C211="-"),"",VLOOKUP($C211,'Fatores de Emissão'!$D$118:$J$121,2,FALSE))</f>
        <v/>
      </c>
      <c r="I211" s="1023" t="str">
        <f>IF(OR($C211="",$C211="-"),"",VLOOKUP($C211,'Fatores de Emissão'!$D$118:$J$121,4,FALSE))</f>
        <v/>
      </c>
      <c r="J211" s="1023" t="str">
        <f>IF(OR($C211="",$C211="-"),"",VLOOKUP($C211,'Fatores de Emissão'!$D$118:$J$121,6,FALSE))</f>
        <v/>
      </c>
      <c r="K211" s="1023" t="str">
        <f t="shared" si="16"/>
        <v/>
      </c>
      <c r="L211" s="1023" t="str">
        <f>IF(D211="","",$D211*I211*$E211/1000*'Fatores de Emissão'!$E$258)</f>
        <v/>
      </c>
      <c r="M211" s="1023" t="str">
        <f>IF(E211="","",$D211*J211*$E211/1000*'Fatores de Emissão'!$E$259)</f>
        <v/>
      </c>
      <c r="N211" s="851" t="str">
        <f t="shared" si="14"/>
        <v/>
      </c>
      <c r="O211" s="1080" t="str">
        <f t="shared" si="15"/>
        <v/>
      </c>
    </row>
    <row r="212" spans="2:15" s="240" customFormat="1" ht="21" hidden="1" customHeight="1" outlineLevel="2" x14ac:dyDescent="0.25">
      <c r="B212" s="278"/>
      <c r="C212" s="176"/>
      <c r="D212" s="243"/>
      <c r="E212" s="243"/>
      <c r="F212" s="1097"/>
      <c r="G212" s="1023" t="str">
        <f>IF(OR($C212="",$C212="-"),"",VLOOKUP($C212,'Fatores de Emissão'!$D$118:$J$121,3,FALSE))</f>
        <v/>
      </c>
      <c r="H212" s="1023" t="str">
        <f>IF(OR($C212="",$C212="-"),"",VLOOKUP($C212,'Fatores de Emissão'!$D$118:$J$121,2,FALSE))</f>
        <v/>
      </c>
      <c r="I212" s="1023" t="str">
        <f>IF(OR($C212="",$C212="-"),"",VLOOKUP($C212,'Fatores de Emissão'!$D$118:$J$121,4,FALSE))</f>
        <v/>
      </c>
      <c r="J212" s="1023" t="str">
        <f>IF(OR($C212="",$C212="-"),"",VLOOKUP($C212,'Fatores de Emissão'!$D$118:$J$121,6,FALSE))</f>
        <v/>
      </c>
      <c r="K212" s="1023" t="str">
        <f t="shared" si="16"/>
        <v/>
      </c>
      <c r="L212" s="1023" t="str">
        <f>IF(D212="","",$D212*I212*$E212/1000*'Fatores de Emissão'!$E$258)</f>
        <v/>
      </c>
      <c r="M212" s="1023" t="str">
        <f>IF(E212="","",$D212*J212*$E212/1000*'Fatores de Emissão'!$E$259)</f>
        <v/>
      </c>
      <c r="N212" s="851" t="str">
        <f t="shared" si="14"/>
        <v/>
      </c>
      <c r="O212" s="1080" t="str">
        <f t="shared" si="15"/>
        <v/>
      </c>
    </row>
    <row r="213" spans="2:15" s="240" customFormat="1" ht="21" hidden="1" customHeight="1" outlineLevel="2" x14ac:dyDescent="0.25">
      <c r="B213" s="278"/>
      <c r="C213" s="176"/>
      <c r="D213" s="243"/>
      <c r="E213" s="243"/>
      <c r="F213" s="1097"/>
      <c r="G213" s="1023" t="str">
        <f>IF(OR($C213="",$C213="-"),"",VLOOKUP($C213,'Fatores de Emissão'!$D$118:$J$121,3,FALSE))</f>
        <v/>
      </c>
      <c r="H213" s="1023" t="str">
        <f>IF(OR($C213="",$C213="-"),"",VLOOKUP($C213,'Fatores de Emissão'!$D$118:$J$121,2,FALSE))</f>
        <v/>
      </c>
      <c r="I213" s="1023" t="str">
        <f>IF(OR($C213="",$C213="-"),"",VLOOKUP($C213,'Fatores de Emissão'!$D$118:$J$121,4,FALSE))</f>
        <v/>
      </c>
      <c r="J213" s="1023" t="str">
        <f>IF(OR($C213="",$C213="-"),"",VLOOKUP($C213,'Fatores de Emissão'!$D$118:$J$121,6,FALSE))</f>
        <v/>
      </c>
      <c r="K213" s="1023" t="str">
        <f t="shared" si="16"/>
        <v/>
      </c>
      <c r="L213" s="1023" t="str">
        <f>IF(D213="","",$D213*I213*$E213/1000*'Fatores de Emissão'!$E$258)</f>
        <v/>
      </c>
      <c r="M213" s="1023" t="str">
        <f>IF(E213="","",$D213*J213*$E213/1000*'Fatores de Emissão'!$E$259)</f>
        <v/>
      </c>
      <c r="N213" s="851" t="str">
        <f t="shared" si="14"/>
        <v/>
      </c>
      <c r="O213" s="1080" t="str">
        <f t="shared" si="15"/>
        <v/>
      </c>
    </row>
    <row r="214" spans="2:15" s="240" customFormat="1" ht="21" hidden="1" customHeight="1" outlineLevel="2" x14ac:dyDescent="0.25">
      <c r="B214" s="278"/>
      <c r="C214" s="176"/>
      <c r="D214" s="243"/>
      <c r="E214" s="243"/>
      <c r="F214" s="1097"/>
      <c r="G214" s="1023" t="str">
        <f>IF(OR($C214="",$C214="-"),"",VLOOKUP($C214,'Fatores de Emissão'!$D$118:$J$121,3,FALSE))</f>
        <v/>
      </c>
      <c r="H214" s="1023" t="str">
        <f>IF(OR($C214="",$C214="-"),"",VLOOKUP($C214,'Fatores de Emissão'!$D$118:$J$121,2,FALSE))</f>
        <v/>
      </c>
      <c r="I214" s="1023" t="str">
        <f>IF(OR($C214="",$C214="-"),"",VLOOKUP($C214,'Fatores de Emissão'!$D$118:$J$121,4,FALSE))</f>
        <v/>
      </c>
      <c r="J214" s="1023" t="str">
        <f>IF(OR($C214="",$C214="-"),"",VLOOKUP($C214,'Fatores de Emissão'!$D$118:$J$121,6,FALSE))</f>
        <v/>
      </c>
      <c r="K214" s="1023" t="str">
        <f t="shared" si="16"/>
        <v/>
      </c>
      <c r="L214" s="1023" t="str">
        <f>IF(D214="","",$D214*I214*$E214/1000*'Fatores de Emissão'!$E$258)</f>
        <v/>
      </c>
      <c r="M214" s="1023" t="str">
        <f>IF(E214="","",$D214*J214*$E214/1000*'Fatores de Emissão'!$E$259)</f>
        <v/>
      </c>
      <c r="N214" s="851" t="str">
        <f t="shared" si="14"/>
        <v/>
      </c>
      <c r="O214" s="1080" t="str">
        <f t="shared" si="15"/>
        <v/>
      </c>
    </row>
    <row r="215" spans="2:15" s="240" customFormat="1" ht="21" hidden="1" customHeight="1" outlineLevel="2" x14ac:dyDescent="0.25">
      <c r="B215" s="278"/>
      <c r="C215" s="176"/>
      <c r="D215" s="243"/>
      <c r="E215" s="243"/>
      <c r="F215" s="1097"/>
      <c r="G215" s="1023" t="str">
        <f>IF(OR($C215="",$C215="-"),"",VLOOKUP($C215,'Fatores de Emissão'!$D$118:$J$121,3,FALSE))</f>
        <v/>
      </c>
      <c r="H215" s="1023" t="str">
        <f>IF(OR($C215="",$C215="-"),"",VLOOKUP($C215,'Fatores de Emissão'!$D$118:$J$121,2,FALSE))</f>
        <v/>
      </c>
      <c r="I215" s="1023" t="str">
        <f>IF(OR($C215="",$C215="-"),"",VLOOKUP($C215,'Fatores de Emissão'!$D$118:$J$121,4,FALSE))</f>
        <v/>
      </c>
      <c r="J215" s="1023" t="str">
        <f>IF(OR($C215="",$C215="-"),"",VLOOKUP($C215,'Fatores de Emissão'!$D$118:$J$121,6,FALSE))</f>
        <v/>
      </c>
      <c r="K215" s="1023" t="str">
        <f t="shared" si="16"/>
        <v/>
      </c>
      <c r="L215" s="1023" t="str">
        <f>IF(D215="","",$D215*I215*$E215/1000*'Fatores de Emissão'!$E$258)</f>
        <v/>
      </c>
      <c r="M215" s="1023" t="str">
        <f>IF(E215="","",$D215*J215*$E215/1000*'Fatores de Emissão'!$E$259)</f>
        <v/>
      </c>
      <c r="N215" s="851" t="str">
        <f t="shared" si="14"/>
        <v/>
      </c>
      <c r="O215" s="1080" t="str">
        <f t="shared" ref="O215:O250" si="17">IF(D215="","",IFERROR(D215*1,"Erro, confira o valor da distância percorrida"))</f>
        <v/>
      </c>
    </row>
    <row r="216" spans="2:15" s="240" customFormat="1" ht="21" hidden="1" customHeight="1" outlineLevel="2" x14ac:dyDescent="0.25">
      <c r="B216" s="278"/>
      <c r="C216" s="176"/>
      <c r="D216" s="243"/>
      <c r="E216" s="243"/>
      <c r="F216" s="1097"/>
      <c r="G216" s="1023" t="str">
        <f>IF(OR($C216="",$C216="-"),"",VLOOKUP($C216,'Fatores de Emissão'!$D$118:$J$121,3,FALSE))</f>
        <v/>
      </c>
      <c r="H216" s="1023" t="str">
        <f>IF(OR($C216="",$C216="-"),"",VLOOKUP($C216,'Fatores de Emissão'!$D$118:$J$121,2,FALSE))</f>
        <v/>
      </c>
      <c r="I216" s="1023" t="str">
        <f>IF(OR($C216="",$C216="-"),"",VLOOKUP($C216,'Fatores de Emissão'!$D$118:$J$121,4,FALSE))</f>
        <v/>
      </c>
      <c r="J216" s="1023" t="str">
        <f>IF(OR($C216="",$C216="-"),"",VLOOKUP($C216,'Fatores de Emissão'!$D$118:$J$121,6,FALSE))</f>
        <v/>
      </c>
      <c r="K216" s="1023" t="str">
        <f t="shared" ref="K216:K250" si="18">IF(C216="","",$D216*H216*$E216/1000)</f>
        <v/>
      </c>
      <c r="L216" s="1023" t="str">
        <f>IF(D216="","",$D216*I216*$E216/1000*'Fatores de Emissão'!$E$258)</f>
        <v/>
      </c>
      <c r="M216" s="1023" t="str">
        <f>IF(E216="","",$D216*J216*$E216/1000*'Fatores de Emissão'!$E$259)</f>
        <v/>
      </c>
      <c r="N216" s="851" t="str">
        <f t="shared" ref="N216:N250" si="19">IFERROR(IF(H216+I216+J216=0,"",K216+L216+M216),"")</f>
        <v/>
      </c>
      <c r="O216" s="1080" t="str">
        <f t="shared" si="17"/>
        <v/>
      </c>
    </row>
    <row r="217" spans="2:15" s="240" customFormat="1" ht="21" hidden="1" customHeight="1" outlineLevel="2" x14ac:dyDescent="0.25">
      <c r="B217" s="278"/>
      <c r="C217" s="176"/>
      <c r="D217" s="243"/>
      <c r="E217" s="243"/>
      <c r="F217" s="1097"/>
      <c r="G217" s="1023" t="str">
        <f>IF(OR($C217="",$C217="-"),"",VLOOKUP($C217,'Fatores de Emissão'!$D$118:$J$121,3,FALSE))</f>
        <v/>
      </c>
      <c r="H217" s="1023" t="str">
        <f>IF(OR($C217="",$C217="-"),"",VLOOKUP($C217,'Fatores de Emissão'!$D$118:$J$121,2,FALSE))</f>
        <v/>
      </c>
      <c r="I217" s="1023" t="str">
        <f>IF(OR($C217="",$C217="-"),"",VLOOKUP($C217,'Fatores de Emissão'!$D$118:$J$121,4,FALSE))</f>
        <v/>
      </c>
      <c r="J217" s="1023" t="str">
        <f>IF(OR($C217="",$C217="-"),"",VLOOKUP($C217,'Fatores de Emissão'!$D$118:$J$121,6,FALSE))</f>
        <v/>
      </c>
      <c r="K217" s="1023" t="str">
        <f t="shared" si="18"/>
        <v/>
      </c>
      <c r="L217" s="1023" t="str">
        <f>IF(D217="","",$D217*I217*$E217/1000*'Fatores de Emissão'!$E$258)</f>
        <v/>
      </c>
      <c r="M217" s="1023" t="str">
        <f>IF(E217="","",$D217*J217*$E217/1000*'Fatores de Emissão'!$E$259)</f>
        <v/>
      </c>
      <c r="N217" s="851" t="str">
        <f t="shared" si="19"/>
        <v/>
      </c>
      <c r="O217" s="1080" t="str">
        <f t="shared" si="17"/>
        <v/>
      </c>
    </row>
    <row r="218" spans="2:15" s="240" customFormat="1" ht="21" hidden="1" customHeight="1" outlineLevel="2" x14ac:dyDescent="0.25">
      <c r="B218" s="278"/>
      <c r="C218" s="176"/>
      <c r="D218" s="243"/>
      <c r="E218" s="243"/>
      <c r="F218" s="1097"/>
      <c r="G218" s="1023" t="str">
        <f>IF(OR($C218="",$C218="-"),"",VLOOKUP($C218,'Fatores de Emissão'!$D$118:$J$121,3,FALSE))</f>
        <v/>
      </c>
      <c r="H218" s="1023" t="str">
        <f>IF(OR($C218="",$C218="-"),"",VLOOKUP($C218,'Fatores de Emissão'!$D$118:$J$121,2,FALSE))</f>
        <v/>
      </c>
      <c r="I218" s="1023" t="str">
        <f>IF(OR($C218="",$C218="-"),"",VLOOKUP($C218,'Fatores de Emissão'!$D$118:$J$121,4,FALSE))</f>
        <v/>
      </c>
      <c r="J218" s="1023" t="str">
        <f>IF(OR($C218="",$C218="-"),"",VLOOKUP($C218,'Fatores de Emissão'!$D$118:$J$121,6,FALSE))</f>
        <v/>
      </c>
      <c r="K218" s="1023" t="str">
        <f t="shared" si="18"/>
        <v/>
      </c>
      <c r="L218" s="1023" t="str">
        <f>IF(D218="","",$D218*I218*$E218/1000*'Fatores de Emissão'!$E$258)</f>
        <v/>
      </c>
      <c r="M218" s="1023" t="str">
        <f>IF(E218="","",$D218*J218*$E218/1000*'Fatores de Emissão'!$E$259)</f>
        <v/>
      </c>
      <c r="N218" s="851" t="str">
        <f t="shared" si="19"/>
        <v/>
      </c>
      <c r="O218" s="1080" t="str">
        <f t="shared" si="17"/>
        <v/>
      </c>
    </row>
    <row r="219" spans="2:15" s="240" customFormat="1" ht="21" hidden="1" customHeight="1" outlineLevel="2" x14ac:dyDescent="0.25">
      <c r="B219" s="278"/>
      <c r="C219" s="176"/>
      <c r="D219" s="243"/>
      <c r="E219" s="243"/>
      <c r="F219" s="1097"/>
      <c r="G219" s="1023" t="str">
        <f>IF(OR($C219="",$C219="-"),"",VLOOKUP($C219,'Fatores de Emissão'!$D$118:$J$121,3,FALSE))</f>
        <v/>
      </c>
      <c r="H219" s="1023" t="str">
        <f>IF(OR($C219="",$C219="-"),"",VLOOKUP($C219,'Fatores de Emissão'!$D$118:$J$121,2,FALSE))</f>
        <v/>
      </c>
      <c r="I219" s="1023" t="str">
        <f>IF(OR($C219="",$C219="-"),"",VLOOKUP($C219,'Fatores de Emissão'!$D$118:$J$121,4,FALSE))</f>
        <v/>
      </c>
      <c r="J219" s="1023" t="str">
        <f>IF(OR($C219="",$C219="-"),"",VLOOKUP($C219,'Fatores de Emissão'!$D$118:$J$121,6,FALSE))</f>
        <v/>
      </c>
      <c r="K219" s="1023" t="str">
        <f t="shared" si="18"/>
        <v/>
      </c>
      <c r="L219" s="1023" t="str">
        <f>IF(D219="","",$D219*I219*$E219/1000*'Fatores de Emissão'!$E$258)</f>
        <v/>
      </c>
      <c r="M219" s="1023" t="str">
        <f>IF(E219="","",$D219*J219*$E219/1000*'Fatores de Emissão'!$E$259)</f>
        <v/>
      </c>
      <c r="N219" s="851" t="str">
        <f t="shared" si="19"/>
        <v/>
      </c>
      <c r="O219" s="1080" t="str">
        <f t="shared" si="17"/>
        <v/>
      </c>
    </row>
    <row r="220" spans="2:15" s="240" customFormat="1" ht="21" hidden="1" customHeight="1" outlineLevel="2" x14ac:dyDescent="0.25">
      <c r="B220" s="278"/>
      <c r="C220" s="176"/>
      <c r="D220" s="243"/>
      <c r="E220" s="243"/>
      <c r="F220" s="1097"/>
      <c r="G220" s="1023" t="str">
        <f>IF(OR($C220="",$C220="-"),"",VLOOKUP($C220,'Fatores de Emissão'!$D$118:$J$121,3,FALSE))</f>
        <v/>
      </c>
      <c r="H220" s="1023" t="str">
        <f>IF(OR($C220="",$C220="-"),"",VLOOKUP($C220,'Fatores de Emissão'!$D$118:$J$121,2,FALSE))</f>
        <v/>
      </c>
      <c r="I220" s="1023" t="str">
        <f>IF(OR($C220="",$C220="-"),"",VLOOKUP($C220,'Fatores de Emissão'!$D$118:$J$121,4,FALSE))</f>
        <v/>
      </c>
      <c r="J220" s="1023" t="str">
        <f>IF(OR($C220="",$C220="-"),"",VLOOKUP($C220,'Fatores de Emissão'!$D$118:$J$121,6,FALSE))</f>
        <v/>
      </c>
      <c r="K220" s="1023" t="str">
        <f t="shared" si="18"/>
        <v/>
      </c>
      <c r="L220" s="1023" t="str">
        <f>IF(D220="","",$D220*I220*$E220/1000*'Fatores de Emissão'!$E$258)</f>
        <v/>
      </c>
      <c r="M220" s="1023" t="str">
        <f>IF(E220="","",$D220*J220*$E220/1000*'Fatores de Emissão'!$E$259)</f>
        <v/>
      </c>
      <c r="N220" s="851" t="str">
        <f t="shared" si="19"/>
        <v/>
      </c>
      <c r="O220" s="1080" t="str">
        <f t="shared" si="17"/>
        <v/>
      </c>
    </row>
    <row r="221" spans="2:15" s="240" customFormat="1" ht="21" hidden="1" customHeight="1" outlineLevel="2" x14ac:dyDescent="0.25">
      <c r="B221" s="278"/>
      <c r="C221" s="176"/>
      <c r="D221" s="243"/>
      <c r="E221" s="243"/>
      <c r="F221" s="1097"/>
      <c r="G221" s="1023" t="str">
        <f>IF(OR($C221="",$C221="-"),"",VLOOKUP($C221,'Fatores de Emissão'!$D$118:$J$121,3,FALSE))</f>
        <v/>
      </c>
      <c r="H221" s="1023" t="str">
        <f>IF(OR($C221="",$C221="-"),"",VLOOKUP($C221,'Fatores de Emissão'!$D$118:$J$121,2,FALSE))</f>
        <v/>
      </c>
      <c r="I221" s="1023" t="str">
        <f>IF(OR($C221="",$C221="-"),"",VLOOKUP($C221,'Fatores de Emissão'!$D$118:$J$121,4,FALSE))</f>
        <v/>
      </c>
      <c r="J221" s="1023" t="str">
        <f>IF(OR($C221="",$C221="-"),"",VLOOKUP($C221,'Fatores de Emissão'!$D$118:$J$121,6,FALSE))</f>
        <v/>
      </c>
      <c r="K221" s="1023" t="str">
        <f t="shared" si="18"/>
        <v/>
      </c>
      <c r="L221" s="1023" t="str">
        <f>IF(D221="","",$D221*I221*$E221/1000*'Fatores de Emissão'!$E$258)</f>
        <v/>
      </c>
      <c r="M221" s="1023" t="str">
        <f>IF(E221="","",$D221*J221*$E221/1000*'Fatores de Emissão'!$E$259)</f>
        <v/>
      </c>
      <c r="N221" s="851" t="str">
        <f t="shared" si="19"/>
        <v/>
      </c>
      <c r="O221" s="1080" t="str">
        <f t="shared" si="17"/>
        <v/>
      </c>
    </row>
    <row r="222" spans="2:15" s="240" customFormat="1" ht="21" hidden="1" customHeight="1" outlineLevel="2" x14ac:dyDescent="0.25">
      <c r="B222" s="278"/>
      <c r="C222" s="176"/>
      <c r="D222" s="243"/>
      <c r="E222" s="243"/>
      <c r="F222" s="1097"/>
      <c r="G222" s="1023" t="str">
        <f>IF(OR($C222="",$C222="-"),"",VLOOKUP($C222,'Fatores de Emissão'!$D$118:$J$121,3,FALSE))</f>
        <v/>
      </c>
      <c r="H222" s="1023" t="str">
        <f>IF(OR($C222="",$C222="-"),"",VLOOKUP($C222,'Fatores de Emissão'!$D$118:$J$121,2,FALSE))</f>
        <v/>
      </c>
      <c r="I222" s="1023" t="str">
        <f>IF(OR($C222="",$C222="-"),"",VLOOKUP($C222,'Fatores de Emissão'!$D$118:$J$121,4,FALSE))</f>
        <v/>
      </c>
      <c r="J222" s="1023" t="str">
        <f>IF(OR($C222="",$C222="-"),"",VLOOKUP($C222,'Fatores de Emissão'!$D$118:$J$121,6,FALSE))</f>
        <v/>
      </c>
      <c r="K222" s="1023" t="str">
        <f t="shared" si="18"/>
        <v/>
      </c>
      <c r="L222" s="1023" t="str">
        <f>IF(D222="","",$D222*I222*$E222/1000*'Fatores de Emissão'!$E$258)</f>
        <v/>
      </c>
      <c r="M222" s="1023" t="str">
        <f>IF(E222="","",$D222*J222*$E222/1000*'Fatores de Emissão'!$E$259)</f>
        <v/>
      </c>
      <c r="N222" s="851" t="str">
        <f t="shared" si="19"/>
        <v/>
      </c>
      <c r="O222" s="1080" t="str">
        <f t="shared" si="17"/>
        <v/>
      </c>
    </row>
    <row r="223" spans="2:15" s="240" customFormat="1" ht="21" hidden="1" customHeight="1" outlineLevel="2" x14ac:dyDescent="0.25">
      <c r="B223" s="278"/>
      <c r="C223" s="176"/>
      <c r="D223" s="243"/>
      <c r="E223" s="243"/>
      <c r="F223" s="1097"/>
      <c r="G223" s="1023" t="str">
        <f>IF(OR($C223="",$C223="-"),"",VLOOKUP($C223,'Fatores de Emissão'!$D$118:$J$121,3,FALSE))</f>
        <v/>
      </c>
      <c r="H223" s="1023" t="str">
        <f>IF(OR($C223="",$C223="-"),"",VLOOKUP($C223,'Fatores de Emissão'!$D$118:$J$121,2,FALSE))</f>
        <v/>
      </c>
      <c r="I223" s="1023" t="str">
        <f>IF(OR($C223="",$C223="-"),"",VLOOKUP($C223,'Fatores de Emissão'!$D$118:$J$121,4,FALSE))</f>
        <v/>
      </c>
      <c r="J223" s="1023" t="str">
        <f>IF(OR($C223="",$C223="-"),"",VLOOKUP($C223,'Fatores de Emissão'!$D$118:$J$121,6,FALSE))</f>
        <v/>
      </c>
      <c r="K223" s="1023" t="str">
        <f t="shared" si="18"/>
        <v/>
      </c>
      <c r="L223" s="1023" t="str">
        <f>IF(D223="","",$D223*I223*$E223/1000*'Fatores de Emissão'!$E$258)</f>
        <v/>
      </c>
      <c r="M223" s="1023" t="str">
        <f>IF(E223="","",$D223*J223*$E223/1000*'Fatores de Emissão'!$E$259)</f>
        <v/>
      </c>
      <c r="N223" s="851" t="str">
        <f t="shared" si="19"/>
        <v/>
      </c>
      <c r="O223" s="1080" t="str">
        <f t="shared" si="17"/>
        <v/>
      </c>
    </row>
    <row r="224" spans="2:15" s="240" customFormat="1" ht="21" hidden="1" customHeight="1" outlineLevel="2" x14ac:dyDescent="0.25">
      <c r="B224" s="278"/>
      <c r="C224" s="176"/>
      <c r="D224" s="243"/>
      <c r="E224" s="243"/>
      <c r="F224" s="1097"/>
      <c r="G224" s="1023" t="str">
        <f>IF(OR($C224="",$C224="-"),"",VLOOKUP($C224,'Fatores de Emissão'!$D$118:$J$121,3,FALSE))</f>
        <v/>
      </c>
      <c r="H224" s="1023" t="str">
        <f>IF(OR($C224="",$C224="-"),"",VLOOKUP($C224,'Fatores de Emissão'!$D$118:$J$121,2,FALSE))</f>
        <v/>
      </c>
      <c r="I224" s="1023" t="str">
        <f>IF(OR($C224="",$C224="-"),"",VLOOKUP($C224,'Fatores de Emissão'!$D$118:$J$121,4,FALSE))</f>
        <v/>
      </c>
      <c r="J224" s="1023" t="str">
        <f>IF(OR($C224="",$C224="-"),"",VLOOKUP($C224,'Fatores de Emissão'!$D$118:$J$121,6,FALSE))</f>
        <v/>
      </c>
      <c r="K224" s="1023" t="str">
        <f t="shared" si="18"/>
        <v/>
      </c>
      <c r="L224" s="1023" t="str">
        <f>IF(D224="","",$D224*I224*$E224/1000*'Fatores de Emissão'!$E$258)</f>
        <v/>
      </c>
      <c r="M224" s="1023" t="str">
        <f>IF(E224="","",$D224*J224*$E224/1000*'Fatores de Emissão'!$E$259)</f>
        <v/>
      </c>
      <c r="N224" s="851" t="str">
        <f t="shared" si="19"/>
        <v/>
      </c>
      <c r="O224" s="1080" t="str">
        <f t="shared" si="17"/>
        <v/>
      </c>
    </row>
    <row r="225" spans="2:15" s="240" customFormat="1" ht="21" hidden="1" customHeight="1" outlineLevel="2" x14ac:dyDescent="0.25">
      <c r="B225" s="278"/>
      <c r="C225" s="176"/>
      <c r="D225" s="243"/>
      <c r="E225" s="243"/>
      <c r="F225" s="1097"/>
      <c r="G225" s="1023" t="str">
        <f>IF(OR($C225="",$C225="-"),"",VLOOKUP($C225,'Fatores de Emissão'!$D$118:$J$121,3,FALSE))</f>
        <v/>
      </c>
      <c r="H225" s="1023" t="str">
        <f>IF(OR($C225="",$C225="-"),"",VLOOKUP($C225,'Fatores de Emissão'!$D$118:$J$121,2,FALSE))</f>
        <v/>
      </c>
      <c r="I225" s="1023" t="str">
        <f>IF(OR($C225="",$C225="-"),"",VLOOKUP($C225,'Fatores de Emissão'!$D$118:$J$121,4,FALSE))</f>
        <v/>
      </c>
      <c r="J225" s="1023" t="str">
        <f>IF(OR($C225="",$C225="-"),"",VLOOKUP($C225,'Fatores de Emissão'!$D$118:$J$121,6,FALSE))</f>
        <v/>
      </c>
      <c r="K225" s="1023" t="str">
        <f t="shared" si="18"/>
        <v/>
      </c>
      <c r="L225" s="1023" t="str">
        <f>IF(D225="","",$D225*I225*$E225/1000*'Fatores de Emissão'!$E$258)</f>
        <v/>
      </c>
      <c r="M225" s="1023" t="str">
        <f>IF(E225="","",$D225*J225*$E225/1000*'Fatores de Emissão'!$E$259)</f>
        <v/>
      </c>
      <c r="N225" s="851" t="str">
        <f t="shared" si="19"/>
        <v/>
      </c>
      <c r="O225" s="1080" t="str">
        <f t="shared" si="17"/>
        <v/>
      </c>
    </row>
    <row r="226" spans="2:15" s="240" customFormat="1" ht="21" hidden="1" customHeight="1" outlineLevel="2" x14ac:dyDescent="0.25">
      <c r="B226" s="278"/>
      <c r="C226" s="176"/>
      <c r="D226" s="243"/>
      <c r="E226" s="243"/>
      <c r="F226" s="1097"/>
      <c r="G226" s="1023" t="str">
        <f>IF(OR($C226="",$C226="-"),"",VLOOKUP($C226,'Fatores de Emissão'!$D$118:$J$121,3,FALSE))</f>
        <v/>
      </c>
      <c r="H226" s="1023" t="str">
        <f>IF(OR($C226="",$C226="-"),"",VLOOKUP($C226,'Fatores de Emissão'!$D$118:$J$121,2,FALSE))</f>
        <v/>
      </c>
      <c r="I226" s="1023" t="str">
        <f>IF(OR($C226="",$C226="-"),"",VLOOKUP($C226,'Fatores de Emissão'!$D$118:$J$121,4,FALSE))</f>
        <v/>
      </c>
      <c r="J226" s="1023" t="str">
        <f>IF(OR($C226="",$C226="-"),"",VLOOKUP($C226,'Fatores de Emissão'!$D$118:$J$121,6,FALSE))</f>
        <v/>
      </c>
      <c r="K226" s="1023" t="str">
        <f t="shared" si="18"/>
        <v/>
      </c>
      <c r="L226" s="1023" t="str">
        <f>IF(D226="","",$D226*I226*$E226/1000*'Fatores de Emissão'!$E$258)</f>
        <v/>
      </c>
      <c r="M226" s="1023" t="str">
        <f>IF(E226="","",$D226*J226*$E226/1000*'Fatores de Emissão'!$E$259)</f>
        <v/>
      </c>
      <c r="N226" s="851" t="str">
        <f t="shared" si="19"/>
        <v/>
      </c>
      <c r="O226" s="1080" t="str">
        <f t="shared" si="17"/>
        <v/>
      </c>
    </row>
    <row r="227" spans="2:15" s="240" customFormat="1" ht="21" hidden="1" customHeight="1" outlineLevel="2" x14ac:dyDescent="0.25">
      <c r="B227" s="278"/>
      <c r="C227" s="176"/>
      <c r="D227" s="243"/>
      <c r="E227" s="243"/>
      <c r="F227" s="1097"/>
      <c r="G227" s="1023" t="str">
        <f>IF(OR($C227="",$C227="-"),"",VLOOKUP($C227,'Fatores de Emissão'!$D$118:$J$121,3,FALSE))</f>
        <v/>
      </c>
      <c r="H227" s="1023" t="str">
        <f>IF(OR($C227="",$C227="-"),"",VLOOKUP($C227,'Fatores de Emissão'!$D$118:$J$121,2,FALSE))</f>
        <v/>
      </c>
      <c r="I227" s="1023" t="str">
        <f>IF(OR($C227="",$C227="-"),"",VLOOKUP($C227,'Fatores de Emissão'!$D$118:$J$121,4,FALSE))</f>
        <v/>
      </c>
      <c r="J227" s="1023" t="str">
        <f>IF(OR($C227="",$C227="-"),"",VLOOKUP($C227,'Fatores de Emissão'!$D$118:$J$121,6,FALSE))</f>
        <v/>
      </c>
      <c r="K227" s="1023" t="str">
        <f t="shared" si="18"/>
        <v/>
      </c>
      <c r="L227" s="1023" t="str">
        <f>IF(D227="","",$D227*I227*$E227/1000*'Fatores de Emissão'!$E$258)</f>
        <v/>
      </c>
      <c r="M227" s="1023" t="str">
        <f>IF(E227="","",$D227*J227*$E227/1000*'Fatores de Emissão'!$E$259)</f>
        <v/>
      </c>
      <c r="N227" s="851" t="str">
        <f t="shared" si="19"/>
        <v/>
      </c>
      <c r="O227" s="1080" t="str">
        <f t="shared" si="17"/>
        <v/>
      </c>
    </row>
    <row r="228" spans="2:15" s="240" customFormat="1" ht="21" hidden="1" customHeight="1" outlineLevel="2" x14ac:dyDescent="0.25">
      <c r="B228" s="278"/>
      <c r="C228" s="176"/>
      <c r="D228" s="243"/>
      <c r="E228" s="243"/>
      <c r="F228" s="1097"/>
      <c r="G228" s="1023" t="str">
        <f>IF(OR($C228="",$C228="-"),"",VLOOKUP($C228,'Fatores de Emissão'!$D$118:$J$121,3,FALSE))</f>
        <v/>
      </c>
      <c r="H228" s="1023" t="str">
        <f>IF(OR($C228="",$C228="-"),"",VLOOKUP($C228,'Fatores de Emissão'!$D$118:$J$121,2,FALSE))</f>
        <v/>
      </c>
      <c r="I228" s="1023" t="str">
        <f>IF(OR($C228="",$C228="-"),"",VLOOKUP($C228,'Fatores de Emissão'!$D$118:$J$121,4,FALSE))</f>
        <v/>
      </c>
      <c r="J228" s="1023" t="str">
        <f>IF(OR($C228="",$C228="-"),"",VLOOKUP($C228,'Fatores de Emissão'!$D$118:$J$121,6,FALSE))</f>
        <v/>
      </c>
      <c r="K228" s="1023" t="str">
        <f t="shared" si="18"/>
        <v/>
      </c>
      <c r="L228" s="1023" t="str">
        <f>IF(D228="","",$D228*I228*$E228/1000*'Fatores de Emissão'!$E$258)</f>
        <v/>
      </c>
      <c r="M228" s="1023" t="str">
        <f>IF(E228="","",$D228*J228*$E228/1000*'Fatores de Emissão'!$E$259)</f>
        <v/>
      </c>
      <c r="N228" s="851" t="str">
        <f t="shared" si="19"/>
        <v/>
      </c>
      <c r="O228" s="1080" t="str">
        <f t="shared" si="17"/>
        <v/>
      </c>
    </row>
    <row r="229" spans="2:15" s="240" customFormat="1" ht="21" hidden="1" customHeight="1" outlineLevel="2" x14ac:dyDescent="0.25">
      <c r="B229" s="278"/>
      <c r="C229" s="176"/>
      <c r="D229" s="243"/>
      <c r="E229" s="243"/>
      <c r="F229" s="1097"/>
      <c r="G229" s="1023" t="str">
        <f>IF(OR($C229="",$C229="-"),"",VLOOKUP($C229,'Fatores de Emissão'!$D$118:$J$121,3,FALSE))</f>
        <v/>
      </c>
      <c r="H229" s="1023" t="str">
        <f>IF(OR($C229="",$C229="-"),"",VLOOKUP($C229,'Fatores de Emissão'!$D$118:$J$121,2,FALSE))</f>
        <v/>
      </c>
      <c r="I229" s="1023" t="str">
        <f>IF(OR($C229="",$C229="-"),"",VLOOKUP($C229,'Fatores de Emissão'!$D$118:$J$121,4,FALSE))</f>
        <v/>
      </c>
      <c r="J229" s="1023" t="str">
        <f>IF(OR($C229="",$C229="-"),"",VLOOKUP($C229,'Fatores de Emissão'!$D$118:$J$121,6,FALSE))</f>
        <v/>
      </c>
      <c r="K229" s="1023" t="str">
        <f t="shared" si="18"/>
        <v/>
      </c>
      <c r="L229" s="1023" t="str">
        <f>IF(D229="","",$D229*I229*$E229/1000*'Fatores de Emissão'!$E$258)</f>
        <v/>
      </c>
      <c r="M229" s="1023" t="str">
        <f>IF(E229="","",$D229*J229*$E229/1000*'Fatores de Emissão'!$E$259)</f>
        <v/>
      </c>
      <c r="N229" s="851" t="str">
        <f t="shared" si="19"/>
        <v/>
      </c>
      <c r="O229" s="1080" t="str">
        <f t="shared" si="17"/>
        <v/>
      </c>
    </row>
    <row r="230" spans="2:15" s="240" customFormat="1" ht="21" hidden="1" customHeight="1" outlineLevel="2" x14ac:dyDescent="0.25">
      <c r="B230" s="278"/>
      <c r="C230" s="176"/>
      <c r="D230" s="243"/>
      <c r="E230" s="243"/>
      <c r="F230" s="1097"/>
      <c r="G230" s="1023" t="str">
        <f>IF(OR($C230="",$C230="-"),"",VLOOKUP($C230,'Fatores de Emissão'!$D$118:$J$121,3,FALSE))</f>
        <v/>
      </c>
      <c r="H230" s="1023" t="str">
        <f>IF(OR($C230="",$C230="-"),"",VLOOKUP($C230,'Fatores de Emissão'!$D$118:$J$121,2,FALSE))</f>
        <v/>
      </c>
      <c r="I230" s="1023" t="str">
        <f>IF(OR($C230="",$C230="-"),"",VLOOKUP($C230,'Fatores de Emissão'!$D$118:$J$121,4,FALSE))</f>
        <v/>
      </c>
      <c r="J230" s="1023" t="str">
        <f>IF(OR($C230="",$C230="-"),"",VLOOKUP($C230,'Fatores de Emissão'!$D$118:$J$121,6,FALSE))</f>
        <v/>
      </c>
      <c r="K230" s="1023" t="str">
        <f t="shared" si="18"/>
        <v/>
      </c>
      <c r="L230" s="1023" t="str">
        <f>IF(D230="","",$D230*I230*$E230/1000*'Fatores de Emissão'!$E$258)</f>
        <v/>
      </c>
      <c r="M230" s="1023" t="str">
        <f>IF(E230="","",$D230*J230*$E230/1000*'Fatores de Emissão'!$E$259)</f>
        <v/>
      </c>
      <c r="N230" s="851" t="str">
        <f t="shared" si="19"/>
        <v/>
      </c>
      <c r="O230" s="1080" t="str">
        <f t="shared" si="17"/>
        <v/>
      </c>
    </row>
    <row r="231" spans="2:15" s="240" customFormat="1" ht="21" hidden="1" customHeight="1" outlineLevel="2" x14ac:dyDescent="0.25">
      <c r="B231" s="278"/>
      <c r="C231" s="176"/>
      <c r="D231" s="243"/>
      <c r="E231" s="243"/>
      <c r="F231" s="1097"/>
      <c r="G231" s="1023" t="str">
        <f>IF(OR($C231="",$C231="-"),"",VLOOKUP($C231,'Fatores de Emissão'!$D$118:$J$121,3,FALSE))</f>
        <v/>
      </c>
      <c r="H231" s="1023" t="str">
        <f>IF(OR($C231="",$C231="-"),"",VLOOKUP($C231,'Fatores de Emissão'!$D$118:$J$121,2,FALSE))</f>
        <v/>
      </c>
      <c r="I231" s="1023" t="str">
        <f>IF(OR($C231="",$C231="-"),"",VLOOKUP($C231,'Fatores de Emissão'!$D$118:$J$121,4,FALSE))</f>
        <v/>
      </c>
      <c r="J231" s="1023" t="str">
        <f>IF(OR($C231="",$C231="-"),"",VLOOKUP($C231,'Fatores de Emissão'!$D$118:$J$121,6,FALSE))</f>
        <v/>
      </c>
      <c r="K231" s="1023" t="str">
        <f t="shared" si="18"/>
        <v/>
      </c>
      <c r="L231" s="1023" t="str">
        <f>IF(D231="","",$D231*I231*$E231/1000*'Fatores de Emissão'!$E$258)</f>
        <v/>
      </c>
      <c r="M231" s="1023" t="str">
        <f>IF(E231="","",$D231*J231*$E231/1000*'Fatores de Emissão'!$E$259)</f>
        <v/>
      </c>
      <c r="N231" s="851" t="str">
        <f t="shared" si="19"/>
        <v/>
      </c>
      <c r="O231" s="1080" t="str">
        <f t="shared" si="17"/>
        <v/>
      </c>
    </row>
    <row r="232" spans="2:15" s="240" customFormat="1" ht="21" hidden="1" customHeight="1" outlineLevel="2" x14ac:dyDescent="0.25">
      <c r="B232" s="278"/>
      <c r="C232" s="176"/>
      <c r="D232" s="243"/>
      <c r="E232" s="243"/>
      <c r="F232" s="1097"/>
      <c r="G232" s="1023" t="str">
        <f>IF(OR($C232="",$C232="-"),"",VLOOKUP($C232,'Fatores de Emissão'!$D$118:$J$121,3,FALSE))</f>
        <v/>
      </c>
      <c r="H232" s="1023" t="str">
        <f>IF(OR($C232="",$C232="-"),"",VLOOKUP($C232,'Fatores de Emissão'!$D$118:$J$121,2,FALSE))</f>
        <v/>
      </c>
      <c r="I232" s="1023" t="str">
        <f>IF(OR($C232="",$C232="-"),"",VLOOKUP($C232,'Fatores de Emissão'!$D$118:$J$121,4,FALSE))</f>
        <v/>
      </c>
      <c r="J232" s="1023" t="str">
        <f>IF(OR($C232="",$C232="-"),"",VLOOKUP($C232,'Fatores de Emissão'!$D$118:$J$121,6,FALSE))</f>
        <v/>
      </c>
      <c r="K232" s="1023" t="str">
        <f t="shared" si="18"/>
        <v/>
      </c>
      <c r="L232" s="1023" t="str">
        <f>IF(D232="","",$D232*I232*$E232/1000*'Fatores de Emissão'!$E$258)</f>
        <v/>
      </c>
      <c r="M232" s="1023" t="str">
        <f>IF(E232="","",$D232*J232*$E232/1000*'Fatores de Emissão'!$E$259)</f>
        <v/>
      </c>
      <c r="N232" s="851" t="str">
        <f t="shared" si="19"/>
        <v/>
      </c>
      <c r="O232" s="1080" t="str">
        <f t="shared" si="17"/>
        <v/>
      </c>
    </row>
    <row r="233" spans="2:15" s="240" customFormat="1" ht="21" hidden="1" customHeight="1" outlineLevel="2" x14ac:dyDescent="0.25">
      <c r="B233" s="278"/>
      <c r="C233" s="176"/>
      <c r="D233" s="243"/>
      <c r="E233" s="243"/>
      <c r="F233" s="1097"/>
      <c r="G233" s="1023" t="str">
        <f>IF(OR($C233="",$C233="-"),"",VLOOKUP($C233,'Fatores de Emissão'!$D$118:$J$121,3,FALSE))</f>
        <v/>
      </c>
      <c r="H233" s="1023" t="str">
        <f>IF(OR($C233="",$C233="-"),"",VLOOKUP($C233,'Fatores de Emissão'!$D$118:$J$121,2,FALSE))</f>
        <v/>
      </c>
      <c r="I233" s="1023" t="str">
        <f>IF(OR($C233="",$C233="-"),"",VLOOKUP($C233,'Fatores de Emissão'!$D$118:$J$121,4,FALSE))</f>
        <v/>
      </c>
      <c r="J233" s="1023" t="str">
        <f>IF(OR($C233="",$C233="-"),"",VLOOKUP($C233,'Fatores de Emissão'!$D$118:$J$121,6,FALSE))</f>
        <v/>
      </c>
      <c r="K233" s="1023" t="str">
        <f t="shared" si="18"/>
        <v/>
      </c>
      <c r="L233" s="1023" t="str">
        <f>IF(D233="","",$D233*I233*$E233/1000*'Fatores de Emissão'!$E$258)</f>
        <v/>
      </c>
      <c r="M233" s="1023" t="str">
        <f>IF(E233="","",$D233*J233*$E233/1000*'Fatores de Emissão'!$E$259)</f>
        <v/>
      </c>
      <c r="N233" s="851" t="str">
        <f t="shared" si="19"/>
        <v/>
      </c>
      <c r="O233" s="1080" t="str">
        <f t="shared" si="17"/>
        <v/>
      </c>
    </row>
    <row r="234" spans="2:15" s="240" customFormat="1" ht="21" hidden="1" customHeight="1" outlineLevel="2" x14ac:dyDescent="0.25">
      <c r="B234" s="278"/>
      <c r="C234" s="176"/>
      <c r="D234" s="243"/>
      <c r="E234" s="243"/>
      <c r="F234" s="1097"/>
      <c r="G234" s="1023" t="str">
        <f>IF(OR($C234="",$C234="-"),"",VLOOKUP($C234,'Fatores de Emissão'!$D$118:$J$121,3,FALSE))</f>
        <v/>
      </c>
      <c r="H234" s="1023" t="str">
        <f>IF(OR($C234="",$C234="-"),"",VLOOKUP($C234,'Fatores de Emissão'!$D$118:$J$121,2,FALSE))</f>
        <v/>
      </c>
      <c r="I234" s="1023" t="str">
        <f>IF(OR($C234="",$C234="-"),"",VLOOKUP($C234,'Fatores de Emissão'!$D$118:$J$121,4,FALSE))</f>
        <v/>
      </c>
      <c r="J234" s="1023" t="str">
        <f>IF(OR($C234="",$C234="-"),"",VLOOKUP($C234,'Fatores de Emissão'!$D$118:$J$121,6,FALSE))</f>
        <v/>
      </c>
      <c r="K234" s="1023" t="str">
        <f t="shared" si="18"/>
        <v/>
      </c>
      <c r="L234" s="1023" t="str">
        <f>IF(D234="","",$D234*I234*$E234/1000*'Fatores de Emissão'!$E$258)</f>
        <v/>
      </c>
      <c r="M234" s="1023" t="str">
        <f>IF(E234="","",$D234*J234*$E234/1000*'Fatores de Emissão'!$E$259)</f>
        <v/>
      </c>
      <c r="N234" s="851" t="str">
        <f t="shared" si="19"/>
        <v/>
      </c>
      <c r="O234" s="1080" t="str">
        <f t="shared" si="17"/>
        <v/>
      </c>
    </row>
    <row r="235" spans="2:15" s="240" customFormat="1" ht="21" hidden="1" customHeight="1" outlineLevel="2" x14ac:dyDescent="0.25">
      <c r="B235" s="278"/>
      <c r="C235" s="176"/>
      <c r="D235" s="243"/>
      <c r="E235" s="243"/>
      <c r="F235" s="1097"/>
      <c r="G235" s="1023" t="str">
        <f>IF(OR($C235="",$C235="-"),"",VLOOKUP($C235,'Fatores de Emissão'!$D$118:$J$121,3,FALSE))</f>
        <v/>
      </c>
      <c r="H235" s="1023" t="str">
        <f>IF(OR($C235="",$C235="-"),"",VLOOKUP($C235,'Fatores de Emissão'!$D$118:$J$121,2,FALSE))</f>
        <v/>
      </c>
      <c r="I235" s="1023" t="str">
        <f>IF(OR($C235="",$C235="-"),"",VLOOKUP($C235,'Fatores de Emissão'!$D$118:$J$121,4,FALSE))</f>
        <v/>
      </c>
      <c r="J235" s="1023" t="str">
        <f>IF(OR($C235="",$C235="-"),"",VLOOKUP($C235,'Fatores de Emissão'!$D$118:$J$121,6,FALSE))</f>
        <v/>
      </c>
      <c r="K235" s="1023" t="str">
        <f t="shared" si="18"/>
        <v/>
      </c>
      <c r="L235" s="1023" t="str">
        <f>IF(D235="","",$D235*I235*$E235/1000*'Fatores de Emissão'!$E$258)</f>
        <v/>
      </c>
      <c r="M235" s="1023" t="str">
        <f>IF(E235="","",$D235*J235*$E235/1000*'Fatores de Emissão'!$E$259)</f>
        <v/>
      </c>
      <c r="N235" s="851" t="str">
        <f t="shared" si="19"/>
        <v/>
      </c>
      <c r="O235" s="1080" t="str">
        <f t="shared" si="17"/>
        <v/>
      </c>
    </row>
    <row r="236" spans="2:15" s="240" customFormat="1" ht="21" hidden="1" customHeight="1" outlineLevel="2" x14ac:dyDescent="0.25">
      <c r="B236" s="278"/>
      <c r="C236" s="176"/>
      <c r="D236" s="243"/>
      <c r="E236" s="243"/>
      <c r="F236" s="1097"/>
      <c r="G236" s="1023" t="str">
        <f>IF(OR($C236="",$C236="-"),"",VLOOKUP($C236,'Fatores de Emissão'!$D$118:$J$121,3,FALSE))</f>
        <v/>
      </c>
      <c r="H236" s="1023" t="str">
        <f>IF(OR($C236="",$C236="-"),"",VLOOKUP($C236,'Fatores de Emissão'!$D$118:$J$121,2,FALSE))</f>
        <v/>
      </c>
      <c r="I236" s="1023" t="str">
        <f>IF(OR($C236="",$C236="-"),"",VLOOKUP($C236,'Fatores de Emissão'!$D$118:$J$121,4,FALSE))</f>
        <v/>
      </c>
      <c r="J236" s="1023" t="str">
        <f>IF(OR($C236="",$C236="-"),"",VLOOKUP($C236,'Fatores de Emissão'!$D$118:$J$121,6,FALSE))</f>
        <v/>
      </c>
      <c r="K236" s="1023" t="str">
        <f t="shared" si="18"/>
        <v/>
      </c>
      <c r="L236" s="1023" t="str">
        <f>IF(D236="","",$D236*I236*$E236/1000*'Fatores de Emissão'!$E$258)</f>
        <v/>
      </c>
      <c r="M236" s="1023" t="str">
        <f>IF(E236="","",$D236*J236*$E236/1000*'Fatores de Emissão'!$E$259)</f>
        <v/>
      </c>
      <c r="N236" s="851" t="str">
        <f t="shared" si="19"/>
        <v/>
      </c>
      <c r="O236" s="1080" t="str">
        <f t="shared" si="17"/>
        <v/>
      </c>
    </row>
    <row r="237" spans="2:15" s="240" customFormat="1" ht="21" hidden="1" customHeight="1" outlineLevel="2" x14ac:dyDescent="0.25">
      <c r="B237" s="278"/>
      <c r="C237" s="176"/>
      <c r="D237" s="243"/>
      <c r="E237" s="243"/>
      <c r="F237" s="1097"/>
      <c r="G237" s="1023" t="str">
        <f>IF(OR($C237="",$C237="-"),"",VLOOKUP($C237,'Fatores de Emissão'!$D$118:$J$121,3,FALSE))</f>
        <v/>
      </c>
      <c r="H237" s="1023" t="str">
        <f>IF(OR($C237="",$C237="-"),"",VLOOKUP($C237,'Fatores de Emissão'!$D$118:$J$121,2,FALSE))</f>
        <v/>
      </c>
      <c r="I237" s="1023" t="str">
        <f>IF(OR($C237="",$C237="-"),"",VLOOKUP($C237,'Fatores de Emissão'!$D$118:$J$121,4,FALSE))</f>
        <v/>
      </c>
      <c r="J237" s="1023" t="str">
        <f>IF(OR($C237="",$C237="-"),"",VLOOKUP($C237,'Fatores de Emissão'!$D$118:$J$121,6,FALSE))</f>
        <v/>
      </c>
      <c r="K237" s="1023" t="str">
        <f t="shared" si="18"/>
        <v/>
      </c>
      <c r="L237" s="1023" t="str">
        <f>IF(D237="","",$D237*I237*$E237/1000*'Fatores de Emissão'!$E$258)</f>
        <v/>
      </c>
      <c r="M237" s="1023" t="str">
        <f>IF(E237="","",$D237*J237*$E237/1000*'Fatores de Emissão'!$E$259)</f>
        <v/>
      </c>
      <c r="N237" s="851" t="str">
        <f t="shared" si="19"/>
        <v/>
      </c>
      <c r="O237" s="1080" t="str">
        <f t="shared" si="17"/>
        <v/>
      </c>
    </row>
    <row r="238" spans="2:15" s="240" customFormat="1" ht="21" hidden="1" customHeight="1" outlineLevel="2" x14ac:dyDescent="0.25">
      <c r="B238" s="278"/>
      <c r="C238" s="176"/>
      <c r="D238" s="243"/>
      <c r="E238" s="243"/>
      <c r="F238" s="1097"/>
      <c r="G238" s="1023" t="str">
        <f>IF(OR($C238="",$C238="-"),"",VLOOKUP($C238,'Fatores de Emissão'!$D$118:$J$121,3,FALSE))</f>
        <v/>
      </c>
      <c r="H238" s="1023" t="str">
        <f>IF(OR($C238="",$C238="-"),"",VLOOKUP($C238,'Fatores de Emissão'!$D$118:$J$121,2,FALSE))</f>
        <v/>
      </c>
      <c r="I238" s="1023" t="str">
        <f>IF(OR($C238="",$C238="-"),"",VLOOKUP($C238,'Fatores de Emissão'!$D$118:$J$121,4,FALSE))</f>
        <v/>
      </c>
      <c r="J238" s="1023" t="str">
        <f>IF(OR($C238="",$C238="-"),"",VLOOKUP($C238,'Fatores de Emissão'!$D$118:$J$121,6,FALSE))</f>
        <v/>
      </c>
      <c r="K238" s="1023" t="str">
        <f t="shared" si="18"/>
        <v/>
      </c>
      <c r="L238" s="1023" t="str">
        <f>IF(D238="","",$D238*I238*$E238/1000*'Fatores de Emissão'!$E$258)</f>
        <v/>
      </c>
      <c r="M238" s="1023" t="str">
        <f>IF(E238="","",$D238*J238*$E238/1000*'Fatores de Emissão'!$E$259)</f>
        <v/>
      </c>
      <c r="N238" s="851" t="str">
        <f t="shared" si="19"/>
        <v/>
      </c>
      <c r="O238" s="1080" t="str">
        <f t="shared" si="17"/>
        <v/>
      </c>
    </row>
    <row r="239" spans="2:15" s="240" customFormat="1" ht="21" hidden="1" customHeight="1" outlineLevel="2" x14ac:dyDescent="0.25">
      <c r="B239" s="278"/>
      <c r="C239" s="176"/>
      <c r="D239" s="243"/>
      <c r="E239" s="243"/>
      <c r="F239" s="1097"/>
      <c r="G239" s="1023" t="str">
        <f>IF(OR($C239="",$C239="-"),"",VLOOKUP($C239,'Fatores de Emissão'!$D$118:$J$121,3,FALSE))</f>
        <v/>
      </c>
      <c r="H239" s="1023" t="str">
        <f>IF(OR($C239="",$C239="-"),"",VLOOKUP($C239,'Fatores de Emissão'!$D$118:$J$121,2,FALSE))</f>
        <v/>
      </c>
      <c r="I239" s="1023" t="str">
        <f>IF(OR($C239="",$C239="-"),"",VLOOKUP($C239,'Fatores de Emissão'!$D$118:$J$121,4,FALSE))</f>
        <v/>
      </c>
      <c r="J239" s="1023" t="str">
        <f>IF(OR($C239="",$C239="-"),"",VLOOKUP($C239,'Fatores de Emissão'!$D$118:$J$121,6,FALSE))</f>
        <v/>
      </c>
      <c r="K239" s="1023" t="str">
        <f t="shared" si="18"/>
        <v/>
      </c>
      <c r="L239" s="1023" t="str">
        <f>IF(D239="","",$D239*I239*$E239/1000*'Fatores de Emissão'!$E$258)</f>
        <v/>
      </c>
      <c r="M239" s="1023" t="str">
        <f>IF(E239="","",$D239*J239*$E239/1000*'Fatores de Emissão'!$E$259)</f>
        <v/>
      </c>
      <c r="N239" s="851" t="str">
        <f t="shared" si="19"/>
        <v/>
      </c>
      <c r="O239" s="1080" t="str">
        <f t="shared" si="17"/>
        <v/>
      </c>
    </row>
    <row r="240" spans="2:15" s="240" customFormat="1" ht="21" hidden="1" customHeight="1" outlineLevel="2" x14ac:dyDescent="0.25">
      <c r="B240" s="278"/>
      <c r="C240" s="176"/>
      <c r="D240" s="243"/>
      <c r="E240" s="243"/>
      <c r="F240" s="1097"/>
      <c r="G240" s="1023" t="str">
        <f>IF(OR($C240="",$C240="-"),"",VLOOKUP($C240,'Fatores de Emissão'!$D$118:$J$121,3,FALSE))</f>
        <v/>
      </c>
      <c r="H240" s="1023" t="str">
        <f>IF(OR($C240="",$C240="-"),"",VLOOKUP($C240,'Fatores de Emissão'!$D$118:$J$121,2,FALSE))</f>
        <v/>
      </c>
      <c r="I240" s="1023" t="str">
        <f>IF(OR($C240="",$C240="-"),"",VLOOKUP($C240,'Fatores de Emissão'!$D$118:$J$121,4,FALSE))</f>
        <v/>
      </c>
      <c r="J240" s="1023" t="str">
        <f>IF(OR($C240="",$C240="-"),"",VLOOKUP($C240,'Fatores de Emissão'!$D$118:$J$121,6,FALSE))</f>
        <v/>
      </c>
      <c r="K240" s="1023" t="str">
        <f t="shared" si="18"/>
        <v/>
      </c>
      <c r="L240" s="1023" t="str">
        <f>IF(D240="","",$D240*I240*$E240/1000*'Fatores de Emissão'!$E$258)</f>
        <v/>
      </c>
      <c r="M240" s="1023" t="str">
        <f>IF(E240="","",$D240*J240*$E240/1000*'Fatores de Emissão'!$E$259)</f>
        <v/>
      </c>
      <c r="N240" s="851" t="str">
        <f t="shared" si="19"/>
        <v/>
      </c>
      <c r="O240" s="1080" t="str">
        <f t="shared" si="17"/>
        <v/>
      </c>
    </row>
    <row r="241" spans="2:15" s="240" customFormat="1" ht="21" hidden="1" customHeight="1" outlineLevel="2" x14ac:dyDescent="0.25">
      <c r="B241" s="278"/>
      <c r="C241" s="176"/>
      <c r="D241" s="243"/>
      <c r="E241" s="243"/>
      <c r="F241" s="1097"/>
      <c r="G241" s="1023" t="str">
        <f>IF(OR($C241="",$C241="-"),"",VLOOKUP($C241,'Fatores de Emissão'!$D$118:$J$121,3,FALSE))</f>
        <v/>
      </c>
      <c r="H241" s="1023" t="str">
        <f>IF(OR($C241="",$C241="-"),"",VLOOKUP($C241,'Fatores de Emissão'!$D$118:$J$121,2,FALSE))</f>
        <v/>
      </c>
      <c r="I241" s="1023" t="str">
        <f>IF(OR($C241="",$C241="-"),"",VLOOKUP($C241,'Fatores de Emissão'!$D$118:$J$121,4,FALSE))</f>
        <v/>
      </c>
      <c r="J241" s="1023" t="str">
        <f>IF(OR($C241="",$C241="-"),"",VLOOKUP($C241,'Fatores de Emissão'!$D$118:$J$121,6,FALSE))</f>
        <v/>
      </c>
      <c r="K241" s="1023" t="str">
        <f t="shared" si="18"/>
        <v/>
      </c>
      <c r="L241" s="1023" t="str">
        <f>IF(D241="","",$D241*I241*$E241/1000*'Fatores de Emissão'!$E$258)</f>
        <v/>
      </c>
      <c r="M241" s="1023" t="str">
        <f>IF(E241="","",$D241*J241*$E241/1000*'Fatores de Emissão'!$E$259)</f>
        <v/>
      </c>
      <c r="N241" s="851" t="str">
        <f t="shared" si="19"/>
        <v/>
      </c>
      <c r="O241" s="1080" t="str">
        <f t="shared" si="17"/>
        <v/>
      </c>
    </row>
    <row r="242" spans="2:15" s="240" customFormat="1" ht="21" hidden="1" customHeight="1" outlineLevel="2" x14ac:dyDescent="0.25">
      <c r="B242" s="278"/>
      <c r="C242" s="176"/>
      <c r="D242" s="243"/>
      <c r="E242" s="243"/>
      <c r="F242" s="1097"/>
      <c r="G242" s="1023" t="str">
        <f>IF(OR($C242="",$C242="-"),"",VLOOKUP($C242,'Fatores de Emissão'!$D$118:$J$121,3,FALSE))</f>
        <v/>
      </c>
      <c r="H242" s="1023" t="str">
        <f>IF(OR($C242="",$C242="-"),"",VLOOKUP($C242,'Fatores de Emissão'!$D$118:$J$121,2,FALSE))</f>
        <v/>
      </c>
      <c r="I242" s="1023" t="str">
        <f>IF(OR($C242="",$C242="-"),"",VLOOKUP($C242,'Fatores de Emissão'!$D$118:$J$121,4,FALSE))</f>
        <v/>
      </c>
      <c r="J242" s="1023" t="str">
        <f>IF(OR($C242="",$C242="-"),"",VLOOKUP($C242,'Fatores de Emissão'!$D$118:$J$121,6,FALSE))</f>
        <v/>
      </c>
      <c r="K242" s="1023" t="str">
        <f t="shared" si="18"/>
        <v/>
      </c>
      <c r="L242" s="1023" t="str">
        <f>IF(D242="","",$D242*I242*$E242/1000*'Fatores de Emissão'!$E$258)</f>
        <v/>
      </c>
      <c r="M242" s="1023" t="str">
        <f>IF(E242="","",$D242*J242*$E242/1000*'Fatores de Emissão'!$E$259)</f>
        <v/>
      </c>
      <c r="N242" s="851" t="str">
        <f t="shared" si="19"/>
        <v/>
      </c>
      <c r="O242" s="1080" t="str">
        <f t="shared" si="17"/>
        <v/>
      </c>
    </row>
    <row r="243" spans="2:15" s="240" customFormat="1" ht="21" hidden="1" customHeight="1" outlineLevel="2" x14ac:dyDescent="0.25">
      <c r="B243" s="278"/>
      <c r="C243" s="176"/>
      <c r="D243" s="243"/>
      <c r="E243" s="243"/>
      <c r="F243" s="1097"/>
      <c r="G243" s="1023" t="str">
        <f>IF(OR($C243="",$C243="-"),"",VLOOKUP($C243,'Fatores de Emissão'!$D$118:$J$121,3,FALSE))</f>
        <v/>
      </c>
      <c r="H243" s="1023" t="str">
        <f>IF(OR($C243="",$C243="-"),"",VLOOKUP($C243,'Fatores de Emissão'!$D$118:$J$121,2,FALSE))</f>
        <v/>
      </c>
      <c r="I243" s="1023" t="str">
        <f>IF(OR($C243="",$C243="-"),"",VLOOKUP($C243,'Fatores de Emissão'!$D$118:$J$121,4,FALSE))</f>
        <v/>
      </c>
      <c r="J243" s="1023" t="str">
        <f>IF(OR($C243="",$C243="-"),"",VLOOKUP($C243,'Fatores de Emissão'!$D$118:$J$121,6,FALSE))</f>
        <v/>
      </c>
      <c r="K243" s="1023" t="str">
        <f t="shared" si="18"/>
        <v/>
      </c>
      <c r="L243" s="1023" t="str">
        <f>IF(D243="","",$D243*I243*$E243/1000*'Fatores de Emissão'!$E$258)</f>
        <v/>
      </c>
      <c r="M243" s="1023" t="str">
        <f>IF(E243="","",$D243*J243*$E243/1000*'Fatores de Emissão'!$E$259)</f>
        <v/>
      </c>
      <c r="N243" s="851" t="str">
        <f t="shared" si="19"/>
        <v/>
      </c>
      <c r="O243" s="1080" t="str">
        <f t="shared" si="17"/>
        <v/>
      </c>
    </row>
    <row r="244" spans="2:15" s="240" customFormat="1" ht="21" hidden="1" customHeight="1" outlineLevel="2" x14ac:dyDescent="0.25">
      <c r="B244" s="278"/>
      <c r="C244" s="176"/>
      <c r="D244" s="243"/>
      <c r="E244" s="243"/>
      <c r="F244" s="1097"/>
      <c r="G244" s="1023" t="str">
        <f>IF(OR($C244="",$C244="-"),"",VLOOKUP($C244,'Fatores de Emissão'!$D$118:$J$121,3,FALSE))</f>
        <v/>
      </c>
      <c r="H244" s="1023" t="str">
        <f>IF(OR($C244="",$C244="-"),"",VLOOKUP($C244,'Fatores de Emissão'!$D$118:$J$121,2,FALSE))</f>
        <v/>
      </c>
      <c r="I244" s="1023" t="str">
        <f>IF(OR($C244="",$C244="-"),"",VLOOKUP($C244,'Fatores de Emissão'!$D$118:$J$121,4,FALSE))</f>
        <v/>
      </c>
      <c r="J244" s="1023" t="str">
        <f>IF(OR($C244="",$C244="-"),"",VLOOKUP($C244,'Fatores de Emissão'!$D$118:$J$121,6,FALSE))</f>
        <v/>
      </c>
      <c r="K244" s="1023" t="str">
        <f t="shared" si="18"/>
        <v/>
      </c>
      <c r="L244" s="1023" t="str">
        <f>IF(D244="","",$D244*I244*$E244/1000*'Fatores de Emissão'!$E$258)</f>
        <v/>
      </c>
      <c r="M244" s="1023" t="str">
        <f>IF(E244="","",$D244*J244*$E244/1000*'Fatores de Emissão'!$E$259)</f>
        <v/>
      </c>
      <c r="N244" s="851" t="str">
        <f t="shared" si="19"/>
        <v/>
      </c>
      <c r="O244" s="1080" t="str">
        <f t="shared" si="17"/>
        <v/>
      </c>
    </row>
    <row r="245" spans="2:15" s="240" customFormat="1" ht="21" hidden="1" customHeight="1" outlineLevel="2" x14ac:dyDescent="0.25">
      <c r="B245" s="278"/>
      <c r="C245" s="176"/>
      <c r="D245" s="243"/>
      <c r="E245" s="243"/>
      <c r="F245" s="1097"/>
      <c r="G245" s="1023" t="str">
        <f>IF(OR($C245="",$C245="-"),"",VLOOKUP($C245,'Fatores de Emissão'!$D$118:$J$121,3,FALSE))</f>
        <v/>
      </c>
      <c r="H245" s="1023" t="str">
        <f>IF(OR($C245="",$C245="-"),"",VLOOKUP($C245,'Fatores de Emissão'!$D$118:$J$121,2,FALSE))</f>
        <v/>
      </c>
      <c r="I245" s="1023" t="str">
        <f>IF(OR($C245="",$C245="-"),"",VLOOKUP($C245,'Fatores de Emissão'!$D$118:$J$121,4,FALSE))</f>
        <v/>
      </c>
      <c r="J245" s="1023" t="str">
        <f>IF(OR($C245="",$C245="-"),"",VLOOKUP($C245,'Fatores de Emissão'!$D$118:$J$121,6,FALSE))</f>
        <v/>
      </c>
      <c r="K245" s="1023" t="str">
        <f t="shared" si="18"/>
        <v/>
      </c>
      <c r="L245" s="1023" t="str">
        <f>IF(D245="","",$D245*I245*$E245/1000*'Fatores de Emissão'!$E$258)</f>
        <v/>
      </c>
      <c r="M245" s="1023" t="str">
        <f>IF(E245="","",$D245*J245*$E245/1000*'Fatores de Emissão'!$E$259)</f>
        <v/>
      </c>
      <c r="N245" s="851" t="str">
        <f t="shared" si="19"/>
        <v/>
      </c>
      <c r="O245" s="1080" t="str">
        <f t="shared" si="17"/>
        <v/>
      </c>
    </row>
    <row r="246" spans="2:15" s="240" customFormat="1" ht="21" hidden="1" customHeight="1" outlineLevel="2" x14ac:dyDescent="0.25">
      <c r="B246" s="278"/>
      <c r="C246" s="176"/>
      <c r="D246" s="243"/>
      <c r="E246" s="243"/>
      <c r="F246" s="1097"/>
      <c r="G246" s="1023" t="str">
        <f>IF(OR($C246="",$C246="-"),"",VLOOKUP($C246,'Fatores de Emissão'!$D$118:$J$121,3,FALSE))</f>
        <v/>
      </c>
      <c r="H246" s="1023" t="str">
        <f>IF(OR($C246="",$C246="-"),"",VLOOKUP($C246,'Fatores de Emissão'!$D$118:$J$121,2,FALSE))</f>
        <v/>
      </c>
      <c r="I246" s="1023" t="str">
        <f>IF(OR($C246="",$C246="-"),"",VLOOKUP($C246,'Fatores de Emissão'!$D$118:$J$121,4,FALSE))</f>
        <v/>
      </c>
      <c r="J246" s="1023" t="str">
        <f>IF(OR($C246="",$C246="-"),"",VLOOKUP($C246,'Fatores de Emissão'!$D$118:$J$121,6,FALSE))</f>
        <v/>
      </c>
      <c r="K246" s="1023" t="str">
        <f t="shared" si="18"/>
        <v/>
      </c>
      <c r="L246" s="1023" t="str">
        <f>IF(D246="","",$D246*I246*$E246/1000*'Fatores de Emissão'!$E$258)</f>
        <v/>
      </c>
      <c r="M246" s="1023" t="str">
        <f>IF(E246="","",$D246*J246*$E246/1000*'Fatores de Emissão'!$E$259)</f>
        <v/>
      </c>
      <c r="N246" s="851" t="str">
        <f t="shared" si="19"/>
        <v/>
      </c>
      <c r="O246" s="1080" t="str">
        <f t="shared" si="17"/>
        <v/>
      </c>
    </row>
    <row r="247" spans="2:15" s="240" customFormat="1" ht="21" hidden="1" customHeight="1" outlineLevel="2" x14ac:dyDescent="0.25">
      <c r="B247" s="278"/>
      <c r="C247" s="176"/>
      <c r="D247" s="243"/>
      <c r="E247" s="243"/>
      <c r="F247" s="1097"/>
      <c r="G247" s="1023" t="str">
        <f>IF(OR($C247="",$C247="-"),"",VLOOKUP($C247,'Fatores de Emissão'!$D$118:$J$121,3,FALSE))</f>
        <v/>
      </c>
      <c r="H247" s="1023" t="str">
        <f>IF(OR($C247="",$C247="-"),"",VLOOKUP($C247,'Fatores de Emissão'!$D$118:$J$121,2,FALSE))</f>
        <v/>
      </c>
      <c r="I247" s="1023" t="str">
        <f>IF(OR($C247="",$C247="-"),"",VLOOKUP($C247,'Fatores de Emissão'!$D$118:$J$121,4,FALSE))</f>
        <v/>
      </c>
      <c r="J247" s="1023" t="str">
        <f>IF(OR($C247="",$C247="-"),"",VLOOKUP($C247,'Fatores de Emissão'!$D$118:$J$121,6,FALSE))</f>
        <v/>
      </c>
      <c r="K247" s="1023" t="str">
        <f t="shared" si="18"/>
        <v/>
      </c>
      <c r="L247" s="1023" t="str">
        <f>IF(D247="","",$D247*I247*$E247/1000*'Fatores de Emissão'!$E$258)</f>
        <v/>
      </c>
      <c r="M247" s="1023" t="str">
        <f>IF(E247="","",$D247*J247*$E247/1000*'Fatores de Emissão'!$E$259)</f>
        <v/>
      </c>
      <c r="N247" s="851" t="str">
        <f t="shared" si="19"/>
        <v/>
      </c>
      <c r="O247" s="1080" t="str">
        <f t="shared" si="17"/>
        <v/>
      </c>
    </row>
    <row r="248" spans="2:15" s="240" customFormat="1" ht="21" hidden="1" customHeight="1" outlineLevel="2" x14ac:dyDescent="0.25">
      <c r="B248" s="278"/>
      <c r="C248" s="176"/>
      <c r="D248" s="243"/>
      <c r="E248" s="243"/>
      <c r="F248" s="1097"/>
      <c r="G248" s="1023" t="str">
        <f>IF(OR($C248="",$C248="-"),"",VLOOKUP($C248,'Fatores de Emissão'!$D$118:$J$121,3,FALSE))</f>
        <v/>
      </c>
      <c r="H248" s="1023" t="str">
        <f>IF(OR($C248="",$C248="-"),"",VLOOKUP($C248,'Fatores de Emissão'!$D$118:$J$121,2,FALSE))</f>
        <v/>
      </c>
      <c r="I248" s="1023" t="str">
        <f>IF(OR($C248="",$C248="-"),"",VLOOKUP($C248,'Fatores de Emissão'!$D$118:$J$121,4,FALSE))</f>
        <v/>
      </c>
      <c r="J248" s="1023" t="str">
        <f>IF(OR($C248="",$C248="-"),"",VLOOKUP($C248,'Fatores de Emissão'!$D$118:$J$121,6,FALSE))</f>
        <v/>
      </c>
      <c r="K248" s="1023" t="str">
        <f t="shared" si="18"/>
        <v/>
      </c>
      <c r="L248" s="1023" t="str">
        <f>IF(D248="","",$D248*I248*$E248/1000*'Fatores de Emissão'!$E$258)</f>
        <v/>
      </c>
      <c r="M248" s="1023" t="str">
        <f>IF(E248="","",$D248*J248*$E248/1000*'Fatores de Emissão'!$E$259)</f>
        <v/>
      </c>
      <c r="N248" s="851" t="str">
        <f t="shared" si="19"/>
        <v/>
      </c>
      <c r="O248" s="1080" t="str">
        <f t="shared" si="17"/>
        <v/>
      </c>
    </row>
    <row r="249" spans="2:15" s="240" customFormat="1" ht="21" hidden="1" customHeight="1" outlineLevel="2" x14ac:dyDescent="0.25">
      <c r="B249" s="278"/>
      <c r="C249" s="176"/>
      <c r="D249" s="243"/>
      <c r="E249" s="243"/>
      <c r="F249" s="1097"/>
      <c r="G249" s="1023" t="str">
        <f>IF(OR($C249="",$C249="-"),"",VLOOKUP($C249,'Fatores de Emissão'!$D$118:$J$121,3,FALSE))</f>
        <v/>
      </c>
      <c r="H249" s="1023" t="str">
        <f>IF(OR($C249="",$C249="-"),"",VLOOKUP($C249,'Fatores de Emissão'!$D$118:$J$121,2,FALSE))</f>
        <v/>
      </c>
      <c r="I249" s="1023" t="str">
        <f>IF(OR($C249="",$C249="-"),"",VLOOKUP($C249,'Fatores de Emissão'!$D$118:$J$121,4,FALSE))</f>
        <v/>
      </c>
      <c r="J249" s="1023" t="str">
        <f>IF(OR($C249="",$C249="-"),"",VLOOKUP($C249,'Fatores de Emissão'!$D$118:$J$121,6,FALSE))</f>
        <v/>
      </c>
      <c r="K249" s="1023" t="str">
        <f t="shared" si="18"/>
        <v/>
      </c>
      <c r="L249" s="1023" t="str">
        <f>IF(D249="","",$D249*I249*$E249/1000*'Fatores de Emissão'!$E$258)</f>
        <v/>
      </c>
      <c r="M249" s="1023" t="str">
        <f>IF(E249="","",$D249*J249*$E249/1000*'Fatores de Emissão'!$E$259)</f>
        <v/>
      </c>
      <c r="N249" s="851" t="str">
        <f t="shared" si="19"/>
        <v/>
      </c>
      <c r="O249" s="1080" t="str">
        <f t="shared" si="17"/>
        <v/>
      </c>
    </row>
    <row r="250" spans="2:15" s="240" customFormat="1" ht="21" hidden="1" customHeight="1" outlineLevel="2" x14ac:dyDescent="0.25">
      <c r="B250" s="278"/>
      <c r="C250" s="176"/>
      <c r="D250" s="243"/>
      <c r="E250" s="243"/>
      <c r="F250" s="1097"/>
      <c r="G250" s="1023" t="str">
        <f>IF(OR($C250="",$C250="-"),"",VLOOKUP($C250,'Fatores de Emissão'!$D$118:$J$121,3,FALSE))</f>
        <v/>
      </c>
      <c r="H250" s="1023" t="str">
        <f>IF(OR($C250="",$C250="-"),"",VLOOKUP($C250,'Fatores de Emissão'!$D$118:$J$121,2,FALSE))</f>
        <v/>
      </c>
      <c r="I250" s="1023" t="str">
        <f>IF(OR($C250="",$C250="-"),"",VLOOKUP($C250,'Fatores de Emissão'!$D$118:$J$121,4,FALSE))</f>
        <v/>
      </c>
      <c r="J250" s="1023" t="str">
        <f>IF(OR($C250="",$C250="-"),"",VLOOKUP($C250,'Fatores de Emissão'!$D$118:$J$121,6,FALSE))</f>
        <v/>
      </c>
      <c r="K250" s="1023" t="str">
        <f t="shared" si="18"/>
        <v/>
      </c>
      <c r="L250" s="1023" t="str">
        <f>IF(D250="","",$D250*I250*$E250/1000*'Fatores de Emissão'!$E$258)</f>
        <v/>
      </c>
      <c r="M250" s="1023" t="str">
        <f>IF(E250="","",$D250*J250*$E250/1000*'Fatores de Emissão'!$E$259)</f>
        <v/>
      </c>
      <c r="N250" s="851" t="str">
        <f t="shared" si="19"/>
        <v/>
      </c>
      <c r="O250" s="1080" t="str">
        <f t="shared" si="17"/>
        <v/>
      </c>
    </row>
    <row r="251" spans="2:15" s="240" customFormat="1" ht="21" customHeight="1" outlineLevel="1" collapsed="1" x14ac:dyDescent="0.25">
      <c r="B251" s="1020" t="s">
        <v>37</v>
      </c>
      <c r="C251" s="1021"/>
      <c r="D251" s="1021"/>
      <c r="E251" s="1021"/>
      <c r="F251" s="1021"/>
      <c r="G251" s="1021"/>
      <c r="H251" s="1021"/>
      <c r="I251" s="1021"/>
      <c r="J251" s="1022"/>
      <c r="K251" s="1023">
        <f>SUM(K151:K250)</f>
        <v>0</v>
      </c>
      <c r="L251" s="1023">
        <f>SUM(L151:L250)</f>
        <v>0</v>
      </c>
      <c r="M251" s="1023">
        <f>SUM(M151:M250)</f>
        <v>0</v>
      </c>
      <c r="N251" s="1023">
        <f>SUM(N151:N250)</f>
        <v>0</v>
      </c>
    </row>
    <row r="252" spans="2:15" ht="21" customHeight="1" outlineLevel="1" x14ac:dyDescent="0.25"/>
    <row r="253" spans="2:15" x14ac:dyDescent="0.25">
      <c r="B253" s="839"/>
    </row>
    <row r="254" spans="2:15" x14ac:dyDescent="0.25">
      <c r="B254" s="839"/>
    </row>
    <row r="255" spans="2:15" x14ac:dyDescent="0.25"/>
    <row r="256" spans="2:15" s="332" customFormat="1" ht="30" customHeight="1" x14ac:dyDescent="0.25">
      <c r="B256" s="231" t="s">
        <v>1727</v>
      </c>
    </row>
    <row r="257" spans="1:16" x14ac:dyDescent="0.25"/>
    <row r="258" spans="1:16" outlineLevel="1" x14ac:dyDescent="0.25">
      <c r="B258" s="837" t="s">
        <v>24</v>
      </c>
      <c r="C258" s="778"/>
      <c r="D258" s="778"/>
      <c r="E258" s="778"/>
      <c r="F258" s="778"/>
      <c r="G258" s="778"/>
      <c r="H258" s="778"/>
      <c r="I258" s="778"/>
      <c r="J258" s="778"/>
      <c r="K258" s="778"/>
      <c r="L258" s="778"/>
      <c r="M258" s="778"/>
    </row>
    <row r="259" spans="1:16" s="240" customFormat="1" outlineLevel="1" x14ac:dyDescent="0.25">
      <c r="B259" s="840" t="s">
        <v>551</v>
      </c>
      <c r="C259" s="841"/>
      <c r="D259" s="842"/>
      <c r="E259" s="842"/>
      <c r="F259" s="842"/>
      <c r="G259" s="842"/>
      <c r="H259" s="842"/>
      <c r="I259" s="842"/>
      <c r="J259" s="842"/>
      <c r="K259" s="842"/>
      <c r="L259" s="842"/>
      <c r="M259" s="842"/>
    </row>
    <row r="260" spans="1:16" s="240" customFormat="1" outlineLevel="1" x14ac:dyDescent="0.25">
      <c r="B260" s="843" t="s">
        <v>1497</v>
      </c>
      <c r="C260" s="841"/>
      <c r="D260" s="842"/>
      <c r="E260" s="842"/>
      <c r="F260" s="842"/>
      <c r="G260" s="842"/>
      <c r="H260" s="842"/>
      <c r="I260" s="842"/>
      <c r="J260" s="842"/>
      <c r="K260" s="842"/>
      <c r="L260" s="842"/>
      <c r="M260" s="842"/>
    </row>
    <row r="261" spans="1:16" s="240" customFormat="1" outlineLevel="1" x14ac:dyDescent="0.25">
      <c r="B261" s="844" t="s">
        <v>1498</v>
      </c>
      <c r="C261" s="841"/>
      <c r="D261" s="842"/>
      <c r="E261" s="842"/>
      <c r="F261" s="842"/>
      <c r="G261" s="842"/>
      <c r="H261" s="842"/>
      <c r="I261" s="842"/>
      <c r="J261" s="842"/>
      <c r="K261" s="842"/>
      <c r="L261" s="842"/>
      <c r="M261" s="842"/>
    </row>
    <row r="262" spans="1:16" s="240" customFormat="1" outlineLevel="1" x14ac:dyDescent="0.25">
      <c r="B262" s="844" t="s">
        <v>1636</v>
      </c>
      <c r="C262" s="841"/>
      <c r="D262" s="842"/>
      <c r="E262" s="842"/>
      <c r="F262" s="842"/>
      <c r="G262" s="842"/>
      <c r="H262" s="842"/>
      <c r="I262" s="842"/>
      <c r="J262" s="842"/>
      <c r="K262" s="842"/>
      <c r="L262" s="842"/>
      <c r="M262" s="842"/>
      <c r="P262" s="235"/>
    </row>
    <row r="263" spans="1:16" s="240" customFormat="1" outlineLevel="1" x14ac:dyDescent="0.25">
      <c r="B263" s="843" t="s">
        <v>1499</v>
      </c>
      <c r="C263" s="841"/>
      <c r="D263" s="842"/>
      <c r="E263" s="842"/>
      <c r="F263" s="842"/>
      <c r="G263" s="842"/>
      <c r="H263" s="842"/>
      <c r="I263" s="842"/>
      <c r="J263" s="842"/>
      <c r="K263" s="842"/>
      <c r="L263" s="842"/>
      <c r="M263" s="842"/>
      <c r="P263" s="235"/>
    </row>
    <row r="264" spans="1:16" s="240" customFormat="1" outlineLevel="1" x14ac:dyDescent="0.25">
      <c r="B264" s="844" t="s">
        <v>1500</v>
      </c>
      <c r="C264" s="841"/>
      <c r="D264" s="842"/>
      <c r="E264" s="842"/>
      <c r="F264" s="842"/>
      <c r="G264" s="842"/>
      <c r="H264" s="842"/>
      <c r="I264" s="842"/>
      <c r="J264" s="842"/>
      <c r="K264" s="842"/>
      <c r="L264" s="842"/>
      <c r="M264" s="842"/>
      <c r="P264" s="235"/>
    </row>
    <row r="265" spans="1:16" s="240" customFormat="1" ht="11.25" customHeight="1" outlineLevel="1" x14ac:dyDescent="0.25">
      <c r="B265" s="843"/>
      <c r="C265" s="841"/>
      <c r="D265" s="842"/>
      <c r="E265" s="842"/>
      <c r="F265" s="842"/>
      <c r="G265" s="842"/>
      <c r="H265" s="842"/>
      <c r="I265" s="842"/>
      <c r="J265" s="842"/>
      <c r="K265" s="842"/>
      <c r="L265" s="842"/>
      <c r="M265" s="842"/>
      <c r="P265" s="235"/>
    </row>
    <row r="266" spans="1:16" s="240" customFormat="1" outlineLevel="1" x14ac:dyDescent="0.25">
      <c r="P266" s="235"/>
    </row>
    <row r="267" spans="1:16" s="240" customFormat="1" ht="23.25" customHeight="1" outlineLevel="1" x14ac:dyDescent="0.25">
      <c r="B267" s="765" t="s">
        <v>1501</v>
      </c>
      <c r="P267" s="235"/>
    </row>
    <row r="268" spans="1:16" s="240" customFormat="1" ht="45.75" customHeight="1" outlineLevel="1" x14ac:dyDescent="0.25">
      <c r="B268" s="1184" t="s">
        <v>1726</v>
      </c>
      <c r="C268" s="1184" t="s">
        <v>629</v>
      </c>
      <c r="D268" s="1233" t="s">
        <v>38</v>
      </c>
      <c r="E268" s="1184" t="s">
        <v>636</v>
      </c>
      <c r="F268" s="1184" t="s">
        <v>635</v>
      </c>
      <c r="G268" s="1185" t="s">
        <v>1707</v>
      </c>
      <c r="H268" s="1233" t="s">
        <v>894</v>
      </c>
      <c r="I268" s="1234"/>
      <c r="J268" s="1235"/>
      <c r="K268" s="1233" t="s">
        <v>895</v>
      </c>
      <c r="L268" s="1234"/>
      <c r="M268" s="1235"/>
      <c r="N268" s="1184" t="s">
        <v>1635</v>
      </c>
    </row>
    <row r="269" spans="1:16" s="240" customFormat="1" ht="17.45" customHeight="1" outlineLevel="1" x14ac:dyDescent="0.25">
      <c r="B269" s="1185"/>
      <c r="C269" s="1185"/>
      <c r="D269" s="1190"/>
      <c r="E269" s="1185"/>
      <c r="F269" s="1185"/>
      <c r="G269" s="1185"/>
      <c r="H269" s="1191"/>
      <c r="I269" s="1236"/>
      <c r="J269" s="1237"/>
      <c r="K269" s="1191"/>
      <c r="L269" s="1236"/>
      <c r="M269" s="1237"/>
      <c r="N269" s="1185"/>
    </row>
    <row r="270" spans="1:16" s="240" customFormat="1" ht="17.45" customHeight="1" outlineLevel="1" x14ac:dyDescent="0.25">
      <c r="B270" s="1185"/>
      <c r="C270" s="1185"/>
      <c r="D270" s="1190"/>
      <c r="E270" s="1185"/>
      <c r="F270" s="1185"/>
      <c r="G270" s="1185"/>
      <c r="H270" s="1184" t="s">
        <v>1021</v>
      </c>
      <c r="I270" s="1184" t="s">
        <v>1022</v>
      </c>
      <c r="J270" s="1184" t="s">
        <v>1023</v>
      </c>
      <c r="K270" s="1184" t="s">
        <v>1021</v>
      </c>
      <c r="L270" s="1184" t="s">
        <v>1022</v>
      </c>
      <c r="M270" s="1184" t="s">
        <v>1023</v>
      </c>
      <c r="N270" s="1185"/>
    </row>
    <row r="271" spans="1:16" s="240" customFormat="1" ht="17.45" customHeight="1" outlineLevel="1" x14ac:dyDescent="0.25">
      <c r="B271" s="1186"/>
      <c r="C271" s="1186"/>
      <c r="D271" s="1191"/>
      <c r="E271" s="1076" t="str">
        <f>IF(COUNTIF(O273:O372,"Erro, confira o valor da distância percorrida")&gt;0,"Erro: confira of valores desta coluna","")</f>
        <v/>
      </c>
      <c r="F271" s="1186"/>
      <c r="G271" s="1186"/>
      <c r="H271" s="1186"/>
      <c r="I271" s="1186"/>
      <c r="J271" s="1186"/>
      <c r="K271" s="1186"/>
      <c r="L271" s="1186"/>
      <c r="M271" s="1186"/>
      <c r="N271" s="1186"/>
    </row>
    <row r="272" spans="1:16" s="849" customFormat="1" ht="30" customHeight="1" outlineLevel="1" x14ac:dyDescent="0.25">
      <c r="A272" s="845" t="s">
        <v>36</v>
      </c>
      <c r="B272" s="846" t="s">
        <v>1502</v>
      </c>
      <c r="C272" s="846" t="s">
        <v>1503</v>
      </c>
      <c r="D272" s="846" t="s">
        <v>1080</v>
      </c>
      <c r="E272" s="1098">
        <v>1200</v>
      </c>
      <c r="F272" s="846" t="s">
        <v>31</v>
      </c>
      <c r="G272" s="847"/>
      <c r="H272" s="848">
        <v>2.6279834724</v>
      </c>
      <c r="I272" s="848">
        <v>1.293948432E-11</v>
      </c>
      <c r="J272" s="848">
        <v>7.7636905919999992E-13</v>
      </c>
      <c r="K272" s="848">
        <v>3.1535801668799999</v>
      </c>
      <c r="L272" s="848">
        <v>1.5527381184000001E-11</v>
      </c>
      <c r="M272" s="848">
        <v>9.3164287103999994E-13</v>
      </c>
      <c r="N272" s="848">
        <v>3.1535801675616519</v>
      </c>
    </row>
    <row r="273" spans="2:15" s="268" customFormat="1" ht="30" customHeight="1" outlineLevel="1" x14ac:dyDescent="0.25">
      <c r="B273" s="278"/>
      <c r="C273" s="1104"/>
      <c r="D273" s="850" t="str">
        <f>IF(C273="","",VLOOKUP(C273,'Fatores de Emissão'!$C$145:$K$156,2,FALSE))</f>
        <v/>
      </c>
      <c r="E273" s="333"/>
      <c r="F273" s="850" t="str">
        <f>IF(C273="","",VLOOKUP($C273,'Fatores de Emissão'!$C$145:$K$156,3,FALSE))</f>
        <v/>
      </c>
      <c r="G273" s="333"/>
      <c r="H273" s="851" t="str">
        <f>IF(C273="","",VLOOKUP($C273,'Fatores de Emissão'!$C$145:$K$156,4,FALSE))</f>
        <v/>
      </c>
      <c r="I273" s="851" t="str">
        <f>IF(C273="","",VLOOKUP(C273,'Fatores de Emissão'!$C$145:$K$156,6,FALSE))</f>
        <v/>
      </c>
      <c r="J273" s="851" t="str">
        <f>IF(C273="","",VLOOKUP(C273,'Fatores de Emissão'!$C$145:$K$156,8,FALSE))</f>
        <v/>
      </c>
      <c r="K273" s="851" t="str">
        <f t="shared" ref="K273:K305" si="20">IF(C273="","",H273*$E273/1000)</f>
        <v/>
      </c>
      <c r="L273" s="851" t="str">
        <f>IF(C273="","",I273*$E273/1000)</f>
        <v/>
      </c>
      <c r="M273" s="851" t="str">
        <f t="shared" ref="M273:M305" si="21">IF(C273="","",J273*$E273/1000)</f>
        <v/>
      </c>
      <c r="N273" s="852" t="str">
        <f>IF(C273="","",IF(C273="","",K273*'Fatores de Emissão'!$E$262+'Combustão Móvel'!L273*'Fatores de Emissão'!$E$258+'Combustão Móvel'!M273*'Fatores de Emissão'!$E$259))</f>
        <v/>
      </c>
      <c r="O273" s="1080" t="str">
        <f t="shared" ref="O273:O305" si="22">IF(E273="","",IFERROR(E273*1,"Erro, confira o valor da distância percorrida"))</f>
        <v/>
      </c>
    </row>
    <row r="274" spans="2:15" ht="30" customHeight="1" outlineLevel="1" x14ac:dyDescent="0.25">
      <c r="B274" s="278"/>
      <c r="C274" s="278"/>
      <c r="D274" s="850" t="str">
        <f>IF(C274="","",VLOOKUP(C274,'Fatores de Emissão'!$C$145:$K$156,2,FALSE))</f>
        <v/>
      </c>
      <c r="E274" s="333"/>
      <c r="F274" s="850" t="str">
        <f>IF(C274="","",VLOOKUP($C274,'Fatores de Emissão'!$C$145:$K$156,3,FALSE))</f>
        <v/>
      </c>
      <c r="G274" s="333"/>
      <c r="H274" s="851" t="str">
        <f>IF(C274="","",VLOOKUP($C274,'Fatores de Emissão'!$C$145:$K$156,4,FALSE))</f>
        <v/>
      </c>
      <c r="I274" s="851" t="str">
        <f>IF(C274="","",VLOOKUP(C274,'Fatores de Emissão'!$C$145:$K$156,6,FALSE))</f>
        <v/>
      </c>
      <c r="J274" s="851" t="str">
        <f>IF(C274="","",VLOOKUP(C274,'Fatores de Emissão'!$C$145:$K$156,8,FALSE))</f>
        <v/>
      </c>
      <c r="K274" s="851" t="str">
        <f t="shared" si="20"/>
        <v/>
      </c>
      <c r="L274" s="851" t="str">
        <f t="shared" ref="L274:L305" si="23">IF(D274="","",I274*$E274/1000)</f>
        <v/>
      </c>
      <c r="M274" s="851" t="str">
        <f t="shared" si="21"/>
        <v/>
      </c>
      <c r="N274" s="852" t="str">
        <f>IF(C274="","",IF(C274="","",K274*'Fatores de Emissão'!$E$262+'Combustão Móvel'!L274*'Fatores de Emissão'!$E$258+'Combustão Móvel'!M274*'Fatores de Emissão'!$E$259))</f>
        <v/>
      </c>
      <c r="O274" s="1080" t="str">
        <f t="shared" si="22"/>
        <v/>
      </c>
    </row>
    <row r="275" spans="2:15" ht="30" customHeight="1" outlineLevel="1" x14ac:dyDescent="0.25">
      <c r="B275" s="278"/>
      <c r="C275" s="278"/>
      <c r="D275" s="850" t="str">
        <f>IF(C275="","",VLOOKUP(C275,'Fatores de Emissão'!$C$145:$K$156,2,FALSE))</f>
        <v/>
      </c>
      <c r="E275" s="333"/>
      <c r="F275" s="850" t="str">
        <f>IF(C275="","",VLOOKUP($C275,'Fatores de Emissão'!$C$145:$K$156,3,FALSE))</f>
        <v/>
      </c>
      <c r="G275" s="333"/>
      <c r="H275" s="851" t="str">
        <f>IF(C275="","",VLOOKUP($C275,'Fatores de Emissão'!$C$145:$K$156,4,FALSE))</f>
        <v/>
      </c>
      <c r="I275" s="851" t="str">
        <f>IF(C275="","",VLOOKUP(C275,'Fatores de Emissão'!$C$145:$K$156,6,FALSE))</f>
        <v/>
      </c>
      <c r="J275" s="851" t="str">
        <f>IF(C275="","",VLOOKUP(C275,'Fatores de Emissão'!$C$145:$K$156,8,FALSE))</f>
        <v/>
      </c>
      <c r="K275" s="851" t="str">
        <f t="shared" si="20"/>
        <v/>
      </c>
      <c r="L275" s="851" t="str">
        <f t="shared" si="23"/>
        <v/>
      </c>
      <c r="M275" s="851" t="str">
        <f t="shared" si="21"/>
        <v/>
      </c>
      <c r="N275" s="852" t="str">
        <f>IF(C275="","",IF(C275="","",K275*'Fatores de Emissão'!$E$262+'Combustão Móvel'!L275*'Fatores de Emissão'!$E$258+'Combustão Móvel'!M275*'Fatores de Emissão'!$E$259))</f>
        <v/>
      </c>
      <c r="O275" s="1080" t="str">
        <f t="shared" si="22"/>
        <v/>
      </c>
    </row>
    <row r="276" spans="2:15" ht="30" customHeight="1" outlineLevel="1" x14ac:dyDescent="0.25">
      <c r="B276" s="278"/>
      <c r="C276" s="278"/>
      <c r="D276" s="850" t="str">
        <f>IF(C276="","",VLOOKUP(C276,'Fatores de Emissão'!$C$145:$K$156,2,FALSE))</f>
        <v/>
      </c>
      <c r="E276" s="333"/>
      <c r="F276" s="850" t="str">
        <f>IF(C276="","",VLOOKUP($C276,'Fatores de Emissão'!$C$145:$K$156,3,FALSE))</f>
        <v/>
      </c>
      <c r="G276" s="333"/>
      <c r="H276" s="851" t="str">
        <f>IF(C276="","",VLOOKUP($C276,'Fatores de Emissão'!$C$145:$K$156,4,FALSE))</f>
        <v/>
      </c>
      <c r="I276" s="851" t="str">
        <f>IF(C276="","",VLOOKUP(C276,'Fatores de Emissão'!$C$145:$K$156,6,FALSE))</f>
        <v/>
      </c>
      <c r="J276" s="851" t="str">
        <f>IF(C276="","",VLOOKUP(C276,'Fatores de Emissão'!$C$145:$K$156,8,FALSE))</f>
        <v/>
      </c>
      <c r="K276" s="851" t="str">
        <f t="shared" si="20"/>
        <v/>
      </c>
      <c r="L276" s="851" t="str">
        <f t="shared" si="23"/>
        <v/>
      </c>
      <c r="M276" s="851" t="str">
        <f t="shared" si="21"/>
        <v/>
      </c>
      <c r="N276" s="852" t="str">
        <f>IF(C276="","",IF(C276="","",K276*'Fatores de Emissão'!$E$262+'Combustão Móvel'!L276*'Fatores de Emissão'!$E$258+'Combustão Móvel'!M276*'Fatores de Emissão'!$E$259))</f>
        <v/>
      </c>
      <c r="O276" s="1080" t="str">
        <f t="shared" si="22"/>
        <v/>
      </c>
    </row>
    <row r="277" spans="2:15" ht="30" customHeight="1" outlineLevel="1" x14ac:dyDescent="0.25">
      <c r="B277" s="278"/>
      <c r="C277" s="278"/>
      <c r="D277" s="850" t="str">
        <f>IF(C277="","",VLOOKUP(C277,'Fatores de Emissão'!$C$145:$K$156,2,FALSE))</f>
        <v/>
      </c>
      <c r="E277" s="333"/>
      <c r="F277" s="850" t="str">
        <f>IF(C277="","",VLOOKUP($C277,'Fatores de Emissão'!$C$145:$K$156,3,FALSE))</f>
        <v/>
      </c>
      <c r="G277" s="333"/>
      <c r="H277" s="851" t="str">
        <f>IF(C277="","",VLOOKUP($C277,'Fatores de Emissão'!$C$145:$K$156,4,FALSE))</f>
        <v/>
      </c>
      <c r="I277" s="851" t="str">
        <f>IF(C277="","",VLOOKUP(C277,'Fatores de Emissão'!$C$145:$K$156,6,FALSE))</f>
        <v/>
      </c>
      <c r="J277" s="851" t="str">
        <f>IF(C277="","",VLOOKUP(C277,'Fatores de Emissão'!$C$145:$K$156,8,FALSE))</f>
        <v/>
      </c>
      <c r="K277" s="851" t="str">
        <f t="shared" si="20"/>
        <v/>
      </c>
      <c r="L277" s="851" t="str">
        <f t="shared" si="23"/>
        <v/>
      </c>
      <c r="M277" s="851" t="str">
        <f t="shared" si="21"/>
        <v/>
      </c>
      <c r="N277" s="852" t="str">
        <f>IF(C277="","",IF(C277="","",K277*'Fatores de Emissão'!$E$262+'Combustão Móvel'!L277*'Fatores de Emissão'!$E$258+'Combustão Móvel'!M277*'Fatores de Emissão'!$E$259))</f>
        <v/>
      </c>
      <c r="O277" s="1080" t="str">
        <f t="shared" si="22"/>
        <v/>
      </c>
    </row>
    <row r="278" spans="2:15" ht="30" customHeight="1" outlineLevel="1" x14ac:dyDescent="0.25">
      <c r="B278" s="278"/>
      <c r="C278" s="278"/>
      <c r="D278" s="850" t="str">
        <f>IF(C278="","",VLOOKUP(C278,'Fatores de Emissão'!$C$145:$K$156,2,FALSE))</f>
        <v/>
      </c>
      <c r="E278" s="333"/>
      <c r="F278" s="850" t="str">
        <f>IF(C278="","",VLOOKUP($C278,'Fatores de Emissão'!$C$145:$K$156,3,FALSE))</f>
        <v/>
      </c>
      <c r="G278" s="333"/>
      <c r="H278" s="851" t="str">
        <f>IF(C278="","",VLOOKUP($C278,'Fatores de Emissão'!$C$145:$K$156,4,FALSE))</f>
        <v/>
      </c>
      <c r="I278" s="851" t="str">
        <f>IF(C278="","",VLOOKUP(C278,'Fatores de Emissão'!$C$145:$K$156,6,FALSE))</f>
        <v/>
      </c>
      <c r="J278" s="851" t="str">
        <f>IF(C278="","",VLOOKUP(C278,'Fatores de Emissão'!$C$145:$K$156,8,FALSE))</f>
        <v/>
      </c>
      <c r="K278" s="851" t="str">
        <f t="shared" si="20"/>
        <v/>
      </c>
      <c r="L278" s="851" t="str">
        <f t="shared" si="23"/>
        <v/>
      </c>
      <c r="M278" s="851" t="str">
        <f t="shared" si="21"/>
        <v/>
      </c>
      <c r="N278" s="852" t="str">
        <f>IF(C278="","",IF(C278="","",K278*'Fatores de Emissão'!$E$262+'Combustão Móvel'!L278*'Fatores de Emissão'!$E$258+'Combustão Móvel'!M278*'Fatores de Emissão'!$E$259))</f>
        <v/>
      </c>
      <c r="O278" s="1080" t="str">
        <f t="shared" si="22"/>
        <v/>
      </c>
    </row>
    <row r="279" spans="2:15" ht="30" hidden="1" customHeight="1" outlineLevel="2" x14ac:dyDescent="0.25">
      <c r="B279" s="278"/>
      <c r="C279" s="278"/>
      <c r="D279" s="850" t="str">
        <f>IF(C279="","",VLOOKUP(C279,'Fatores de Emissão'!$C$145:$K$156,2,FALSE))</f>
        <v/>
      </c>
      <c r="E279" s="333"/>
      <c r="F279" s="850" t="str">
        <f>IF(C279="","",VLOOKUP($C279,'Fatores de Emissão'!$C$145:$K$156,3,FALSE))</f>
        <v/>
      </c>
      <c r="G279" s="333"/>
      <c r="H279" s="851" t="str">
        <f>IF(C279="","",VLOOKUP($C279,'Fatores de Emissão'!$C$145:$K$156,4,FALSE))</f>
        <v/>
      </c>
      <c r="I279" s="851" t="str">
        <f>IF(C279="","",VLOOKUP(C279,'Fatores de Emissão'!$C$145:$K$156,6,FALSE))</f>
        <v/>
      </c>
      <c r="J279" s="851" t="str">
        <f>IF(C279="","",VLOOKUP(C279,'Fatores de Emissão'!$C$145:$K$156,8,FALSE))</f>
        <v/>
      </c>
      <c r="K279" s="851" t="str">
        <f t="shared" si="20"/>
        <v/>
      </c>
      <c r="L279" s="851" t="str">
        <f t="shared" si="23"/>
        <v/>
      </c>
      <c r="M279" s="851" t="str">
        <f t="shared" si="21"/>
        <v/>
      </c>
      <c r="N279" s="852" t="str">
        <f>IF(C279="","",IF(C279="","",K279*'Fatores de Emissão'!$E$262+'Combustão Móvel'!L279*'Fatores de Emissão'!$E$258+'Combustão Móvel'!M279*'Fatores de Emissão'!$E$259))</f>
        <v/>
      </c>
      <c r="O279" s="1080" t="str">
        <f t="shared" si="22"/>
        <v/>
      </c>
    </row>
    <row r="280" spans="2:15" ht="30" hidden="1" customHeight="1" outlineLevel="2" x14ac:dyDescent="0.25">
      <c r="B280" s="278"/>
      <c r="C280" s="278"/>
      <c r="D280" s="850" t="str">
        <f>IF(C280="","",VLOOKUP(C280,'Fatores de Emissão'!$C$145:$K$156,2,FALSE))</f>
        <v/>
      </c>
      <c r="E280" s="333"/>
      <c r="F280" s="850" t="str">
        <f>IF(C280="","",VLOOKUP($C280,'Fatores de Emissão'!$C$145:$K$156,3,FALSE))</f>
        <v/>
      </c>
      <c r="G280" s="333"/>
      <c r="H280" s="851" t="str">
        <f>IF(C280="","",VLOOKUP($C280,'Fatores de Emissão'!$C$145:$K$156,4,FALSE))</f>
        <v/>
      </c>
      <c r="I280" s="851" t="str">
        <f>IF(C280="","",VLOOKUP(C280,'Fatores de Emissão'!$C$145:$K$156,6,FALSE))</f>
        <v/>
      </c>
      <c r="J280" s="851" t="str">
        <f>IF(C280="","",VLOOKUP(C280,'Fatores de Emissão'!$C$145:$K$156,8,FALSE))</f>
        <v/>
      </c>
      <c r="K280" s="851" t="str">
        <f t="shared" si="20"/>
        <v/>
      </c>
      <c r="L280" s="851" t="str">
        <f t="shared" si="23"/>
        <v/>
      </c>
      <c r="M280" s="851" t="str">
        <f t="shared" si="21"/>
        <v/>
      </c>
      <c r="N280" s="852" t="str">
        <f>IF(C280="","",IF(C280="","",K280*'Fatores de Emissão'!$E$262+'Combustão Móvel'!L280*'Fatores de Emissão'!$E$258+'Combustão Móvel'!M280*'Fatores de Emissão'!$E$259))</f>
        <v/>
      </c>
      <c r="O280" s="1080" t="str">
        <f t="shared" si="22"/>
        <v/>
      </c>
    </row>
    <row r="281" spans="2:15" ht="30" hidden="1" customHeight="1" outlineLevel="2" x14ac:dyDescent="0.25">
      <c r="B281" s="278"/>
      <c r="C281" s="278"/>
      <c r="D281" s="850" t="str">
        <f>IF(C281="","",VLOOKUP(C281,'Fatores de Emissão'!$C$145:$K$156,2,FALSE))</f>
        <v/>
      </c>
      <c r="E281" s="333"/>
      <c r="F281" s="850" t="str">
        <f>IF(C281="","",VLOOKUP($C281,'Fatores de Emissão'!$C$145:$K$156,3,FALSE))</f>
        <v/>
      </c>
      <c r="G281" s="333"/>
      <c r="H281" s="851" t="str">
        <f>IF(C281="","",VLOOKUP($C281,'Fatores de Emissão'!$C$145:$K$156,4,FALSE))</f>
        <v/>
      </c>
      <c r="I281" s="851" t="str">
        <f>IF(C281="","",VLOOKUP(C281,'Fatores de Emissão'!$C$145:$K$156,6,FALSE))</f>
        <v/>
      </c>
      <c r="J281" s="851" t="str">
        <f>IF(C281="","",VLOOKUP(C281,'Fatores de Emissão'!$C$145:$K$156,8,FALSE))</f>
        <v/>
      </c>
      <c r="K281" s="851" t="str">
        <f t="shared" si="20"/>
        <v/>
      </c>
      <c r="L281" s="851" t="str">
        <f t="shared" si="23"/>
        <v/>
      </c>
      <c r="M281" s="851" t="str">
        <f t="shared" si="21"/>
        <v/>
      </c>
      <c r="N281" s="852" t="str">
        <f>IF(C281="","",IF(C281="","",K281*'Fatores de Emissão'!$E$262+'Combustão Móvel'!L281*'Fatores de Emissão'!$E$258+'Combustão Móvel'!M281*'Fatores de Emissão'!$E$259))</f>
        <v/>
      </c>
      <c r="O281" s="1080" t="str">
        <f t="shared" si="22"/>
        <v/>
      </c>
    </row>
    <row r="282" spans="2:15" ht="30" hidden="1" customHeight="1" outlineLevel="2" x14ac:dyDescent="0.25">
      <c r="B282" s="278"/>
      <c r="C282" s="278"/>
      <c r="D282" s="850" t="str">
        <f>IF(C282="","",VLOOKUP(C282,'Fatores de Emissão'!$C$145:$K$156,2,FALSE))</f>
        <v/>
      </c>
      <c r="E282" s="333"/>
      <c r="F282" s="850" t="str">
        <f>IF(C282="","",VLOOKUP($C282,'Fatores de Emissão'!$C$145:$K$156,3,FALSE))</f>
        <v/>
      </c>
      <c r="G282" s="333"/>
      <c r="H282" s="851" t="str">
        <f>IF(C282="","",VLOOKUP($C282,'Fatores de Emissão'!$C$145:$K$156,4,FALSE))</f>
        <v/>
      </c>
      <c r="I282" s="851" t="str">
        <f>IF(C282="","",VLOOKUP(C282,'Fatores de Emissão'!$C$145:$K$156,6,FALSE))</f>
        <v/>
      </c>
      <c r="J282" s="851" t="str">
        <f>IF(C282="","",VLOOKUP(C282,'Fatores de Emissão'!$C$145:$K$156,8,FALSE))</f>
        <v/>
      </c>
      <c r="K282" s="851" t="str">
        <f t="shared" si="20"/>
        <v/>
      </c>
      <c r="L282" s="851" t="str">
        <f t="shared" si="23"/>
        <v/>
      </c>
      <c r="M282" s="851" t="str">
        <f t="shared" si="21"/>
        <v/>
      </c>
      <c r="N282" s="852" t="str">
        <f>IF(C282="","",IF(C282="","",K282*'Fatores de Emissão'!$E$262+'Combustão Móvel'!L282*'Fatores de Emissão'!$E$258+'Combustão Móvel'!M282*'Fatores de Emissão'!$E$259))</f>
        <v/>
      </c>
      <c r="O282" s="1080" t="str">
        <f t="shared" si="22"/>
        <v/>
      </c>
    </row>
    <row r="283" spans="2:15" ht="30" hidden="1" customHeight="1" outlineLevel="2" x14ac:dyDescent="0.25">
      <c r="B283" s="278"/>
      <c r="C283" s="278"/>
      <c r="D283" s="850" t="str">
        <f>IF(C283="","",VLOOKUP(C283,'Fatores de Emissão'!$C$145:$K$156,2,FALSE))</f>
        <v/>
      </c>
      <c r="E283" s="333"/>
      <c r="F283" s="850" t="str">
        <f>IF(C283="","",VLOOKUP($C283,'Fatores de Emissão'!$C$145:$K$156,3,FALSE))</f>
        <v/>
      </c>
      <c r="G283" s="333"/>
      <c r="H283" s="851" t="str">
        <f>IF(C283="","",VLOOKUP($C283,'Fatores de Emissão'!$C$145:$K$156,4,FALSE))</f>
        <v/>
      </c>
      <c r="I283" s="851" t="str">
        <f>IF(C283="","",VLOOKUP(C283,'Fatores de Emissão'!$C$145:$K$156,6,FALSE))</f>
        <v/>
      </c>
      <c r="J283" s="851" t="str">
        <f>IF(C283="","",VLOOKUP(C283,'Fatores de Emissão'!$C$145:$K$156,8,FALSE))</f>
        <v/>
      </c>
      <c r="K283" s="851" t="str">
        <f t="shared" si="20"/>
        <v/>
      </c>
      <c r="L283" s="851" t="str">
        <f t="shared" si="23"/>
        <v/>
      </c>
      <c r="M283" s="851" t="str">
        <f t="shared" si="21"/>
        <v/>
      </c>
      <c r="N283" s="852" t="str">
        <f>IF(C283="","",IF(C283="","",K283*'Fatores de Emissão'!$E$262+'Combustão Móvel'!L283*'Fatores de Emissão'!$E$258+'Combustão Móvel'!M283*'Fatores de Emissão'!$E$259))</f>
        <v/>
      </c>
      <c r="O283" s="1080" t="str">
        <f t="shared" si="22"/>
        <v/>
      </c>
    </row>
    <row r="284" spans="2:15" ht="30" hidden="1" customHeight="1" outlineLevel="2" x14ac:dyDescent="0.25">
      <c r="B284" s="278"/>
      <c r="C284" s="278"/>
      <c r="D284" s="850" t="str">
        <f>IF(C284="","",VLOOKUP(C284,'Fatores de Emissão'!$C$145:$K$156,2,FALSE))</f>
        <v/>
      </c>
      <c r="E284" s="333"/>
      <c r="F284" s="850" t="str">
        <f>IF(C284="","",VLOOKUP($C284,'Fatores de Emissão'!$C$145:$K$156,3,FALSE))</f>
        <v/>
      </c>
      <c r="G284" s="333"/>
      <c r="H284" s="851" t="str">
        <f>IF(C284="","",VLOOKUP($C284,'Fatores de Emissão'!$C$145:$K$156,4,FALSE))</f>
        <v/>
      </c>
      <c r="I284" s="851" t="str">
        <f>IF(C284="","",VLOOKUP(C284,'Fatores de Emissão'!$C$145:$K$156,6,FALSE))</f>
        <v/>
      </c>
      <c r="J284" s="851" t="str">
        <f>IF(C284="","",VLOOKUP(C284,'Fatores de Emissão'!$C$145:$K$156,8,FALSE))</f>
        <v/>
      </c>
      <c r="K284" s="851" t="str">
        <f t="shared" si="20"/>
        <v/>
      </c>
      <c r="L284" s="851" t="str">
        <f t="shared" si="23"/>
        <v/>
      </c>
      <c r="M284" s="851" t="str">
        <f t="shared" si="21"/>
        <v/>
      </c>
      <c r="N284" s="852" t="str">
        <f>IF(C284="","",IF(C284="","",K284*'Fatores de Emissão'!$E$262+'Combustão Móvel'!L284*'Fatores de Emissão'!$E$258+'Combustão Móvel'!M284*'Fatores de Emissão'!$E$259))</f>
        <v/>
      </c>
      <c r="O284" s="1080" t="str">
        <f t="shared" si="22"/>
        <v/>
      </c>
    </row>
    <row r="285" spans="2:15" ht="30" hidden="1" customHeight="1" outlineLevel="2" x14ac:dyDescent="0.25">
      <c r="B285" s="278"/>
      <c r="C285" s="278"/>
      <c r="D285" s="850" t="str">
        <f>IF(C285="","",VLOOKUP(C285,'Fatores de Emissão'!$C$145:$K$156,2,FALSE))</f>
        <v/>
      </c>
      <c r="E285" s="333"/>
      <c r="F285" s="850" t="str">
        <f>IF(C285="","",VLOOKUP($C285,'Fatores de Emissão'!$C$145:$K$156,3,FALSE))</f>
        <v/>
      </c>
      <c r="G285" s="333"/>
      <c r="H285" s="851" t="str">
        <f>IF(C285="","",VLOOKUP($C285,'Fatores de Emissão'!$C$145:$K$156,4,FALSE))</f>
        <v/>
      </c>
      <c r="I285" s="851" t="str">
        <f>IF(C285="","",VLOOKUP(C285,'Fatores de Emissão'!$C$145:$K$156,6,FALSE))</f>
        <v/>
      </c>
      <c r="J285" s="851" t="str">
        <f>IF(C285="","",VLOOKUP(C285,'Fatores de Emissão'!$C$145:$K$156,8,FALSE))</f>
        <v/>
      </c>
      <c r="K285" s="851" t="str">
        <f t="shared" si="20"/>
        <v/>
      </c>
      <c r="L285" s="851" t="str">
        <f t="shared" si="23"/>
        <v/>
      </c>
      <c r="M285" s="851" t="str">
        <f t="shared" si="21"/>
        <v/>
      </c>
      <c r="N285" s="852" t="str">
        <f>IF(C285="","",IF(C285="","",K285*'Fatores de Emissão'!$E$262+'Combustão Móvel'!L285*'Fatores de Emissão'!$E$258+'Combustão Móvel'!M285*'Fatores de Emissão'!$E$259))</f>
        <v/>
      </c>
      <c r="O285" s="1080" t="str">
        <f t="shared" si="22"/>
        <v/>
      </c>
    </row>
    <row r="286" spans="2:15" ht="30" hidden="1" customHeight="1" outlineLevel="2" x14ac:dyDescent="0.25">
      <c r="B286" s="278"/>
      <c r="C286" s="278"/>
      <c r="D286" s="850" t="str">
        <f>IF(C286="","",VLOOKUP(C286,'Fatores de Emissão'!$C$145:$K$156,2,FALSE))</f>
        <v/>
      </c>
      <c r="E286" s="333"/>
      <c r="F286" s="850" t="str">
        <f>IF(C286="","",VLOOKUP($C286,'Fatores de Emissão'!$C$145:$K$156,3,FALSE))</f>
        <v/>
      </c>
      <c r="G286" s="333"/>
      <c r="H286" s="851" t="str">
        <f>IF(C286="","",VLOOKUP($C286,'Fatores de Emissão'!$C$145:$K$156,4,FALSE))</f>
        <v/>
      </c>
      <c r="I286" s="851" t="str">
        <f>IF(C286="","",VLOOKUP(C286,'Fatores de Emissão'!$C$145:$K$156,6,FALSE))</f>
        <v/>
      </c>
      <c r="J286" s="851" t="str">
        <f>IF(C286="","",VLOOKUP(C286,'Fatores de Emissão'!$C$145:$K$156,8,FALSE))</f>
        <v/>
      </c>
      <c r="K286" s="851" t="str">
        <f t="shared" si="20"/>
        <v/>
      </c>
      <c r="L286" s="851" t="str">
        <f t="shared" si="23"/>
        <v/>
      </c>
      <c r="M286" s="851" t="str">
        <f t="shared" si="21"/>
        <v/>
      </c>
      <c r="N286" s="852" t="str">
        <f>IF(C286="","",IF(C286="","",K286*'Fatores de Emissão'!$E$262+'Combustão Móvel'!L286*'Fatores de Emissão'!$E$258+'Combustão Móvel'!M286*'Fatores de Emissão'!$E$259))</f>
        <v/>
      </c>
      <c r="O286" s="1080" t="str">
        <f t="shared" si="22"/>
        <v/>
      </c>
    </row>
    <row r="287" spans="2:15" ht="30" hidden="1" customHeight="1" outlineLevel="2" x14ac:dyDescent="0.25">
      <c r="B287" s="278"/>
      <c r="C287" s="278"/>
      <c r="D287" s="850" t="str">
        <f>IF(C287="","",VLOOKUP(C287,'Fatores de Emissão'!$C$145:$K$156,2,FALSE))</f>
        <v/>
      </c>
      <c r="E287" s="333"/>
      <c r="F287" s="850" t="str">
        <f>IF(C287="","",VLOOKUP($C287,'Fatores de Emissão'!$C$145:$K$156,3,FALSE))</f>
        <v/>
      </c>
      <c r="G287" s="333"/>
      <c r="H287" s="851" t="str">
        <f>IF(C287="","",VLOOKUP($C287,'Fatores de Emissão'!$C$145:$K$156,4,FALSE))</f>
        <v/>
      </c>
      <c r="I287" s="851" t="str">
        <f>IF(C287="","",VLOOKUP(C287,'Fatores de Emissão'!$C$145:$K$156,6,FALSE))</f>
        <v/>
      </c>
      <c r="J287" s="851" t="str">
        <f>IF(C287="","",VLOOKUP(C287,'Fatores de Emissão'!$C$145:$K$156,8,FALSE))</f>
        <v/>
      </c>
      <c r="K287" s="851" t="str">
        <f t="shared" si="20"/>
        <v/>
      </c>
      <c r="L287" s="851" t="str">
        <f t="shared" si="23"/>
        <v/>
      </c>
      <c r="M287" s="851" t="str">
        <f t="shared" si="21"/>
        <v/>
      </c>
      <c r="N287" s="852" t="str">
        <f>IF(C287="","",IF(C287="","",K287*'Fatores de Emissão'!$E$262+'Combustão Móvel'!L287*'Fatores de Emissão'!$E$258+'Combustão Móvel'!M287*'Fatores de Emissão'!$E$259))</f>
        <v/>
      </c>
      <c r="O287" s="1080" t="str">
        <f t="shared" si="22"/>
        <v/>
      </c>
    </row>
    <row r="288" spans="2:15" ht="30" hidden="1" customHeight="1" outlineLevel="2" x14ac:dyDescent="0.25">
      <c r="B288" s="278"/>
      <c r="C288" s="278"/>
      <c r="D288" s="850" t="str">
        <f>IF(C288="","",VLOOKUP(C288,'Fatores de Emissão'!$C$145:$K$156,2,FALSE))</f>
        <v/>
      </c>
      <c r="E288" s="333"/>
      <c r="F288" s="850" t="str">
        <f>IF(C288="","",VLOOKUP($C288,'Fatores de Emissão'!$C$145:$K$156,3,FALSE))</f>
        <v/>
      </c>
      <c r="G288" s="333"/>
      <c r="H288" s="851" t="str">
        <f>IF(C288="","",VLOOKUP($C288,'Fatores de Emissão'!$C$145:$K$156,4,FALSE))</f>
        <v/>
      </c>
      <c r="I288" s="851" t="str">
        <f>IF(C288="","",VLOOKUP(C288,'Fatores de Emissão'!$C$145:$K$156,6,FALSE))</f>
        <v/>
      </c>
      <c r="J288" s="851" t="str">
        <f>IF(C288="","",VLOOKUP(C288,'Fatores de Emissão'!$C$145:$K$156,8,FALSE))</f>
        <v/>
      </c>
      <c r="K288" s="851" t="str">
        <f t="shared" si="20"/>
        <v/>
      </c>
      <c r="L288" s="851" t="str">
        <f t="shared" si="23"/>
        <v/>
      </c>
      <c r="M288" s="851" t="str">
        <f t="shared" si="21"/>
        <v/>
      </c>
      <c r="N288" s="852" t="str">
        <f>IF(C288="","",IF(C288="","",K288*'Fatores de Emissão'!$E$262+'Combustão Móvel'!L288*'Fatores de Emissão'!$E$258+'Combustão Móvel'!M288*'Fatores de Emissão'!$E$259))</f>
        <v/>
      </c>
      <c r="O288" s="1080" t="str">
        <f t="shared" si="22"/>
        <v/>
      </c>
    </row>
    <row r="289" spans="2:15" ht="30" hidden="1" customHeight="1" outlineLevel="2" x14ac:dyDescent="0.25">
      <c r="B289" s="278"/>
      <c r="C289" s="278"/>
      <c r="D289" s="850" t="str">
        <f>IF(C289="","",VLOOKUP(C289,'Fatores de Emissão'!$C$145:$K$156,2,FALSE))</f>
        <v/>
      </c>
      <c r="E289" s="333"/>
      <c r="F289" s="850" t="str">
        <f>IF(C289="","",VLOOKUP($C289,'Fatores de Emissão'!$C$145:$K$156,3,FALSE))</f>
        <v/>
      </c>
      <c r="G289" s="333"/>
      <c r="H289" s="851" t="str">
        <f>IF(C289="","",VLOOKUP($C289,'Fatores de Emissão'!$C$145:$K$156,4,FALSE))</f>
        <v/>
      </c>
      <c r="I289" s="851" t="str">
        <f>IF(C289="","",VLOOKUP(C289,'Fatores de Emissão'!$C$145:$K$156,6,FALSE))</f>
        <v/>
      </c>
      <c r="J289" s="851" t="str">
        <f>IF(C289="","",VLOOKUP(C289,'Fatores de Emissão'!$C$145:$K$156,8,FALSE))</f>
        <v/>
      </c>
      <c r="K289" s="851" t="str">
        <f t="shared" si="20"/>
        <v/>
      </c>
      <c r="L289" s="851" t="str">
        <f t="shared" si="23"/>
        <v/>
      </c>
      <c r="M289" s="851" t="str">
        <f t="shared" si="21"/>
        <v/>
      </c>
      <c r="N289" s="852" t="str">
        <f>IF(C289="","",IF(C289="","",K289*'Fatores de Emissão'!$E$262+'Combustão Móvel'!L289*'Fatores de Emissão'!$E$258+'Combustão Móvel'!M289*'Fatores de Emissão'!$E$259))</f>
        <v/>
      </c>
      <c r="O289" s="1080" t="str">
        <f t="shared" si="22"/>
        <v/>
      </c>
    </row>
    <row r="290" spans="2:15" ht="30" hidden="1" customHeight="1" outlineLevel="2" x14ac:dyDescent="0.25">
      <c r="B290" s="278"/>
      <c r="C290" s="278"/>
      <c r="D290" s="850" t="str">
        <f>IF(C290="","",VLOOKUP(C290,'Fatores de Emissão'!$C$145:$K$156,2,FALSE))</f>
        <v/>
      </c>
      <c r="E290" s="333"/>
      <c r="F290" s="850" t="str">
        <f>IF(C290="","",VLOOKUP($C290,'Fatores de Emissão'!$C$145:$K$156,3,FALSE))</f>
        <v/>
      </c>
      <c r="G290" s="333"/>
      <c r="H290" s="851" t="str">
        <f>IF(C290="","",VLOOKUP($C290,'Fatores de Emissão'!$C$145:$K$156,4,FALSE))</f>
        <v/>
      </c>
      <c r="I290" s="851" t="str">
        <f>IF(C290="","",VLOOKUP(C290,'Fatores de Emissão'!$C$145:$K$156,6,FALSE))</f>
        <v/>
      </c>
      <c r="J290" s="851" t="str">
        <f>IF(C290="","",VLOOKUP(C290,'Fatores de Emissão'!$C$145:$K$156,8,FALSE))</f>
        <v/>
      </c>
      <c r="K290" s="851" t="str">
        <f t="shared" si="20"/>
        <v/>
      </c>
      <c r="L290" s="851" t="str">
        <f t="shared" si="23"/>
        <v/>
      </c>
      <c r="M290" s="851" t="str">
        <f t="shared" si="21"/>
        <v/>
      </c>
      <c r="N290" s="852" t="str">
        <f>IF(C290="","",IF(C290="","",K290*'Fatores de Emissão'!$E$262+'Combustão Móvel'!L290*'Fatores de Emissão'!$E$258+'Combustão Móvel'!M290*'Fatores de Emissão'!$E$259))</f>
        <v/>
      </c>
      <c r="O290" s="1080" t="str">
        <f t="shared" si="22"/>
        <v/>
      </c>
    </row>
    <row r="291" spans="2:15" ht="30" hidden="1" customHeight="1" outlineLevel="2" x14ac:dyDescent="0.25">
      <c r="B291" s="278"/>
      <c r="C291" s="278"/>
      <c r="D291" s="850" t="str">
        <f>IF(C291="","",VLOOKUP(C291,'Fatores de Emissão'!$C$145:$K$156,2,FALSE))</f>
        <v/>
      </c>
      <c r="E291" s="333"/>
      <c r="F291" s="850" t="str">
        <f>IF(C291="","",VLOOKUP($C291,'Fatores de Emissão'!$C$145:$K$156,3,FALSE))</f>
        <v/>
      </c>
      <c r="G291" s="333"/>
      <c r="H291" s="851" t="str">
        <f>IF(C291="","",VLOOKUP($C291,'Fatores de Emissão'!$C$145:$K$156,4,FALSE))</f>
        <v/>
      </c>
      <c r="I291" s="851" t="str">
        <f>IF(C291="","",VLOOKUP(C291,'Fatores de Emissão'!$C$145:$K$156,6,FALSE))</f>
        <v/>
      </c>
      <c r="J291" s="851" t="str">
        <f>IF(C291="","",VLOOKUP(C291,'Fatores de Emissão'!$C$145:$K$156,8,FALSE))</f>
        <v/>
      </c>
      <c r="K291" s="851" t="str">
        <f t="shared" si="20"/>
        <v/>
      </c>
      <c r="L291" s="851" t="str">
        <f t="shared" si="23"/>
        <v/>
      </c>
      <c r="M291" s="851" t="str">
        <f t="shared" si="21"/>
        <v/>
      </c>
      <c r="N291" s="852" t="str">
        <f>IF(C291="","",IF(C291="","",K291*'Fatores de Emissão'!$E$262+'Combustão Móvel'!L291*'Fatores de Emissão'!$E$258+'Combustão Móvel'!M291*'Fatores de Emissão'!$E$259))</f>
        <v/>
      </c>
      <c r="O291" s="1080" t="str">
        <f t="shared" si="22"/>
        <v/>
      </c>
    </row>
    <row r="292" spans="2:15" ht="30" hidden="1" customHeight="1" outlineLevel="2" x14ac:dyDescent="0.25">
      <c r="B292" s="278"/>
      <c r="C292" s="278"/>
      <c r="D292" s="850" t="str">
        <f>IF(C292="","",VLOOKUP(C292,'Fatores de Emissão'!$C$145:$K$156,2,FALSE))</f>
        <v/>
      </c>
      <c r="E292" s="333"/>
      <c r="F292" s="850" t="str">
        <f>IF(C292="","",VLOOKUP($C292,'Fatores de Emissão'!$C$145:$K$156,3,FALSE))</f>
        <v/>
      </c>
      <c r="G292" s="333"/>
      <c r="H292" s="851" t="str">
        <f>IF(C292="","",VLOOKUP($C292,'Fatores de Emissão'!$C$145:$K$156,4,FALSE))</f>
        <v/>
      </c>
      <c r="I292" s="851" t="str">
        <f>IF(C292="","",VLOOKUP(C292,'Fatores de Emissão'!$C$145:$K$156,6,FALSE))</f>
        <v/>
      </c>
      <c r="J292" s="851" t="str">
        <f>IF(C292="","",VLOOKUP(C292,'Fatores de Emissão'!$C$145:$K$156,8,FALSE))</f>
        <v/>
      </c>
      <c r="K292" s="851" t="str">
        <f t="shared" si="20"/>
        <v/>
      </c>
      <c r="L292" s="851" t="str">
        <f t="shared" si="23"/>
        <v/>
      </c>
      <c r="M292" s="851" t="str">
        <f t="shared" si="21"/>
        <v/>
      </c>
      <c r="N292" s="852" t="str">
        <f>IF(C292="","",IF(C292="","",K292*'Fatores de Emissão'!$E$262+'Combustão Móvel'!L292*'Fatores de Emissão'!$E$258+'Combustão Móvel'!M292*'Fatores de Emissão'!$E$259))</f>
        <v/>
      </c>
      <c r="O292" s="1080" t="str">
        <f t="shared" si="22"/>
        <v/>
      </c>
    </row>
    <row r="293" spans="2:15" ht="30" hidden="1" customHeight="1" outlineLevel="2" x14ac:dyDescent="0.25">
      <c r="B293" s="278"/>
      <c r="C293" s="278"/>
      <c r="D293" s="850" t="str">
        <f>IF(C293="","",VLOOKUP(C293,'Fatores de Emissão'!$C$145:$K$156,2,FALSE))</f>
        <v/>
      </c>
      <c r="E293" s="333"/>
      <c r="F293" s="850" t="str">
        <f>IF(C293="","",VLOOKUP($C293,'Fatores de Emissão'!$C$145:$K$156,3,FALSE))</f>
        <v/>
      </c>
      <c r="G293" s="333"/>
      <c r="H293" s="851" t="str">
        <f>IF(C293="","",VLOOKUP($C293,'Fatores de Emissão'!$C$145:$K$156,4,FALSE))</f>
        <v/>
      </c>
      <c r="I293" s="851" t="str">
        <f>IF(C293="","",VLOOKUP(C293,'Fatores de Emissão'!$C$145:$K$156,6,FALSE))</f>
        <v/>
      </c>
      <c r="J293" s="851" t="str">
        <f>IF(C293="","",VLOOKUP(C293,'Fatores de Emissão'!$C$145:$K$156,8,FALSE))</f>
        <v/>
      </c>
      <c r="K293" s="851" t="str">
        <f t="shared" si="20"/>
        <v/>
      </c>
      <c r="L293" s="851" t="str">
        <f t="shared" si="23"/>
        <v/>
      </c>
      <c r="M293" s="851" t="str">
        <f t="shared" si="21"/>
        <v/>
      </c>
      <c r="N293" s="852" t="str">
        <f>IF(C293="","",IF(C293="","",K293*'Fatores de Emissão'!$E$262+'Combustão Móvel'!L293*'Fatores de Emissão'!$E$258+'Combustão Móvel'!M293*'Fatores de Emissão'!$E$259))</f>
        <v/>
      </c>
      <c r="O293" s="1080" t="str">
        <f t="shared" si="22"/>
        <v/>
      </c>
    </row>
    <row r="294" spans="2:15" ht="30" hidden="1" customHeight="1" outlineLevel="2" x14ac:dyDescent="0.25">
      <c r="B294" s="278"/>
      <c r="C294" s="278"/>
      <c r="D294" s="850" t="str">
        <f>IF(C294="","",VLOOKUP(C294,'Fatores de Emissão'!$C$145:$K$156,2,FALSE))</f>
        <v/>
      </c>
      <c r="E294" s="333"/>
      <c r="F294" s="850" t="str">
        <f>IF(C294="","",VLOOKUP($C294,'Fatores de Emissão'!$C$145:$K$156,3,FALSE))</f>
        <v/>
      </c>
      <c r="G294" s="333"/>
      <c r="H294" s="851" t="str">
        <f>IF(C294="","",VLOOKUP($C294,'Fatores de Emissão'!$C$145:$K$156,4,FALSE))</f>
        <v/>
      </c>
      <c r="I294" s="851" t="str">
        <f>IF(C294="","",VLOOKUP(C294,'Fatores de Emissão'!$C$145:$K$156,6,FALSE))</f>
        <v/>
      </c>
      <c r="J294" s="851" t="str">
        <f>IF(C294="","",VLOOKUP(C294,'Fatores de Emissão'!$C$145:$K$156,8,FALSE))</f>
        <v/>
      </c>
      <c r="K294" s="851" t="str">
        <f t="shared" si="20"/>
        <v/>
      </c>
      <c r="L294" s="851" t="str">
        <f t="shared" si="23"/>
        <v/>
      </c>
      <c r="M294" s="851" t="str">
        <f t="shared" si="21"/>
        <v/>
      </c>
      <c r="N294" s="852" t="str">
        <f>IF(C294="","",IF(C294="","",K294*'Fatores de Emissão'!$E$262+'Combustão Móvel'!L294*'Fatores de Emissão'!$E$258+'Combustão Móvel'!M294*'Fatores de Emissão'!$E$259))</f>
        <v/>
      </c>
      <c r="O294" s="1080" t="str">
        <f t="shared" si="22"/>
        <v/>
      </c>
    </row>
    <row r="295" spans="2:15" ht="30" hidden="1" customHeight="1" outlineLevel="2" x14ac:dyDescent="0.25">
      <c r="B295" s="278"/>
      <c r="C295" s="278"/>
      <c r="D295" s="850" t="str">
        <f>IF(C295="","",VLOOKUP(C295,'Fatores de Emissão'!$C$145:$K$156,2,FALSE))</f>
        <v/>
      </c>
      <c r="E295" s="333"/>
      <c r="F295" s="850" t="str">
        <f>IF(C295="","",VLOOKUP($C295,'Fatores de Emissão'!$C$145:$K$156,3,FALSE))</f>
        <v/>
      </c>
      <c r="G295" s="333"/>
      <c r="H295" s="851" t="str">
        <f>IF(C295="","",VLOOKUP($C295,'Fatores de Emissão'!$C$145:$K$156,4,FALSE))</f>
        <v/>
      </c>
      <c r="I295" s="851" t="str">
        <f>IF(C295="","",VLOOKUP(C295,'Fatores de Emissão'!$C$145:$K$156,6,FALSE))</f>
        <v/>
      </c>
      <c r="J295" s="851" t="str">
        <f>IF(C295="","",VLOOKUP(C295,'Fatores de Emissão'!$C$145:$K$156,8,FALSE))</f>
        <v/>
      </c>
      <c r="K295" s="851" t="str">
        <f t="shared" si="20"/>
        <v/>
      </c>
      <c r="L295" s="851" t="str">
        <f t="shared" si="23"/>
        <v/>
      </c>
      <c r="M295" s="851" t="str">
        <f t="shared" si="21"/>
        <v/>
      </c>
      <c r="N295" s="852" t="str">
        <f>IF(C295="","",IF(C295="","",K295*'Fatores de Emissão'!$E$262+'Combustão Móvel'!L295*'Fatores de Emissão'!$E$258+'Combustão Móvel'!M295*'Fatores de Emissão'!$E$259))</f>
        <v/>
      </c>
      <c r="O295" s="1080" t="str">
        <f t="shared" si="22"/>
        <v/>
      </c>
    </row>
    <row r="296" spans="2:15" ht="30" hidden="1" customHeight="1" outlineLevel="2" x14ac:dyDescent="0.25">
      <c r="B296" s="278"/>
      <c r="C296" s="278"/>
      <c r="D296" s="850" t="str">
        <f>IF(C296="","",VLOOKUP(C296,'Fatores de Emissão'!$C$145:$K$156,2,FALSE))</f>
        <v/>
      </c>
      <c r="E296" s="333"/>
      <c r="F296" s="850" t="str">
        <f>IF(C296="","",VLOOKUP($C296,'Fatores de Emissão'!$C$145:$K$156,3,FALSE))</f>
        <v/>
      </c>
      <c r="G296" s="333"/>
      <c r="H296" s="851" t="str">
        <f>IF(C296="","",VLOOKUP($C296,'Fatores de Emissão'!$C$145:$K$156,4,FALSE))</f>
        <v/>
      </c>
      <c r="I296" s="851" t="str">
        <f>IF(C296="","",VLOOKUP(C296,'Fatores de Emissão'!$C$145:$K$156,6,FALSE))</f>
        <v/>
      </c>
      <c r="J296" s="851" t="str">
        <f>IF(C296="","",VLOOKUP(C296,'Fatores de Emissão'!$C$145:$K$156,8,FALSE))</f>
        <v/>
      </c>
      <c r="K296" s="851" t="str">
        <f t="shared" si="20"/>
        <v/>
      </c>
      <c r="L296" s="851" t="str">
        <f t="shared" si="23"/>
        <v/>
      </c>
      <c r="M296" s="851" t="str">
        <f t="shared" si="21"/>
        <v/>
      </c>
      <c r="N296" s="852" t="str">
        <f>IF(C296="","",IF(C296="","",K296*'Fatores de Emissão'!$E$262+'Combustão Móvel'!L296*'Fatores de Emissão'!$E$258+'Combustão Móvel'!M296*'Fatores de Emissão'!$E$259))</f>
        <v/>
      </c>
      <c r="O296" s="1080" t="str">
        <f t="shared" si="22"/>
        <v/>
      </c>
    </row>
    <row r="297" spans="2:15" ht="30" hidden="1" customHeight="1" outlineLevel="2" x14ac:dyDescent="0.25">
      <c r="B297" s="278"/>
      <c r="C297" s="278"/>
      <c r="D297" s="850" t="str">
        <f>IF(C297="","",VLOOKUP(C297,'Fatores de Emissão'!$C$145:$K$156,2,FALSE))</f>
        <v/>
      </c>
      <c r="E297" s="333"/>
      <c r="F297" s="850" t="str">
        <f>IF(C297="","",VLOOKUP($C297,'Fatores de Emissão'!$C$145:$K$156,3,FALSE))</f>
        <v/>
      </c>
      <c r="G297" s="333"/>
      <c r="H297" s="851" t="str">
        <f>IF(C297="","",VLOOKUP($C297,'Fatores de Emissão'!$C$145:$K$156,4,FALSE))</f>
        <v/>
      </c>
      <c r="I297" s="851" t="str">
        <f>IF(C297="","",VLOOKUP(C297,'Fatores de Emissão'!$C$145:$K$156,6,FALSE))</f>
        <v/>
      </c>
      <c r="J297" s="851" t="str">
        <f>IF(C297="","",VLOOKUP(C297,'Fatores de Emissão'!$C$145:$K$156,8,FALSE))</f>
        <v/>
      </c>
      <c r="K297" s="851" t="str">
        <f t="shared" si="20"/>
        <v/>
      </c>
      <c r="L297" s="851" t="str">
        <f t="shared" si="23"/>
        <v/>
      </c>
      <c r="M297" s="851" t="str">
        <f t="shared" si="21"/>
        <v/>
      </c>
      <c r="N297" s="852" t="str">
        <f>IF(C297="","",IF(C297="","",K297*'Fatores de Emissão'!$E$262+'Combustão Móvel'!L297*'Fatores de Emissão'!$E$258+'Combustão Móvel'!M297*'Fatores de Emissão'!$E$259))</f>
        <v/>
      </c>
      <c r="O297" s="1080" t="str">
        <f t="shared" si="22"/>
        <v/>
      </c>
    </row>
    <row r="298" spans="2:15" ht="30" hidden="1" customHeight="1" outlineLevel="2" x14ac:dyDescent="0.25">
      <c r="B298" s="278"/>
      <c r="C298" s="278"/>
      <c r="D298" s="850" t="str">
        <f>IF(C298="","",VLOOKUP(C298,'Fatores de Emissão'!$C$145:$K$156,2,FALSE))</f>
        <v/>
      </c>
      <c r="E298" s="333"/>
      <c r="F298" s="850" t="str">
        <f>IF(C298="","",VLOOKUP($C298,'Fatores de Emissão'!$C$145:$K$156,3,FALSE))</f>
        <v/>
      </c>
      <c r="G298" s="333"/>
      <c r="H298" s="851" t="str">
        <f>IF(C298="","",VLOOKUP($C298,'Fatores de Emissão'!$C$145:$K$156,4,FALSE))</f>
        <v/>
      </c>
      <c r="I298" s="851" t="str">
        <f>IF(C298="","",VLOOKUP(C298,'Fatores de Emissão'!$C$145:$K$156,6,FALSE))</f>
        <v/>
      </c>
      <c r="J298" s="851" t="str">
        <f>IF(C298="","",VLOOKUP(C298,'Fatores de Emissão'!$C$145:$K$156,8,FALSE))</f>
        <v/>
      </c>
      <c r="K298" s="851" t="str">
        <f t="shared" si="20"/>
        <v/>
      </c>
      <c r="L298" s="851" t="str">
        <f t="shared" si="23"/>
        <v/>
      </c>
      <c r="M298" s="851" t="str">
        <f t="shared" si="21"/>
        <v/>
      </c>
      <c r="N298" s="852" t="str">
        <f>IF(C298="","",IF(C298="","",K298*'Fatores de Emissão'!$E$262+'Combustão Móvel'!L298*'Fatores de Emissão'!$E$258+'Combustão Móvel'!M298*'Fatores de Emissão'!$E$259))</f>
        <v/>
      </c>
      <c r="O298" s="1080" t="str">
        <f t="shared" si="22"/>
        <v/>
      </c>
    </row>
    <row r="299" spans="2:15" ht="30" hidden="1" customHeight="1" outlineLevel="2" x14ac:dyDescent="0.25">
      <c r="B299" s="278"/>
      <c r="C299" s="278"/>
      <c r="D299" s="850" t="str">
        <f>IF(C299="","",VLOOKUP(C299,'Fatores de Emissão'!$C$145:$K$156,2,FALSE))</f>
        <v/>
      </c>
      <c r="E299" s="333"/>
      <c r="F299" s="850" t="str">
        <f>IF(C299="","",VLOOKUP($C299,'Fatores de Emissão'!$C$145:$K$156,3,FALSE))</f>
        <v/>
      </c>
      <c r="G299" s="333"/>
      <c r="H299" s="851" t="str">
        <f>IF(C299="","",VLOOKUP($C299,'Fatores de Emissão'!$C$145:$K$156,4,FALSE))</f>
        <v/>
      </c>
      <c r="I299" s="851" t="str">
        <f>IF(C299="","",VLOOKUP(C299,'Fatores de Emissão'!$C$145:$K$156,6,FALSE))</f>
        <v/>
      </c>
      <c r="J299" s="851" t="str">
        <f>IF(C299="","",VLOOKUP(C299,'Fatores de Emissão'!$C$145:$K$156,8,FALSE))</f>
        <v/>
      </c>
      <c r="K299" s="851" t="str">
        <f t="shared" si="20"/>
        <v/>
      </c>
      <c r="L299" s="851" t="str">
        <f t="shared" si="23"/>
        <v/>
      </c>
      <c r="M299" s="851" t="str">
        <f t="shared" si="21"/>
        <v/>
      </c>
      <c r="N299" s="852" t="str">
        <f>IF(C299="","",IF(C299="","",K299*'Fatores de Emissão'!$E$262+'Combustão Móvel'!L299*'Fatores de Emissão'!$E$258+'Combustão Móvel'!M299*'Fatores de Emissão'!$E$259))</f>
        <v/>
      </c>
      <c r="O299" s="1080" t="str">
        <f t="shared" si="22"/>
        <v/>
      </c>
    </row>
    <row r="300" spans="2:15" ht="30" hidden="1" customHeight="1" outlineLevel="2" x14ac:dyDescent="0.25">
      <c r="B300" s="278"/>
      <c r="C300" s="278"/>
      <c r="D300" s="850" t="str">
        <f>IF(C300="","",VLOOKUP(C300,'Fatores de Emissão'!$C$145:$K$156,2,FALSE))</f>
        <v/>
      </c>
      <c r="E300" s="333"/>
      <c r="F300" s="850" t="str">
        <f>IF(C300="","",VLOOKUP($C300,'Fatores de Emissão'!$C$145:$K$156,3,FALSE))</f>
        <v/>
      </c>
      <c r="G300" s="333"/>
      <c r="H300" s="851" t="str">
        <f>IF(C300="","",VLOOKUP($C300,'Fatores de Emissão'!$C$145:$K$156,4,FALSE))</f>
        <v/>
      </c>
      <c r="I300" s="851" t="str">
        <f>IF(C300="","",VLOOKUP(C300,'Fatores de Emissão'!$C$145:$K$156,6,FALSE))</f>
        <v/>
      </c>
      <c r="J300" s="851" t="str">
        <f>IF(C300="","",VLOOKUP(C300,'Fatores de Emissão'!$C$145:$K$156,8,FALSE))</f>
        <v/>
      </c>
      <c r="K300" s="851" t="str">
        <f t="shared" si="20"/>
        <v/>
      </c>
      <c r="L300" s="851" t="str">
        <f t="shared" si="23"/>
        <v/>
      </c>
      <c r="M300" s="851" t="str">
        <f t="shared" si="21"/>
        <v/>
      </c>
      <c r="N300" s="852" t="str">
        <f>IF(C300="","",IF(C300="","",K300*'Fatores de Emissão'!$E$262+'Combustão Móvel'!L300*'Fatores de Emissão'!$E$258+'Combustão Móvel'!M300*'Fatores de Emissão'!$E$259))</f>
        <v/>
      </c>
      <c r="O300" s="1080" t="str">
        <f t="shared" si="22"/>
        <v/>
      </c>
    </row>
    <row r="301" spans="2:15" ht="30" hidden="1" customHeight="1" outlineLevel="2" x14ac:dyDescent="0.25">
      <c r="B301" s="278"/>
      <c r="C301" s="278"/>
      <c r="D301" s="850" t="str">
        <f>IF(C301="","",VLOOKUP(C301,'Fatores de Emissão'!$C$145:$K$156,2,FALSE))</f>
        <v/>
      </c>
      <c r="E301" s="333"/>
      <c r="F301" s="850" t="str">
        <f>IF(C301="","",VLOOKUP($C301,'Fatores de Emissão'!$C$145:$K$156,3,FALSE))</f>
        <v/>
      </c>
      <c r="G301" s="333"/>
      <c r="H301" s="851" t="str">
        <f>IF(C301="","",VLOOKUP($C301,'Fatores de Emissão'!$C$145:$K$156,4,FALSE))</f>
        <v/>
      </c>
      <c r="I301" s="851" t="str">
        <f>IF(C301="","",VLOOKUP(C301,'Fatores de Emissão'!$C$145:$K$156,6,FALSE))</f>
        <v/>
      </c>
      <c r="J301" s="851" t="str">
        <f>IF(C301="","",VLOOKUP(C301,'Fatores de Emissão'!$C$145:$K$156,8,FALSE))</f>
        <v/>
      </c>
      <c r="K301" s="851" t="str">
        <f t="shared" si="20"/>
        <v/>
      </c>
      <c r="L301" s="851" t="str">
        <f t="shared" si="23"/>
        <v/>
      </c>
      <c r="M301" s="851" t="str">
        <f t="shared" si="21"/>
        <v/>
      </c>
      <c r="N301" s="852" t="str">
        <f>IF(C301="","",IF(C301="","",K301*'Fatores de Emissão'!$E$262+'Combustão Móvel'!L301*'Fatores de Emissão'!$E$258+'Combustão Móvel'!M301*'Fatores de Emissão'!$E$259))</f>
        <v/>
      </c>
      <c r="O301" s="1080" t="str">
        <f t="shared" si="22"/>
        <v/>
      </c>
    </row>
    <row r="302" spans="2:15" ht="30" hidden="1" customHeight="1" outlineLevel="2" x14ac:dyDescent="0.25">
      <c r="B302" s="278"/>
      <c r="C302" s="278"/>
      <c r="D302" s="850" t="str">
        <f>IF(C302="","",VLOOKUP(C302,'Fatores de Emissão'!$C$145:$K$156,2,FALSE))</f>
        <v/>
      </c>
      <c r="E302" s="333"/>
      <c r="F302" s="850" t="str">
        <f>IF(C302="","",VLOOKUP($C302,'Fatores de Emissão'!$C$145:$K$156,3,FALSE))</f>
        <v/>
      </c>
      <c r="G302" s="333"/>
      <c r="H302" s="851" t="str">
        <f>IF(C302="","",VLOOKUP($C302,'Fatores de Emissão'!$C$145:$K$156,4,FALSE))</f>
        <v/>
      </c>
      <c r="I302" s="851" t="str">
        <f>IF(C302="","",VLOOKUP(C302,'Fatores de Emissão'!$C$145:$K$156,6,FALSE))</f>
        <v/>
      </c>
      <c r="J302" s="851" t="str">
        <f>IF(C302="","",VLOOKUP(C302,'Fatores de Emissão'!$C$145:$K$156,8,FALSE))</f>
        <v/>
      </c>
      <c r="K302" s="851" t="str">
        <f t="shared" si="20"/>
        <v/>
      </c>
      <c r="L302" s="851" t="str">
        <f t="shared" si="23"/>
        <v/>
      </c>
      <c r="M302" s="851" t="str">
        <f t="shared" si="21"/>
        <v/>
      </c>
      <c r="N302" s="852" t="str">
        <f>IF(C302="","",IF(C302="","",K302*'Fatores de Emissão'!$E$262+'Combustão Móvel'!L302*'Fatores de Emissão'!$E$258+'Combustão Móvel'!M302*'Fatores de Emissão'!$E$259))</f>
        <v/>
      </c>
      <c r="O302" s="1080" t="str">
        <f t="shared" si="22"/>
        <v/>
      </c>
    </row>
    <row r="303" spans="2:15" ht="30" hidden="1" customHeight="1" outlineLevel="2" x14ac:dyDescent="0.25">
      <c r="B303" s="278"/>
      <c r="C303" s="278"/>
      <c r="D303" s="850" t="str">
        <f>IF(C303="","",VLOOKUP(C303,'Fatores de Emissão'!$C$145:$K$156,2,FALSE))</f>
        <v/>
      </c>
      <c r="E303" s="333"/>
      <c r="F303" s="850" t="str">
        <f>IF(C303="","",VLOOKUP($C303,'Fatores de Emissão'!$C$145:$K$156,3,FALSE))</f>
        <v/>
      </c>
      <c r="G303" s="333"/>
      <c r="H303" s="851" t="str">
        <f>IF(C303="","",VLOOKUP($C303,'Fatores de Emissão'!$C$145:$K$156,4,FALSE))</f>
        <v/>
      </c>
      <c r="I303" s="851" t="str">
        <f>IF(C303="","",VLOOKUP(C303,'Fatores de Emissão'!$C$145:$K$156,6,FALSE))</f>
        <v/>
      </c>
      <c r="J303" s="851" t="str">
        <f>IF(C303="","",VLOOKUP(C303,'Fatores de Emissão'!$C$145:$K$156,8,FALSE))</f>
        <v/>
      </c>
      <c r="K303" s="851" t="str">
        <f t="shared" si="20"/>
        <v/>
      </c>
      <c r="L303" s="851" t="str">
        <f t="shared" si="23"/>
        <v/>
      </c>
      <c r="M303" s="851" t="str">
        <f t="shared" si="21"/>
        <v/>
      </c>
      <c r="N303" s="852" t="str">
        <f>IF(C303="","",IF(C303="","",K303*'Fatores de Emissão'!$E$262+'Combustão Móvel'!L303*'Fatores de Emissão'!$E$258+'Combustão Móvel'!M303*'Fatores de Emissão'!$E$259))</f>
        <v/>
      </c>
      <c r="O303" s="1080" t="str">
        <f t="shared" si="22"/>
        <v/>
      </c>
    </row>
    <row r="304" spans="2:15" ht="30" hidden="1" customHeight="1" outlineLevel="2" x14ac:dyDescent="0.25">
      <c r="B304" s="278"/>
      <c r="C304" s="278"/>
      <c r="D304" s="850" t="str">
        <f>IF(C304="","",VLOOKUP(C304,'Fatores de Emissão'!$C$145:$K$156,2,FALSE))</f>
        <v/>
      </c>
      <c r="E304" s="333"/>
      <c r="F304" s="850" t="str">
        <f>IF(C304="","",VLOOKUP($C304,'Fatores de Emissão'!$C$145:$K$156,3,FALSE))</f>
        <v/>
      </c>
      <c r="G304" s="333"/>
      <c r="H304" s="851" t="str">
        <f>IF(C304="","",VLOOKUP($C304,'Fatores de Emissão'!$C$145:$K$156,4,FALSE))</f>
        <v/>
      </c>
      <c r="I304" s="851" t="str">
        <f>IF(C304="","",VLOOKUP(C304,'Fatores de Emissão'!$C$145:$K$156,6,FALSE))</f>
        <v/>
      </c>
      <c r="J304" s="851" t="str">
        <f>IF(C304="","",VLOOKUP(C304,'Fatores de Emissão'!$C$145:$K$156,8,FALSE))</f>
        <v/>
      </c>
      <c r="K304" s="851" t="str">
        <f t="shared" si="20"/>
        <v/>
      </c>
      <c r="L304" s="851" t="str">
        <f t="shared" si="23"/>
        <v/>
      </c>
      <c r="M304" s="851" t="str">
        <f t="shared" si="21"/>
        <v/>
      </c>
      <c r="N304" s="852" t="str">
        <f>IF(C304="","",IF(C304="","",K304*'Fatores de Emissão'!$E$262+'Combustão Móvel'!L304*'Fatores de Emissão'!$E$258+'Combustão Móvel'!M304*'Fatores de Emissão'!$E$259))</f>
        <v/>
      </c>
      <c r="O304" s="1080" t="str">
        <f t="shared" si="22"/>
        <v/>
      </c>
    </row>
    <row r="305" spans="2:15" ht="30" hidden="1" customHeight="1" outlineLevel="2" x14ac:dyDescent="0.25">
      <c r="B305" s="278"/>
      <c r="C305" s="278"/>
      <c r="D305" s="850" t="str">
        <f>IF(C305="","",VLOOKUP(C305,'Fatores de Emissão'!$C$145:$K$156,2,FALSE))</f>
        <v/>
      </c>
      <c r="E305" s="333"/>
      <c r="F305" s="850" t="str">
        <f>IF(C305="","",VLOOKUP($C305,'Fatores de Emissão'!$C$145:$K$156,3,FALSE))</f>
        <v/>
      </c>
      <c r="G305" s="333"/>
      <c r="H305" s="851" t="str">
        <f>IF(C305="","",VLOOKUP($C305,'Fatores de Emissão'!$C$145:$K$156,4,FALSE))</f>
        <v/>
      </c>
      <c r="I305" s="851" t="str">
        <f>IF(C305="","",VLOOKUP(C305,'Fatores de Emissão'!$C$145:$K$156,6,FALSE))</f>
        <v/>
      </c>
      <c r="J305" s="851" t="str">
        <f>IF(C305="","",VLOOKUP(C305,'Fatores de Emissão'!$C$145:$K$156,8,FALSE))</f>
        <v/>
      </c>
      <c r="K305" s="851" t="str">
        <f t="shared" si="20"/>
        <v/>
      </c>
      <c r="L305" s="851" t="str">
        <f t="shared" si="23"/>
        <v/>
      </c>
      <c r="M305" s="851" t="str">
        <f t="shared" si="21"/>
        <v/>
      </c>
      <c r="N305" s="852" t="str">
        <f>IF(C305="","",IF(C305="","",K305*'Fatores de Emissão'!$E$262+'Combustão Móvel'!L305*'Fatores de Emissão'!$E$258+'Combustão Móvel'!M305*'Fatores de Emissão'!$E$259))</f>
        <v/>
      </c>
      <c r="O305" s="1080" t="str">
        <f t="shared" si="22"/>
        <v/>
      </c>
    </row>
    <row r="306" spans="2:15" ht="21" customHeight="1" outlineLevel="1" collapsed="1" x14ac:dyDescent="0.25">
      <c r="B306" s="853" t="s">
        <v>37</v>
      </c>
      <c r="C306" s="853"/>
      <c r="D306" s="853"/>
      <c r="E306" s="853"/>
      <c r="F306" s="853"/>
      <c r="G306" s="853"/>
      <c r="H306" s="853"/>
      <c r="I306" s="853"/>
      <c r="J306" s="853"/>
      <c r="K306" s="851">
        <f>SUM(K273:K305)</f>
        <v>0</v>
      </c>
      <c r="L306" s="851">
        <f>SUM(L273:L305)</f>
        <v>0</v>
      </c>
      <c r="M306" s="851">
        <f>SUM(M273:M305)</f>
        <v>0</v>
      </c>
      <c r="N306" s="852">
        <f>SUM(N273:N305)</f>
        <v>0</v>
      </c>
    </row>
    <row r="307" spans="2:15" outlineLevel="1" x14ac:dyDescent="0.25"/>
    <row r="308" spans="2:15" outlineLevel="1" x14ac:dyDescent="0.25"/>
    <row r="309" spans="2:15" s="332" customFormat="1" ht="30" customHeight="1" x14ac:dyDescent="0.25">
      <c r="B309" s="231" t="s">
        <v>604</v>
      </c>
    </row>
    <row r="310" spans="2:15" x14ac:dyDescent="0.25"/>
    <row r="311" spans="2:15" x14ac:dyDescent="0.25"/>
    <row r="312" spans="2:15" ht="31.5" x14ac:dyDescent="0.25">
      <c r="E312" s="854" t="s">
        <v>1635</v>
      </c>
      <c r="F312" s="765"/>
    </row>
    <row r="313" spans="2:15" x14ac:dyDescent="0.25">
      <c r="B313" s="1238" t="s">
        <v>1632</v>
      </c>
      <c r="C313" s="1239"/>
      <c r="D313" s="1240"/>
      <c r="E313" s="858">
        <f>M131</f>
        <v>0</v>
      </c>
      <c r="F313" s="859"/>
    </row>
    <row r="314" spans="2:15" s="168" customFormat="1" x14ac:dyDescent="0.25">
      <c r="B314" s="1238" t="s">
        <v>1633</v>
      </c>
      <c r="C314" s="1239"/>
      <c r="D314" s="1240"/>
      <c r="E314" s="858">
        <f>N251</f>
        <v>0</v>
      </c>
      <c r="F314" s="860"/>
      <c r="G314" s="860"/>
    </row>
    <row r="315" spans="2:15" x14ac:dyDescent="0.25">
      <c r="B315" s="1238" t="s">
        <v>1728</v>
      </c>
      <c r="C315" s="1239"/>
      <c r="D315" s="1240"/>
      <c r="E315" s="858">
        <f>N306</f>
        <v>0</v>
      </c>
      <c r="H315" s="861"/>
    </row>
    <row r="316" spans="2:15" x14ac:dyDescent="0.25">
      <c r="B316" s="1238" t="s">
        <v>37</v>
      </c>
      <c r="C316" s="1239"/>
      <c r="D316" s="1240"/>
      <c r="E316" s="858">
        <f>SUM(E313:E315)</f>
        <v>0</v>
      </c>
    </row>
    <row r="317" spans="2:15" x14ac:dyDescent="0.25"/>
    <row r="318" spans="2:15" x14ac:dyDescent="0.25"/>
    <row r="319" spans="2:15" x14ac:dyDescent="0.25"/>
    <row r="320" spans="2:15"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sheetData>
  <sheetProtection algorithmName="SHA-512" hashValue="ha8Rq9g2WTAgIT6nRhjfS1YmBMXJJ8eaBvme3DkCjWbz94fRbuEUmE4/sig4eCXQ5fsDb3WsbIlSkJyxwNyTcQ==" saltValue="0gohvHDHwwQhOj8HxEy9Tg==" spinCount="100000" sheet="1" formatRows="0" selectLockedCells="1"/>
  <protectedRanges>
    <protectedRange sqref="B273:C305 E273:E305 G273:G305" name="CM5"/>
    <protectedRange sqref="B31:E130" name="CM"/>
    <protectedRange sqref="B151:E250" name="CM3"/>
  </protectedRanges>
  <mergeCells count="45">
    <mergeCell ref="M27:M29"/>
    <mergeCell ref="B146:B149"/>
    <mergeCell ref="C146:C149"/>
    <mergeCell ref="E146:E149"/>
    <mergeCell ref="F146:F149"/>
    <mergeCell ref="G146:G149"/>
    <mergeCell ref="H148:H149"/>
    <mergeCell ref="I148:I149"/>
    <mergeCell ref="J148:J149"/>
    <mergeCell ref="K146:K149"/>
    <mergeCell ref="L146:L149"/>
    <mergeCell ref="M146:M149"/>
    <mergeCell ref="L27:L29"/>
    <mergeCell ref="K27:K29"/>
    <mergeCell ref="D27:E27"/>
    <mergeCell ref="E28:E29"/>
    <mergeCell ref="B316:D316"/>
    <mergeCell ref="B315:D315"/>
    <mergeCell ref="B11:J11"/>
    <mergeCell ref="B13:J13"/>
    <mergeCell ref="H268:J269"/>
    <mergeCell ref="E268:E270"/>
    <mergeCell ref="B27:B29"/>
    <mergeCell ref="C27:C29"/>
    <mergeCell ref="B314:D314"/>
    <mergeCell ref="B313:D313"/>
    <mergeCell ref="B268:B271"/>
    <mergeCell ref="C268:C271"/>
    <mergeCell ref="F27:F29"/>
    <mergeCell ref="G27:I28"/>
    <mergeCell ref="J27:J29"/>
    <mergeCell ref="D146:D148"/>
    <mergeCell ref="H146:J147"/>
    <mergeCell ref="L270:L271"/>
    <mergeCell ref="K268:M269"/>
    <mergeCell ref="N146:N149"/>
    <mergeCell ref="D268:D271"/>
    <mergeCell ref="G268:G271"/>
    <mergeCell ref="F268:F271"/>
    <mergeCell ref="H270:H271"/>
    <mergeCell ref="I270:I271"/>
    <mergeCell ref="J270:J271"/>
    <mergeCell ref="K270:K271"/>
    <mergeCell ref="M270:M271"/>
    <mergeCell ref="N268:N271"/>
  </mergeCells>
  <conditionalFormatting sqref="B9">
    <cfRule type="expression" dxfId="66" priority="243">
      <formula>"Triagem!$C$28!=""Não"""</formula>
    </cfRule>
  </conditionalFormatting>
  <conditionalFormatting sqref="D29">
    <cfRule type="beginsWith" dxfId="64" priority="5" operator="beginsWith" text="Erro">
      <formula>LEFT(D29,LEN("Erro"))="Erro"</formula>
    </cfRule>
  </conditionalFormatting>
  <conditionalFormatting sqref="D149">
    <cfRule type="beginsWith" dxfId="63" priority="4" operator="beginsWith" text="Erro">
      <formula>LEFT(D149,LEN("Erro"))="Erro"</formula>
    </cfRule>
  </conditionalFormatting>
  <conditionalFormatting sqref="E150:E250">
    <cfRule type="expression" dxfId="62" priority="8">
      <formula>G150&lt;&gt;"kg/t.km"</formula>
    </cfRule>
  </conditionalFormatting>
  <conditionalFormatting sqref="E271">
    <cfRule type="beginsWith" dxfId="61" priority="2" operator="beginsWith" text="Erro">
      <formula>LEFT(E271,LEN("Erro"))="Erro"</formula>
    </cfRule>
  </conditionalFormatting>
  <conditionalFormatting sqref="N31:N130">
    <cfRule type="beginsWith" dxfId="60" priority="6" operator="beginsWith" text="Erro">
      <formula>LEFT(N31,LEN("Erro"))="Erro"</formula>
    </cfRule>
  </conditionalFormatting>
  <conditionalFormatting sqref="O151:O250">
    <cfRule type="beginsWith" dxfId="59" priority="3" operator="beginsWith" text="Erro">
      <formula>LEFT(O151,LEN("Erro"))="Erro"</formula>
    </cfRule>
  </conditionalFormatting>
  <conditionalFormatting sqref="O273:O305">
    <cfRule type="beginsWith" dxfId="58" priority="1" operator="beginsWith" text="Erro">
      <formula>LEFT(O273,LEN("Erro"))="Erro"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44" id="{28FA1E51-32AF-4DDC-8071-9EF0A1F770A6}">
            <xm:f>Triagem!$C$28=""</xm:f>
            <x14:dxf>
              <font>
                <b/>
                <i val="0"/>
                <u val="double"/>
                <color rgb="FFFF0000"/>
              </font>
              <fill>
                <patternFill>
                  <bgColor theme="7" tint="0.79998168889431442"/>
                </patternFill>
              </fill>
            </x14:dxf>
          </x14:cfRule>
          <xm:sqref>B9:C9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B38757E4-527A-4751-B220-5F49E2827E3D}">
          <x14:formula1>
            <xm:f>FACM!$B$12:$B$18</xm:f>
          </x14:formula1>
          <xm:sqref>C42:C130 C31</xm:sqref>
        </x14:dataValidation>
        <x14:dataValidation type="list" allowBlank="1" showInputMessage="1" showErrorMessage="1" xr:uid="{6ED1CE56-9D81-4B3D-B4EC-26A148AC8898}">
          <x14:formula1>
            <xm:f>FACM!$E$12:$E$15</xm:f>
          </x14:formula1>
          <xm:sqref>C151:C250</xm:sqref>
        </x14:dataValidation>
        <x14:dataValidation type="list" allowBlank="1" showInputMessage="1" showErrorMessage="1" xr:uid="{89B4B87B-7529-4E35-973F-C748A1F8E58E}">
          <x14:formula1>
            <xm:f>'Fatores de Emissão'!$C$145:$C$156</xm:f>
          </x14:formula1>
          <xm:sqref>C272:C305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32</vt:i4>
      </vt:variant>
    </vt:vector>
  </HeadingPairs>
  <TitlesOfParts>
    <vt:vector size="32" baseType="lpstr">
      <vt:lpstr>Introdução</vt:lpstr>
      <vt:lpstr>Instruções</vt:lpstr>
      <vt:lpstr>Verificação Preliminar</vt:lpstr>
      <vt:lpstr>Triagem</vt:lpstr>
      <vt:lpstr>Índice</vt:lpstr>
      <vt:lpstr>Identificação</vt:lpstr>
      <vt:lpstr>Combustão Estacionária</vt:lpstr>
      <vt:lpstr>CE</vt:lpstr>
      <vt:lpstr>Combustão Móvel</vt:lpstr>
      <vt:lpstr>FACM</vt:lpstr>
      <vt:lpstr>Energia Elétrica e térmica</vt:lpstr>
      <vt:lpstr>EET</vt:lpstr>
      <vt:lpstr>Emissões Fugitivas</vt:lpstr>
      <vt:lpstr>Processos Industriais</vt:lpstr>
      <vt:lpstr>FAEI</vt:lpstr>
      <vt:lpstr>Outras emissões de processo</vt:lpstr>
      <vt:lpstr>Resultados</vt:lpstr>
      <vt:lpstr>Fatores de Emissão</vt:lpstr>
      <vt:lpstr>Fatores de Conversão</vt:lpstr>
      <vt:lpstr>Ficha técnica</vt:lpstr>
      <vt:lpstr>Listas</vt:lpstr>
      <vt:lpstr>FAOEP</vt:lpstr>
      <vt:lpstr>FAAS</vt:lpstr>
      <vt:lpstr>Categoria 3</vt:lpstr>
      <vt:lpstr>FAEF</vt:lpstr>
      <vt:lpstr>Emissões Evitadas</vt:lpstr>
      <vt:lpstr>FAEV</vt:lpstr>
      <vt:lpstr>Aquisição de bens e serviços</vt:lpstr>
      <vt:lpstr>FABCC</vt:lpstr>
      <vt:lpstr>Uso dos produtos do projeto</vt:lpstr>
      <vt:lpstr>FAPr</vt:lpstr>
      <vt:lpstr>FAPCT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Tiago</dc:creator>
  <cp:lastModifiedBy>Carla Santos</cp:lastModifiedBy>
  <dcterms:created xsi:type="dcterms:W3CDTF">2023-04-30T14:56:45Z</dcterms:created>
  <dcterms:modified xsi:type="dcterms:W3CDTF">2026-05-26T11:42:48Z</dcterms:modified>
</cp:coreProperties>
</file>